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M:\Statistikk og analyse\HMoseby\Kvartalstatistikkene\Skadestatistikk\Rapport\"/>
    </mc:Choice>
  </mc:AlternateContent>
  <xr:revisionPtr revIDLastSave="0" documentId="8_{8C9B698B-8244-4DE8-BA29-9EB53B4A3869}" xr6:coauthVersionLast="47" xr6:coauthVersionMax="47" xr10:uidLastSave="{00000000-0000-0000-0000-000000000000}"/>
  <bookViews>
    <workbookView xWindow="28680" yWindow="-120" windowWidth="29040" windowHeight="15720" tabRatio="914" xr2:uid="{00000000-000D-0000-FFFF-FFFF00000000}"/>
  </bookViews>
  <sheets>
    <sheet name="Forside" sheetId="46" r:id="rId1"/>
    <sheet name="Innhold" sheetId="21" r:id="rId2"/>
    <sheet name="Tab1" sheetId="23" r:id="rId3"/>
    <sheet name="Tab2" sheetId="19" r:id="rId4"/>
    <sheet name="Tab3" sheetId="1" r:id="rId5"/>
    <sheet name="Tab4" sheetId="2" r:id="rId6"/>
    <sheet name="Tab5" sheetId="4" r:id="rId7"/>
    <sheet name="Tab6" sheetId="5" r:id="rId8"/>
    <sheet name="Tab7" sheetId="6" r:id="rId9"/>
    <sheet name="Tab8" sheetId="7" r:id="rId10"/>
    <sheet name="Tab9" sheetId="8" r:id="rId11"/>
    <sheet name="Tab10" sheetId="9" r:id="rId12"/>
    <sheet name="Tab11" sheetId="10" r:id="rId13"/>
    <sheet name="Tab12" sheetId="12" r:id="rId14"/>
    <sheet name="Tab13" sheetId="13" r:id="rId15"/>
    <sheet name="Tab14" sheetId="14" r:id="rId16"/>
    <sheet name="Tab15" sheetId="43" r:id="rId17"/>
    <sheet name="Tab16" sheetId="44" r:id="rId18"/>
    <sheet name="Tab17" sheetId="45" r:id="rId19"/>
    <sheet name="Tab18" sheetId="15" r:id="rId20"/>
    <sheet name="Tab19" sheetId="16" r:id="rId21"/>
    <sheet name="Tab20" sheetId="17" r:id="rId22"/>
    <sheet name="Tab21" sheetId="24" r:id="rId23"/>
  </sheets>
  <externalReferences>
    <externalReference r:id="rId24"/>
  </externalReferences>
  <definedNames>
    <definedName name="_xlnm._FilterDatabase" localSheetId="3" hidden="1">'Tab2'!$A$2</definedName>
    <definedName name="DATA_0">#REF!</definedName>
    <definedName name="DATA_AN">#REF!</definedName>
    <definedName name="DATA_B">#REF!</definedName>
    <definedName name="DATA_BEH">#REF!</definedName>
    <definedName name="DATA_BKN">#REF!</definedName>
    <definedName name="DATA_BKP">#REF!</definedName>
    <definedName name="DATA_FB">#REF!</definedName>
    <definedName name="DATA_K">#REF!</definedName>
    <definedName name="DATA_M1">#REF!</definedName>
    <definedName name="DATA_M2">#REF!</definedName>
    <definedName name="DATA_P">#REF!</definedName>
    <definedName name="DATA_RS">#REF!</definedName>
    <definedName name="Dato_1årsiden">[1]Tab5!$C$6</definedName>
    <definedName name="Dato_2årsiden">[1]Tab5!$B$6</definedName>
    <definedName name="Dato_nå">[1]Tab5!$D$6</definedName>
    <definedName name="hittil_i_aar">'Tab3'!$B$8</definedName>
    <definedName name="kvartal" localSheetId="0">#REF!</definedName>
    <definedName name="kvartal">#REF!</definedName>
    <definedName name="_xlnm.Print_Area" localSheetId="3">'Tab2'!$A$1:$AJ$62</definedName>
    <definedName name="_xlnm.Print_Area" localSheetId="4">'Tab3'!$A$1:$H$62</definedName>
    <definedName name="_xlnm.Print_Area">'Tab9'!$A$4:$H$62</definedName>
    <definedName name="pros_1">'Tab3'!$H$6</definedName>
    <definedName name="pros_2">'Tab3'!$G$6</definedName>
    <definedName name="aar">'Tab3'!$E$6</definedName>
    <definedName name="aar_1">'Tab3'!$D$6</definedName>
    <definedName name="aar_2">'Tab3'!$C$6</definedName>
    <definedName name="aaret_i_alt">'Tab3'!$B$7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4" i="19" l="1"/>
  <c r="Q234" i="19"/>
  <c r="N234" i="19"/>
  <c r="D234" i="19" l="1"/>
  <c r="C234" i="19"/>
  <c r="T233" i="19"/>
  <c r="Q233" i="19"/>
  <c r="N233" i="19"/>
  <c r="D233" i="19"/>
  <c r="C233" i="19"/>
  <c r="T232" i="19"/>
  <c r="Q232" i="19"/>
  <c r="N232" i="19"/>
  <c r="D232" i="19"/>
  <c r="C232" i="19"/>
  <c r="T231" i="19"/>
  <c r="Q231" i="19"/>
  <c r="N231" i="19"/>
  <c r="D231" i="19"/>
  <c r="C231" i="19"/>
  <c r="T230" i="19"/>
  <c r="Q230" i="19"/>
  <c r="N230" i="19"/>
  <c r="D230" i="19"/>
  <c r="C230" i="19"/>
  <c r="T229" i="19"/>
  <c r="Q229" i="19"/>
  <c r="N229" i="19"/>
  <c r="D229" i="19"/>
  <c r="C229" i="19"/>
  <c r="T228" i="19"/>
  <c r="Q228" i="19"/>
  <c r="N228" i="19"/>
  <c r="D228" i="19"/>
  <c r="C228" i="19"/>
  <c r="T227" i="19"/>
  <c r="Q227" i="19"/>
  <c r="N227" i="19"/>
  <c r="D227" i="19"/>
  <c r="C227" i="19"/>
  <c r="T226" i="19"/>
  <c r="Q226" i="19"/>
  <c r="N226" i="19"/>
  <c r="D226" i="19"/>
  <c r="C226" i="19"/>
  <c r="T225" i="19"/>
  <c r="Q225" i="19"/>
  <c r="N225" i="19"/>
  <c r="D225" i="19"/>
  <c r="C225" i="19"/>
  <c r="T224" i="19"/>
  <c r="Q224" i="19"/>
  <c r="N224" i="19"/>
  <c r="D224" i="19"/>
  <c r="C224" i="19"/>
  <c r="T223" i="19"/>
  <c r="Q223" i="19"/>
  <c r="N223" i="19"/>
  <c r="D223" i="19"/>
  <c r="C223" i="19"/>
  <c r="T222" i="19"/>
  <c r="Q222" i="19"/>
  <c r="N222" i="19"/>
  <c r="D222" i="19"/>
  <c r="C222" i="19"/>
  <c r="T221" i="19"/>
  <c r="Q221" i="19"/>
  <c r="N221" i="19"/>
  <c r="D221" i="19"/>
  <c r="C221" i="19"/>
  <c r="B124" i="21" l="1"/>
  <c r="A62" i="19" s="1"/>
  <c r="X87" i="19"/>
  <c r="W86" i="19"/>
  <c r="Y130" i="19"/>
  <c r="Y125" i="19"/>
  <c r="X121" i="19"/>
  <c r="S238" i="19"/>
  <c r="R238" i="19"/>
  <c r="P238" i="19"/>
  <c r="O238" i="19"/>
  <c r="M238" i="19"/>
  <c r="L238" i="19"/>
  <c r="S237" i="19"/>
  <c r="S236" i="19" s="1"/>
  <c r="R237" i="19"/>
  <c r="R236" i="19" s="1"/>
  <c r="P237" i="19"/>
  <c r="P236" i="19" s="1"/>
  <c r="O237" i="19"/>
  <c r="O236" i="19" s="1"/>
  <c r="M237" i="19"/>
  <c r="M236" i="19" s="1"/>
  <c r="L237" i="19"/>
  <c r="L236" i="19" s="1"/>
  <c r="E237" i="19"/>
  <c r="T220" i="19"/>
  <c r="Q220" i="19"/>
  <c r="N220" i="19"/>
  <c r="D220" i="19"/>
  <c r="C220" i="19"/>
  <c r="T219" i="19"/>
  <c r="Q219" i="19"/>
  <c r="N219" i="19"/>
  <c r="D219" i="19"/>
  <c r="C219" i="19"/>
  <c r="T218" i="19"/>
  <c r="Q218" i="19"/>
  <c r="N218" i="19"/>
  <c r="D218" i="19"/>
  <c r="C218" i="19"/>
  <c r="T217" i="19"/>
  <c r="Q217" i="19"/>
  <c r="N217" i="19"/>
  <c r="D217" i="19"/>
  <c r="C217" i="19"/>
  <c r="T216" i="19"/>
  <c r="Q216" i="19"/>
  <c r="N216" i="19"/>
  <c r="D216" i="19"/>
  <c r="C216" i="19"/>
  <c r="T215" i="19"/>
  <c r="Q215" i="19"/>
  <c r="N215" i="19"/>
  <c r="D215" i="19"/>
  <c r="C215" i="19"/>
  <c r="T214" i="19"/>
  <c r="Q214" i="19"/>
  <c r="N214" i="19"/>
  <c r="D214" i="19"/>
  <c r="C214" i="19"/>
  <c r="T213" i="19"/>
  <c r="Q213" i="19"/>
  <c r="N213" i="19"/>
  <c r="D213" i="19"/>
  <c r="C213" i="19"/>
  <c r="T212" i="19"/>
  <c r="Q212" i="19"/>
  <c r="N212" i="19"/>
  <c r="D212" i="19"/>
  <c r="C212" i="19"/>
  <c r="T211" i="19"/>
  <c r="Q211" i="19"/>
  <c r="N211" i="19"/>
  <c r="D211" i="19"/>
  <c r="C211" i="19"/>
  <c r="T210" i="19"/>
  <c r="Q210" i="19"/>
  <c r="N210" i="19"/>
  <c r="D210" i="19"/>
  <c r="C210" i="19"/>
  <c r="T209" i="19"/>
  <c r="Q209" i="19"/>
  <c r="N209" i="19"/>
  <c r="D209" i="19"/>
  <c r="C209" i="19"/>
  <c r="T208" i="19"/>
  <c r="Q208" i="19"/>
  <c r="N208" i="19"/>
  <c r="D208" i="19"/>
  <c r="C208" i="19"/>
  <c r="T207" i="19"/>
  <c r="Q207" i="19"/>
  <c r="N207" i="19"/>
  <c r="D207" i="19"/>
  <c r="C207" i="19"/>
  <c r="T206" i="19"/>
  <c r="Q206" i="19"/>
  <c r="N206" i="19"/>
  <c r="D206" i="19"/>
  <c r="C206" i="19"/>
  <c r="T205" i="19"/>
  <c r="Q205" i="19"/>
  <c r="N205" i="19"/>
  <c r="D205" i="19"/>
  <c r="C205" i="19"/>
  <c r="T204" i="19"/>
  <c r="Q204" i="19"/>
  <c r="N204" i="19"/>
  <c r="D204" i="19"/>
  <c r="C204" i="19"/>
  <c r="T203" i="19"/>
  <c r="Q203" i="19"/>
  <c r="N203" i="19"/>
  <c r="D203" i="19"/>
  <c r="C203" i="19"/>
  <c r="T202" i="19"/>
  <c r="Q202" i="19"/>
  <c r="N202" i="19"/>
  <c r="D202" i="19"/>
  <c r="C202" i="19"/>
  <c r="T201" i="19"/>
  <c r="Q201" i="19"/>
  <c r="N201" i="19"/>
  <c r="D201" i="19"/>
  <c r="C201" i="19"/>
  <c r="T200" i="19"/>
  <c r="Q200" i="19"/>
  <c r="N200" i="19"/>
  <c r="D200" i="19"/>
  <c r="C200" i="19"/>
  <c r="T199" i="19"/>
  <c r="Q199" i="19"/>
  <c r="N199" i="19"/>
  <c r="D199" i="19"/>
  <c r="C199" i="19"/>
  <c r="T198" i="19"/>
  <c r="Q198" i="19"/>
  <c r="N198" i="19"/>
  <c r="D198" i="19"/>
  <c r="C198" i="19"/>
  <c r="T197" i="19"/>
  <c r="Q197" i="19"/>
  <c r="N197" i="19"/>
  <c r="D197" i="19"/>
  <c r="C197" i="19"/>
  <c r="T196" i="19"/>
  <c r="Q196" i="19"/>
  <c r="N196" i="19"/>
  <c r="D196" i="19"/>
  <c r="C196" i="19"/>
  <c r="T195" i="19"/>
  <c r="Q195" i="19"/>
  <c r="N195" i="19"/>
  <c r="K195" i="19"/>
  <c r="J195" i="19"/>
  <c r="D195" i="19"/>
  <c r="C195" i="19"/>
  <c r="T194" i="19"/>
  <c r="Q194" i="19"/>
  <c r="N194" i="19"/>
  <c r="D194" i="19"/>
  <c r="C194" i="19"/>
  <c r="T193" i="19"/>
  <c r="Q193" i="19"/>
  <c r="N193" i="19"/>
  <c r="D193" i="19"/>
  <c r="C193" i="19"/>
  <c r="T192" i="19"/>
  <c r="Q192" i="19"/>
  <c r="N192" i="19"/>
  <c r="D192" i="19"/>
  <c r="C192" i="19"/>
  <c r="T191" i="19"/>
  <c r="Q191" i="19"/>
  <c r="N191" i="19"/>
  <c r="K191" i="19"/>
  <c r="D191" i="19"/>
  <c r="C191" i="19"/>
  <c r="T190" i="19"/>
  <c r="Q190" i="19"/>
  <c r="N190" i="19"/>
  <c r="D190" i="19"/>
  <c r="C190" i="19"/>
  <c r="T189" i="19"/>
  <c r="Q189" i="19"/>
  <c r="N189" i="19"/>
  <c r="D189" i="19"/>
  <c r="C189" i="19"/>
  <c r="T188" i="19"/>
  <c r="Q188" i="19"/>
  <c r="N188" i="19"/>
  <c r="D188" i="19"/>
  <c r="C188" i="19"/>
  <c r="T187" i="19"/>
  <c r="Q187" i="19"/>
  <c r="N187" i="19"/>
  <c r="D187" i="19"/>
  <c r="C187" i="19"/>
  <c r="T186" i="19"/>
  <c r="Q186" i="19"/>
  <c r="N186" i="19"/>
  <c r="D186" i="19"/>
  <c r="C186" i="19"/>
  <c r="T185" i="19"/>
  <c r="Q185" i="19"/>
  <c r="N185" i="19"/>
  <c r="D185" i="19"/>
  <c r="C185" i="19"/>
  <c r="T184" i="19"/>
  <c r="Q184" i="19"/>
  <c r="N184" i="19"/>
  <c r="D184" i="19"/>
  <c r="C184" i="19"/>
  <c r="T183" i="19"/>
  <c r="Q183" i="19"/>
  <c r="N183" i="19"/>
  <c r="D183" i="19"/>
  <c r="C183" i="19"/>
  <c r="T182" i="19"/>
  <c r="Q182" i="19"/>
  <c r="N182" i="19"/>
  <c r="D182" i="19"/>
  <c r="C182" i="19"/>
  <c r="T181" i="19"/>
  <c r="Q181" i="19"/>
  <c r="N181" i="19"/>
  <c r="D181" i="19"/>
  <c r="C181" i="19"/>
  <c r="T180" i="19"/>
  <c r="Q180" i="19"/>
  <c r="N180" i="19"/>
  <c r="D180" i="19"/>
  <c r="C180" i="19"/>
  <c r="T179" i="19"/>
  <c r="Q179" i="19"/>
  <c r="N179" i="19"/>
  <c r="D179" i="19"/>
  <c r="C179" i="19"/>
  <c r="T178" i="19"/>
  <c r="Q178" i="19"/>
  <c r="N178" i="19"/>
  <c r="D178" i="19"/>
  <c r="C178" i="19"/>
  <c r="T177" i="19"/>
  <c r="Q177" i="19"/>
  <c r="N177" i="19"/>
  <c r="D177" i="19"/>
  <c r="C177" i="19"/>
  <c r="T176" i="19"/>
  <c r="Q176" i="19"/>
  <c r="N176" i="19"/>
  <c r="D176" i="19"/>
  <c r="C176" i="19"/>
  <c r="T175" i="19"/>
  <c r="Q175" i="19"/>
  <c r="N175" i="19"/>
  <c r="D175" i="19"/>
  <c r="C175" i="19"/>
  <c r="T174" i="19"/>
  <c r="Q174" i="19"/>
  <c r="N174" i="19"/>
  <c r="D174" i="19"/>
  <c r="C174" i="19"/>
  <c r="T173" i="19"/>
  <c r="Q173" i="19"/>
  <c r="N173" i="19"/>
  <c r="D173" i="19"/>
  <c r="C173" i="19"/>
  <c r="T172" i="19"/>
  <c r="Q172" i="19"/>
  <c r="N172" i="19"/>
  <c r="D172" i="19"/>
  <c r="C172" i="19"/>
  <c r="T171" i="19"/>
  <c r="Q171" i="19"/>
  <c r="N171" i="19"/>
  <c r="D171" i="19"/>
  <c r="C171" i="19"/>
  <c r="T170" i="19"/>
  <c r="Q170" i="19"/>
  <c r="N170" i="19"/>
  <c r="D170" i="19"/>
  <c r="C170" i="19"/>
  <c r="T169" i="19"/>
  <c r="Q169" i="19"/>
  <c r="N169" i="19"/>
  <c r="D169" i="19"/>
  <c r="C169" i="19"/>
  <c r="T168" i="19"/>
  <c r="Q168" i="19"/>
  <c r="N168" i="19"/>
  <c r="D168" i="19"/>
  <c r="C168" i="19"/>
  <c r="T167" i="19"/>
  <c r="Q167" i="19"/>
  <c r="N167" i="19"/>
  <c r="D167" i="19"/>
  <c r="C167" i="19"/>
  <c r="T166" i="19"/>
  <c r="Q166" i="19"/>
  <c r="N166" i="19"/>
  <c r="D166" i="19"/>
  <c r="C166" i="19"/>
  <c r="T165" i="19"/>
  <c r="Q165" i="19"/>
  <c r="N165" i="19"/>
  <c r="D165" i="19"/>
  <c r="C165" i="19"/>
  <c r="T164" i="19"/>
  <c r="Q164" i="19"/>
  <c r="N164" i="19"/>
  <c r="D164" i="19"/>
  <c r="C164" i="19"/>
  <c r="T163" i="19"/>
  <c r="Q163" i="19"/>
  <c r="N163" i="19"/>
  <c r="D163" i="19"/>
  <c r="C163" i="19"/>
  <c r="T162" i="19"/>
  <c r="Q162" i="19"/>
  <c r="N162" i="19"/>
  <c r="D162" i="19"/>
  <c r="C162" i="19"/>
  <c r="T161" i="19"/>
  <c r="Q161" i="19"/>
  <c r="N161" i="19"/>
  <c r="D161" i="19"/>
  <c r="C161" i="19"/>
  <c r="T160" i="19"/>
  <c r="Q160" i="19"/>
  <c r="N160" i="19"/>
  <c r="D160" i="19"/>
  <c r="C160" i="19"/>
  <c r="T159" i="19"/>
  <c r="Q159" i="19"/>
  <c r="N159" i="19"/>
  <c r="D159" i="19"/>
  <c r="C159" i="19"/>
  <c r="T158" i="19"/>
  <c r="Q158" i="19"/>
  <c r="N158" i="19"/>
  <c r="D158" i="19"/>
  <c r="C158" i="19"/>
  <c r="T157" i="19"/>
  <c r="Q157" i="19"/>
  <c r="N157" i="19"/>
  <c r="D157" i="19"/>
  <c r="C157" i="19"/>
  <c r="T156" i="19"/>
  <c r="Q156" i="19"/>
  <c r="N156" i="19"/>
  <c r="D156" i="19"/>
  <c r="C156" i="19"/>
  <c r="T155" i="19"/>
  <c r="Q155" i="19"/>
  <c r="N155" i="19"/>
  <c r="D155" i="19"/>
  <c r="C155" i="19"/>
  <c r="T154" i="19"/>
  <c r="Q154" i="19"/>
  <c r="N154" i="19"/>
  <c r="D154" i="19"/>
  <c r="C154" i="19"/>
  <c r="T153" i="19"/>
  <c r="Q153" i="19"/>
  <c r="N153" i="19"/>
  <c r="D153" i="19"/>
  <c r="C153" i="19"/>
  <c r="T152" i="19"/>
  <c r="Q152" i="19"/>
  <c r="N152" i="19"/>
  <c r="D152" i="19"/>
  <c r="C152" i="19"/>
  <c r="T151" i="19"/>
  <c r="Q151" i="19"/>
  <c r="N151" i="19"/>
  <c r="D151" i="19"/>
  <c r="C151" i="19"/>
  <c r="T150" i="19"/>
  <c r="Q150" i="19"/>
  <c r="N150" i="19"/>
  <c r="D150" i="19"/>
  <c r="C150" i="19"/>
  <c r="T149" i="19"/>
  <c r="Q149" i="19"/>
  <c r="N149" i="19"/>
  <c r="D149" i="19"/>
  <c r="C149" i="19"/>
  <c r="T148" i="19"/>
  <c r="Q148" i="19"/>
  <c r="N148" i="19"/>
  <c r="D148" i="19"/>
  <c r="C148" i="19"/>
  <c r="T147" i="19"/>
  <c r="Q147" i="19"/>
  <c r="N147" i="19"/>
  <c r="D147" i="19"/>
  <c r="C147" i="19"/>
  <c r="T146" i="19"/>
  <c r="Q146" i="19"/>
  <c r="N146" i="19"/>
  <c r="D146" i="19"/>
  <c r="C146" i="19"/>
  <c r="T145" i="19"/>
  <c r="Q145" i="19"/>
  <c r="N145" i="19"/>
  <c r="D145" i="19"/>
  <c r="C145" i="19"/>
  <c r="T144" i="19"/>
  <c r="Q144" i="19"/>
  <c r="N144" i="19"/>
  <c r="D144" i="19"/>
  <c r="C144" i="19"/>
  <c r="T143" i="19"/>
  <c r="Q143" i="19"/>
  <c r="N143" i="19"/>
  <c r="D143" i="19"/>
  <c r="C143" i="19"/>
  <c r="T142" i="19"/>
  <c r="Q142" i="19"/>
  <c r="N142" i="19"/>
  <c r="D142" i="19"/>
  <c r="C142" i="19"/>
  <c r="T141" i="19"/>
  <c r="Q141" i="19"/>
  <c r="N141" i="19"/>
  <c r="D141" i="19"/>
  <c r="C141" i="19"/>
  <c r="T140" i="19"/>
  <c r="Q140" i="19"/>
  <c r="N140" i="19"/>
  <c r="D140" i="19"/>
  <c r="C140" i="19"/>
  <c r="T139" i="19"/>
  <c r="Q139" i="19"/>
  <c r="N139" i="19"/>
  <c r="D139" i="19"/>
  <c r="C139" i="19"/>
  <c r="T138" i="19"/>
  <c r="Q138" i="19"/>
  <c r="N138" i="19"/>
  <c r="D138" i="19"/>
  <c r="C138" i="19"/>
  <c r="T137" i="19"/>
  <c r="Q137" i="19"/>
  <c r="N137" i="19"/>
  <c r="D137" i="19"/>
  <c r="C137" i="19"/>
  <c r="T136" i="19"/>
  <c r="Q136" i="19"/>
  <c r="N136" i="19"/>
  <c r="D136" i="19"/>
  <c r="C136" i="19"/>
  <c r="T135" i="19"/>
  <c r="Q135" i="19"/>
  <c r="N135" i="19"/>
  <c r="D135" i="19"/>
  <c r="C135" i="19"/>
  <c r="T134" i="19"/>
  <c r="Q134" i="19"/>
  <c r="N134" i="19"/>
  <c r="D134" i="19"/>
  <c r="C134" i="19"/>
  <c r="X133" i="19"/>
  <c r="W133" i="19"/>
  <c r="T133" i="19"/>
  <c r="Q133" i="19"/>
  <c r="N133" i="19"/>
  <c r="Y132" i="19"/>
  <c r="X132" i="19"/>
  <c r="W132" i="19"/>
  <c r="T132" i="19"/>
  <c r="Q132" i="19"/>
  <c r="N132" i="19"/>
  <c r="D132" i="19"/>
  <c r="D133" i="19" s="1"/>
  <c r="C132" i="19"/>
  <c r="C133" i="19" s="1"/>
  <c r="Y131" i="19"/>
  <c r="X131" i="19"/>
  <c r="W131" i="19"/>
  <c r="T131" i="19"/>
  <c r="Q131" i="19"/>
  <c r="N131" i="19"/>
  <c r="X130" i="19"/>
  <c r="W130" i="19"/>
  <c r="T130" i="19"/>
  <c r="Q130" i="19"/>
  <c r="N130" i="19"/>
  <c r="Y129" i="19"/>
  <c r="W129" i="19"/>
  <c r="T129" i="19"/>
  <c r="Q129" i="19"/>
  <c r="N129" i="19"/>
  <c r="D129" i="19"/>
  <c r="D130" i="19" s="1"/>
  <c r="T128" i="19"/>
  <c r="Q128" i="19"/>
  <c r="N128" i="19"/>
  <c r="D128" i="19"/>
  <c r="C128" i="19"/>
  <c r="T127" i="19"/>
  <c r="Q127" i="19"/>
  <c r="N127" i="19"/>
  <c r="T126" i="19"/>
  <c r="Q126" i="19"/>
  <c r="N126" i="19"/>
  <c r="W125" i="19"/>
  <c r="T125" i="19"/>
  <c r="Q125" i="19"/>
  <c r="N125" i="19"/>
  <c r="Y124" i="19"/>
  <c r="X124" i="19"/>
  <c r="W124" i="19"/>
  <c r="T124" i="19"/>
  <c r="Q124" i="19"/>
  <c r="N124" i="19"/>
  <c r="D124" i="19"/>
  <c r="D125" i="19" s="1"/>
  <c r="C124" i="19"/>
  <c r="Y123" i="19"/>
  <c r="X123" i="19"/>
  <c r="W123" i="19"/>
  <c r="T123" i="19"/>
  <c r="Q123" i="19"/>
  <c r="N123" i="19"/>
  <c r="Y122" i="19"/>
  <c r="X122" i="19"/>
  <c r="W122" i="19"/>
  <c r="T122" i="19"/>
  <c r="Q122" i="19"/>
  <c r="N122" i="19"/>
  <c r="Y121" i="19"/>
  <c r="T121" i="19"/>
  <c r="Q121" i="19"/>
  <c r="N121" i="19"/>
  <c r="C121" i="19"/>
  <c r="C122" i="19" s="1"/>
  <c r="T120" i="19"/>
  <c r="Q120" i="19"/>
  <c r="N120" i="19"/>
  <c r="D120" i="19"/>
  <c r="C120" i="19"/>
  <c r="T119" i="19"/>
  <c r="Q119" i="19"/>
  <c r="N119" i="19"/>
  <c r="T118" i="19"/>
  <c r="Q118" i="19"/>
  <c r="N118" i="19"/>
  <c r="Y117" i="19"/>
  <c r="X117" i="19"/>
  <c r="W117" i="19"/>
  <c r="T117" i="19"/>
  <c r="Q117" i="19"/>
  <c r="N117" i="19"/>
  <c r="T116" i="19"/>
  <c r="Q116" i="19"/>
  <c r="N116" i="19"/>
  <c r="D116" i="19"/>
  <c r="C116" i="19"/>
  <c r="T115" i="19"/>
  <c r="Q115" i="19"/>
  <c r="N115" i="19"/>
  <c r="Y114" i="19"/>
  <c r="X114" i="19"/>
  <c r="W114" i="19"/>
  <c r="T114" i="19"/>
  <c r="Q114" i="19"/>
  <c r="N114" i="19"/>
  <c r="Y113" i="19"/>
  <c r="X113" i="19"/>
  <c r="W113" i="19"/>
  <c r="T113" i="19"/>
  <c r="Q113" i="19"/>
  <c r="N113" i="19"/>
  <c r="Y112" i="19"/>
  <c r="X112" i="19"/>
  <c r="W112" i="19"/>
  <c r="T112" i="19"/>
  <c r="Q112" i="19"/>
  <c r="N112" i="19"/>
  <c r="D112" i="19"/>
  <c r="D113" i="19" s="1"/>
  <c r="D114" i="19" s="1"/>
  <c r="C112" i="19"/>
  <c r="C113" i="19" s="1"/>
  <c r="C114" i="19" s="1"/>
  <c r="T111" i="19"/>
  <c r="Q111" i="19"/>
  <c r="N111" i="19"/>
  <c r="T110" i="19"/>
  <c r="Q110" i="19"/>
  <c r="N110" i="19"/>
  <c r="T109" i="19"/>
  <c r="Q109" i="19"/>
  <c r="N109" i="19"/>
  <c r="T108" i="19"/>
  <c r="Q108" i="19"/>
  <c r="N108" i="19"/>
  <c r="T107" i="19"/>
  <c r="Q107" i="19"/>
  <c r="N107" i="19"/>
  <c r="Y106" i="19"/>
  <c r="W106" i="19"/>
  <c r="T106" i="19"/>
  <c r="Q106" i="19"/>
  <c r="N106" i="19"/>
  <c r="T105" i="19"/>
  <c r="Q105" i="19"/>
  <c r="N105" i="19"/>
  <c r="T104" i="19"/>
  <c r="Q104" i="19"/>
  <c r="N104" i="19"/>
  <c r="Y103" i="19"/>
  <c r="W103" i="19"/>
  <c r="T103" i="19"/>
  <c r="Q103" i="19"/>
  <c r="N103" i="19"/>
  <c r="Y102" i="19"/>
  <c r="X102" i="19"/>
  <c r="W102" i="19"/>
  <c r="N102" i="19"/>
  <c r="Y101" i="19"/>
  <c r="X101" i="19"/>
  <c r="W101" i="19"/>
  <c r="N101" i="19"/>
  <c r="N100" i="19"/>
  <c r="N99" i="19"/>
  <c r="N98" i="19"/>
  <c r="N97" i="19"/>
  <c r="N96" i="19"/>
  <c r="N95" i="19"/>
  <c r="N94" i="19"/>
  <c r="N93" i="19"/>
  <c r="Y92" i="19"/>
  <c r="X92" i="19"/>
  <c r="N92" i="19"/>
  <c r="Y91" i="19"/>
  <c r="X91" i="19"/>
  <c r="N91" i="19"/>
  <c r="Y90" i="19"/>
  <c r="X90" i="19"/>
  <c r="W90" i="19"/>
  <c r="N90" i="19"/>
  <c r="X89" i="19"/>
  <c r="N89" i="19"/>
  <c r="Y88" i="19"/>
  <c r="X88" i="19"/>
  <c r="W88" i="19"/>
  <c r="N88" i="19"/>
  <c r="Y87" i="19"/>
  <c r="W87" i="19"/>
  <c r="N87" i="19"/>
  <c r="Y86" i="19"/>
  <c r="X86" i="19"/>
  <c r="N86" i="19"/>
  <c r="Y85" i="19"/>
  <c r="X85" i="19"/>
  <c r="W85" i="19"/>
  <c r="N85" i="19"/>
  <c r="Y84" i="19"/>
  <c r="X84" i="19"/>
  <c r="W84" i="19"/>
  <c r="N84" i="19"/>
  <c r="Y83" i="19"/>
  <c r="X83" i="19"/>
  <c r="N83" i="19"/>
  <c r="Y82" i="19"/>
  <c r="Y100" i="19" s="1"/>
  <c r="Y111" i="19" s="1"/>
  <c r="N82" i="19"/>
  <c r="N81" i="19"/>
  <c r="N80" i="19"/>
  <c r="N79" i="19"/>
  <c r="N78" i="19"/>
  <c r="Z77" i="19"/>
  <c r="X77" i="19"/>
  <c r="N77" i="19"/>
  <c r="Z76" i="19"/>
  <c r="Y76" i="19"/>
  <c r="X76" i="19"/>
  <c r="N76" i="19"/>
  <c r="Z75" i="19"/>
  <c r="Y75" i="19"/>
  <c r="X75" i="19"/>
  <c r="N75" i="19"/>
  <c r="Z74" i="19"/>
  <c r="Y74" i="19"/>
  <c r="X74" i="19"/>
  <c r="N74" i="19"/>
  <c r="N73" i="19"/>
  <c r="Z72" i="19"/>
  <c r="Y72" i="19"/>
  <c r="X72" i="19"/>
  <c r="N72" i="19"/>
  <c r="N71" i="19"/>
  <c r="Z70" i="19"/>
  <c r="AD61" i="19"/>
  <c r="A61" i="19"/>
  <c r="AD32" i="19"/>
  <c r="B20" i="21" s="1"/>
  <c r="W32" i="19"/>
  <c r="B18" i="21" s="1"/>
  <c r="P32" i="19"/>
  <c r="B16" i="21" s="1"/>
  <c r="I32" i="19"/>
  <c r="B14" i="21" s="1"/>
  <c r="A32" i="19"/>
  <c r="B12" i="21" s="1"/>
  <c r="AD6" i="19"/>
  <c r="W6" i="19"/>
  <c r="I6" i="19"/>
  <c r="B13" i="21" s="1"/>
  <c r="A6" i="19"/>
  <c r="B11" i="21" s="1"/>
  <c r="A51" i="23"/>
  <c r="B123" i="21"/>
  <c r="B61" i="21"/>
  <c r="H33" i="21"/>
  <c r="H34" i="21" s="1"/>
  <c r="H35" i="21" s="1"/>
  <c r="H36" i="21" s="1"/>
  <c r="H37" i="21" s="1"/>
  <c r="H38" i="21" s="1"/>
  <c r="H40" i="21" s="1"/>
  <c r="H32" i="21"/>
  <c r="H31" i="21"/>
  <c r="H26" i="21"/>
  <c r="H28" i="21" s="1"/>
  <c r="H29" i="21" s="1"/>
  <c r="H24" i="21"/>
  <c r="B19" i="21"/>
  <c r="B17" i="21"/>
  <c r="B15" i="21"/>
  <c r="X93" i="19" l="1"/>
  <c r="X95" i="19" s="1"/>
  <c r="X115" i="19"/>
  <c r="W115" i="19"/>
  <c r="Y115" i="19"/>
  <c r="Z78" i="19"/>
  <c r="D126" i="19"/>
  <c r="W104" i="19"/>
  <c r="X78" i="19"/>
  <c r="Y104" i="19"/>
  <c r="B62" i="21"/>
  <c r="H41" i="21"/>
  <c r="H43" i="21"/>
  <c r="W92" i="19"/>
  <c r="D117" i="19"/>
  <c r="D118" i="19" s="1"/>
  <c r="H53" i="24"/>
  <c r="A53" i="24"/>
  <c r="I62" i="19"/>
  <c r="AD62" i="19"/>
  <c r="A52" i="23"/>
  <c r="W62" i="19"/>
  <c r="P62" i="19"/>
  <c r="C125" i="19"/>
  <c r="C126" i="19" s="1"/>
  <c r="C129" i="19"/>
  <c r="C130" i="19" s="1"/>
  <c r="W83" i="19"/>
  <c r="W89" i="19"/>
  <c r="W91" i="19"/>
  <c r="D121" i="19"/>
  <c r="D122" i="19" s="1"/>
  <c r="G237" i="19"/>
  <c r="I61" i="19"/>
  <c r="Y77" i="19"/>
  <c r="Y78" i="19" s="1"/>
  <c r="Y89" i="19"/>
  <c r="Y93" i="19" s="1"/>
  <c r="Y95" i="19" s="1"/>
  <c r="C117" i="19"/>
  <c r="C118" i="19" s="1"/>
  <c r="W128" i="19"/>
  <c r="Y133" i="19"/>
  <c r="H27" i="21"/>
  <c r="P61" i="19"/>
  <c r="X70" i="19"/>
  <c r="X106" i="19"/>
  <c r="X125" i="19"/>
  <c r="X128" i="19"/>
  <c r="X129" i="19"/>
  <c r="W82" i="19"/>
  <c r="W100" i="19" s="1"/>
  <c r="W111" i="19" s="1"/>
  <c r="H52" i="24"/>
  <c r="A52" i="24"/>
  <c r="W61" i="19"/>
  <c r="Y70" i="19"/>
  <c r="X103" i="19"/>
  <c r="W121" i="19"/>
  <c r="Y128" i="19"/>
  <c r="X82" i="19"/>
  <c r="X100" i="19" s="1"/>
  <c r="X111" i="19" s="1"/>
  <c r="W93" i="19" l="1"/>
  <c r="W95" i="19" s="1"/>
  <c r="X104" i="19"/>
  <c r="H45" i="21"/>
  <c r="H46" i="21" s="1"/>
  <c r="H47" i="21" s="1"/>
  <c r="H48" i="21" s="1"/>
  <c r="H66" i="21" s="1"/>
  <c r="H67" i="21" s="1"/>
  <c r="H68" i="21" s="1"/>
  <c r="H69" i="21" s="1"/>
  <c r="H70" i="21" s="1"/>
  <c r="H71" i="21" s="1"/>
  <c r="H73" i="21" s="1"/>
  <c r="H74" i="21" s="1"/>
  <c r="H75" i="21" s="1"/>
  <c r="H76" i="21" s="1"/>
  <c r="H77" i="21" s="1"/>
  <c r="H78" i="21" s="1"/>
  <c r="H80" i="21" s="1"/>
  <c r="H44" i="21"/>
</calcChain>
</file>

<file path=xl/sharedStrings.xml><?xml version="1.0" encoding="utf-8"?>
<sst xmlns="http://schemas.openxmlformats.org/spreadsheetml/2006/main" count="2876" uniqueCount="243">
  <si>
    <t>Tilbake til innholdsfortegnelsen</t>
  </si>
  <si>
    <t>Endring i prosent</t>
  </si>
  <si>
    <t>Landbasert i alt</t>
  </si>
  <si>
    <t>Året i alt</t>
  </si>
  <si>
    <t>Motorvogn, Privat</t>
  </si>
  <si>
    <t>Motorvogn, Næring</t>
  </si>
  <si>
    <t>Brann-kombinert, Privat</t>
  </si>
  <si>
    <t>Yrkesskade</t>
  </si>
  <si>
    <t>Trygghet</t>
  </si>
  <si>
    <t>Ulykke</t>
  </si>
  <si>
    <t>Reise</t>
  </si>
  <si>
    <t>Fritidsbåt</t>
  </si>
  <si>
    <t>Ansvar</t>
  </si>
  <si>
    <t>Fiskeoppdrett</t>
  </si>
  <si>
    <t>Andre</t>
  </si>
  <si>
    <t>Tabell 0.2 Landbasert forsikring i alt, anslått erstatning etter bransje</t>
  </si>
  <si>
    <t>Beløp i mill. kr.</t>
  </si>
  <si>
    <t>Privat i alt</t>
  </si>
  <si>
    <t>Brann</t>
  </si>
  <si>
    <t>Vannledning</t>
  </si>
  <si>
    <t>Innbrudd/Tyveri/Ran</t>
  </si>
  <si>
    <t>Glass (inkl. san. pors.)</t>
  </si>
  <si>
    <t>Matvarer i fryser</t>
  </si>
  <si>
    <t>Rettshjelp</t>
  </si>
  <si>
    <t>Annet</t>
  </si>
  <si>
    <t>Tabell 2.2 Brann-kombinert Privat, anslått erstatning etter skadetype</t>
  </si>
  <si>
    <t>Motorvogn i alt</t>
  </si>
  <si>
    <t>To-hjul</t>
  </si>
  <si>
    <t>Personbil og varebil &lt; 3,5 t.</t>
  </si>
  <si>
    <t>Lastebil, buss og varebil &gt; 3,5 t.</t>
  </si>
  <si>
    <t>Traktor, arbeidsmaskiner</t>
  </si>
  <si>
    <t>Andre motorvogner</t>
  </si>
  <si>
    <t>Tabell 1.2 Motorvogn, anslått erstatning etter kjøretøy</t>
  </si>
  <si>
    <t>Tabell 1.4 Motorvogn, anslått erstatning etter skadetype</t>
  </si>
  <si>
    <t>Ansvar person</t>
  </si>
  <si>
    <t>Førerulykke</t>
  </si>
  <si>
    <t>Ansvar ting</t>
  </si>
  <si>
    <t>Tyveri av bil</t>
  </si>
  <si>
    <t>Tyveri fra bil</t>
  </si>
  <si>
    <t>Glass</t>
  </si>
  <si>
    <t>Redning</t>
  </si>
  <si>
    <t>Vognskade (kasko)</t>
  </si>
  <si>
    <t>Hjemforsikring i alt</t>
  </si>
  <si>
    <r>
      <t xml:space="preserve">Tabell 2.2a Brann-kombinert Privat herav </t>
    </r>
    <r>
      <rPr>
        <b/>
        <i/>
        <sz val="12"/>
        <rFont val="Times New Roman"/>
        <family val="1"/>
      </rPr>
      <t>Hjem</t>
    </r>
    <r>
      <rPr>
        <b/>
        <sz val="12"/>
        <rFont val="Times New Roman"/>
        <family val="1"/>
      </rPr>
      <t>, anslått erstatning</t>
    </r>
  </si>
  <si>
    <t>Villaforsikring i alt</t>
  </si>
  <si>
    <t>Hytteforsikring i alt</t>
  </si>
  <si>
    <t>Sykdom</t>
  </si>
  <si>
    <t>Reiseulykke</t>
  </si>
  <si>
    <t>Reisesyke</t>
  </si>
  <si>
    <t>Avbestilling</t>
  </si>
  <si>
    <t>Andre skader</t>
  </si>
  <si>
    <t>Fritidsbåt i alt</t>
  </si>
  <si>
    <t>Havari</t>
  </si>
  <si>
    <t>Produktansvar person</t>
  </si>
  <si>
    <t>Produktansvar ting</t>
  </si>
  <si>
    <t>Bedriftsansvar ting</t>
  </si>
  <si>
    <t>Garanti</t>
  </si>
  <si>
    <t>Trygghetsforsikring i alt</t>
  </si>
  <si>
    <t>Yrkesskadeforsikring i alt</t>
  </si>
  <si>
    <t>Tabell 3.2 Yrkesskadeforsikring, anslått erstatning etter skadetype</t>
  </si>
  <si>
    <t>Ulykkesforsikring i alt</t>
  </si>
  <si>
    <t>Reiseforsikring i alt</t>
  </si>
  <si>
    <t>Tyveri/tap av reisegods</t>
  </si>
  <si>
    <t>Tyveri</t>
  </si>
  <si>
    <t>Ansvarsforsikring i alt</t>
  </si>
  <si>
    <t>Tabell 4.6 Ansvarsforsikring, anslått erstatning etter skadetype</t>
  </si>
  <si>
    <t>Bedriftsansvar person</t>
  </si>
  <si>
    <t>Formuesskade</t>
  </si>
  <si>
    <t>Annen person</t>
  </si>
  <si>
    <t>Annen ting</t>
  </si>
  <si>
    <t>Tabell 4.4 Fritidsbåtforsikring, anslått erstatning etter skadetype</t>
  </si>
  <si>
    <t>Tabell 4.2 Reiseforsikring, anslått erstatning etter skadetype</t>
  </si>
  <si>
    <t>Tabell 3.6 Ulykkesforsikring, anslått erstatning etter skadetype</t>
  </si>
  <si>
    <t>Tabell 3.4 Trygghetsforsikring, anslått erstatning etter skadetype</t>
  </si>
  <si>
    <t>ANTALL</t>
  </si>
  <si>
    <t>KVARTAL</t>
  </si>
  <si>
    <t>ÅR</t>
  </si>
  <si>
    <t>Personbil</t>
  </si>
  <si>
    <t>Faktiske tall</t>
  </si>
  <si>
    <t>Motorv.</t>
  </si>
  <si>
    <t>Pers.bil</t>
  </si>
  <si>
    <t>FORDELING</t>
  </si>
  <si>
    <t>Person</t>
  </si>
  <si>
    <t>Materiell</t>
  </si>
  <si>
    <t>Privat</t>
  </si>
  <si>
    <t>Sum</t>
  </si>
  <si>
    <t>Vann</t>
  </si>
  <si>
    <t>SUM</t>
  </si>
  <si>
    <t>INNHOLDSFORTEGNELSE</t>
  </si>
  <si>
    <t>1. HOVEDTREKK …………………………………………………………………………………………………..</t>
  </si>
  <si>
    <t>2. FIGURDEL</t>
  </si>
  <si>
    <t>3. TABELLDEL</t>
  </si>
  <si>
    <t>4. PRINSIPPER, BEGREPER OG DEFINISJONER …………………………………………………</t>
  </si>
  <si>
    <t>Tabell 0.2 Landbasert forsikring i alt, anslått erstatning etter bransje…………………………………………………………………………</t>
  </si>
  <si>
    <t>Tabell 1.2 Motorvogn, anslått erstatning etter kjøretøy………………………………………………</t>
  </si>
  <si>
    <t>Tabell 1.4 Motorvogn, anslått erstatning etter skadetype……………………………………………</t>
  </si>
  <si>
    <t>Tabell 2.2 Brann-kombinert Privat, anslått erstatning etter skadetype  …………………………………….</t>
  </si>
  <si>
    <t>Tabell 2.2a Brann-kombinert Privat herav Hjem, anslått erstatning……………………………………………</t>
  </si>
  <si>
    <r>
      <t xml:space="preserve">Tabell 2.2c Brann-kombinert Privat herav </t>
    </r>
    <r>
      <rPr>
        <b/>
        <i/>
        <sz val="12"/>
        <rFont val="Times New Roman"/>
        <family val="1"/>
      </rPr>
      <t>Hytte,</t>
    </r>
    <r>
      <rPr>
        <b/>
        <sz val="12"/>
        <rFont val="Times New Roman"/>
        <family val="1"/>
      </rPr>
      <t xml:space="preserve"> anslått erstatning</t>
    </r>
  </si>
  <si>
    <r>
      <t xml:space="preserve">Tabell 2.2b Brann-kombinert Privat herav </t>
    </r>
    <r>
      <rPr>
        <b/>
        <i/>
        <sz val="12"/>
        <rFont val="Times New Roman"/>
        <family val="1"/>
      </rPr>
      <t>Villa,</t>
    </r>
    <r>
      <rPr>
        <b/>
        <sz val="12"/>
        <rFont val="Times New Roman"/>
        <family val="1"/>
      </rPr>
      <t xml:space="preserve"> anslått erstatning</t>
    </r>
  </si>
  <si>
    <t>Tabell 2.2b Brann-kombinert Privat herav Villa, anslått erstatning……………………………………………</t>
  </si>
  <si>
    <t>Tabell 2.2c Brann-kombinert Privat herav Hytte anslått erstatning…………………………………………………………………</t>
  </si>
  <si>
    <t>Tabell 3.4 Trygghetsforsikring, anslått erstatning etter skadetype…………………………………………</t>
  </si>
  <si>
    <t>Tabell 3.6 Ulykkesforsikring, anslått erstatning etter skadetype………………………………………</t>
  </si>
  <si>
    <t>Tabell 3.2 Yrkesskadeforsikring, anslått erstatning etter skadetype …………………………………….</t>
  </si>
  <si>
    <t>Tabell 4.4 Fritidsbåtforsikring, anslått erstatning etter skadetype……………………………………………………………</t>
  </si>
  <si>
    <t>Tabell 4.6 Ansvarsforsikring, anslått erstatning etter skadetype   …………………………………………………………………….</t>
  </si>
  <si>
    <t>Tabell 4.2 Reiseforsikring, anslått erstatning etter skadetype……………………………………………………………</t>
  </si>
  <si>
    <t>Antall</t>
  </si>
  <si>
    <t>4. PRINSIPPER, BEGREPER OG DEFINISJONER</t>
  </si>
  <si>
    <t>Hentes fra tab5:</t>
  </si>
  <si>
    <t>Hjem</t>
  </si>
  <si>
    <t>Villa</t>
  </si>
  <si>
    <t>Hytte</t>
  </si>
  <si>
    <t>Tab1</t>
  </si>
  <si>
    <t>Tab2</t>
  </si>
  <si>
    <t>Tab3</t>
  </si>
  <si>
    <t>Tab4</t>
  </si>
  <si>
    <t>Tab5</t>
  </si>
  <si>
    <t>Tab6</t>
  </si>
  <si>
    <t>Tab7</t>
  </si>
  <si>
    <t>Tab8</t>
  </si>
  <si>
    <t>Tab9</t>
  </si>
  <si>
    <t>Tab10</t>
  </si>
  <si>
    <t>Tab11</t>
  </si>
  <si>
    <t>Tab13</t>
  </si>
  <si>
    <t>Tab14</t>
  </si>
  <si>
    <t>Tab15</t>
  </si>
  <si>
    <t>Tab16</t>
  </si>
  <si>
    <t>Tab17</t>
  </si>
  <si>
    <t>Tab18</t>
  </si>
  <si>
    <t>Tabell 0.1 Landbasert forsikring i alt, antall meldte skader etter bransje…………………………………………………………………………</t>
  </si>
  <si>
    <t>Tabell 1.1 Motorvogn, antall meldte skader etter kjøretøy………………………………………………….</t>
  </si>
  <si>
    <t>Tabell 1.3 Motorvogn, antall meldte skader etter skadetype………………………………………</t>
  </si>
  <si>
    <t>Tabell 2.1 Brann-kombinert Privat, antall meldte skader etter skadetype…………………………………</t>
  </si>
  <si>
    <t>Tabell 2.1a Brann-kombinert Privat herav Hjem, antall meldte skader  …………………………………………</t>
  </si>
  <si>
    <t>Tabell 2.1b Brann-kombinert Privat herav Villa, antall meldte skader  …………………………………………</t>
  </si>
  <si>
    <t>Tabell 2.1c Brann-kombinert Privat herav Hytte antall meldte skader………………………………………………………………</t>
  </si>
  <si>
    <t>Tabell 3.1 Yrkesskadeforsikring, antall meldte skader etter skadetype…………………………………</t>
  </si>
  <si>
    <t>Tabell 3.3 Trygghetsforsikring, antall meldte skader etter skadetype…………………………………………</t>
  </si>
  <si>
    <t>Tabell 3.5 Ulykkesforsikring, antall meldte skader etter skadetype…………………………………………</t>
  </si>
  <si>
    <t>Tabell 4.1 Reiseforsikring, antall meldte skader etter skadetype…………………………………………………………</t>
  </si>
  <si>
    <t>Tabell 4.3 Fritidsbåtforsikring, antall meldte skader etter skadetype…………………………………………………………</t>
  </si>
  <si>
    <t>Tabell 4.5 Ansvarsforsikring, antall meldte skader etter skadetype …………………………………………………………………….</t>
  </si>
  <si>
    <t>Tabell 0.1 Landbasert forsikring i alt, antall meldte skader etter bransje</t>
  </si>
  <si>
    <t>Tabell 1.1 Motorvogn, antall meldte skader etter kjøretøy</t>
  </si>
  <si>
    <t>Tabell 1.3 Motorvogn, antall meldte skader etter skadetype</t>
  </si>
  <si>
    <t>Tabell 2.1 Brann-kombinert Privat, antall meldte skader etter skadetype</t>
  </si>
  <si>
    <t>Tabell 2.1a Brann-kombinert Privat herav Hjem, antall meldte skader</t>
  </si>
  <si>
    <t>Tabell 2.1b Brann-kombinert Privat herav Villa, antall meldte skader</t>
  </si>
  <si>
    <t>Tabell 2.1c Brann-kombinert Privat herav Hytte, antall meldte skader</t>
  </si>
  <si>
    <t>Tabell 3.1 Yrkesskadeforsikring, antall meldte skader etter skadetype</t>
  </si>
  <si>
    <t>Tabell 3.3 Trygghetsforsikring, antall meldte skader etter skadetype</t>
  </si>
  <si>
    <t>Tabell 3.5 Ulykkesforsikring, antall meldte skader etter skadetype</t>
  </si>
  <si>
    <t>Tabell 4.1 Reiseforsikring, antall meldte skader etter skadetype</t>
  </si>
  <si>
    <t>Tabell 4.3 Fritidsbåtforsikring, antall meldte skader etter skadetype</t>
  </si>
  <si>
    <t>Tabell 4.5 Ansvarsforsikring, antall meldte skader etter skadetype</t>
  </si>
  <si>
    <t>Erstatning</t>
  </si>
  <si>
    <t>Just. erst.</t>
  </si>
  <si>
    <t>KPI</t>
  </si>
  <si>
    <t>Fra tab:</t>
  </si>
  <si>
    <t>Vannskader</t>
  </si>
  <si>
    <t>Fig. 3. Ansl. erstat. etter bransje</t>
  </si>
  <si>
    <t>Tabell 2.3 Brann-kombinert Næring, antall meldte skader etter skadetype</t>
  </si>
  <si>
    <t>Tabell 2.4 Brann-kombinert Næring, anslått erstatning etter skadetype</t>
  </si>
  <si>
    <t>Næring i alt</t>
  </si>
  <si>
    <t>Tabell 2.3 Brann-kombinert Næring, antall meldte skader etter skadetype …………………………………………………………</t>
  </si>
  <si>
    <t>Tabell 2.4 Brann-kombinert Næring, anslått erstatning etter skadetype……………………………………………………………</t>
  </si>
  <si>
    <t>Brann-kombinert, Næring</t>
  </si>
  <si>
    <t>Næring</t>
  </si>
  <si>
    <t>I alt</t>
  </si>
  <si>
    <t>Brann                                                       (inkl avbrudd)</t>
  </si>
  <si>
    <t>Tab12</t>
  </si>
  <si>
    <t>oppslag</t>
  </si>
  <si>
    <t>beregning</t>
  </si>
  <si>
    <t>Brannskader</t>
  </si>
  <si>
    <t>Innbrudd/tyveri/ran</t>
  </si>
  <si>
    <t>Figur 4</t>
  </si>
  <si>
    <t>Figur 10</t>
  </si>
  <si>
    <t>Figur 9</t>
  </si>
  <si>
    <t>Fig. 1. Antall anmeldte skader etter bransje</t>
  </si>
  <si>
    <t>Fig. 2. Antall anmeldte skader etter bransje</t>
  </si>
  <si>
    <t>Figur 5. Antall meldte skader i motorvogn kvartalsvis (i 1000)</t>
  </si>
  <si>
    <t>Fig. 5</t>
  </si>
  <si>
    <t>Fig. 6.  Ansl. erstat. etter skadetype, motorvogn</t>
  </si>
  <si>
    <t>Fig. 7. Antall skader i de Brann-kombinerte bransjer etter skadetype</t>
  </si>
  <si>
    <t>Fig. 8. Anslått erstatning i de Brann-kombinerte bransjer etter skadetype</t>
  </si>
  <si>
    <t>Hittil</t>
  </si>
  <si>
    <t>Hele året</t>
  </si>
  <si>
    <t>Kaskoskader</t>
  </si>
  <si>
    <t>Barn</t>
  </si>
  <si>
    <t>Kritisk sykdom</t>
  </si>
  <si>
    <t>Behandling</t>
  </si>
  <si>
    <t>Barneforsikring i alt</t>
  </si>
  <si>
    <t>Medisinsk invaliditet</t>
  </si>
  <si>
    <t>Hjelpestønad</t>
  </si>
  <si>
    <t>Behandlingsutgifter</t>
  </si>
  <si>
    <t>Dagpenger</t>
  </si>
  <si>
    <t>Dødsfall</t>
  </si>
  <si>
    <t>Ombygging av bolig</t>
  </si>
  <si>
    <t>Utvalgte sykdommer</t>
  </si>
  <si>
    <t>Kritisk sykdom i alt</t>
  </si>
  <si>
    <t>Kreft</t>
  </si>
  <si>
    <t>Hjerte- og karsykdommer</t>
  </si>
  <si>
    <t>Hjerneslag</t>
  </si>
  <si>
    <t>Nyresvikt</t>
  </si>
  <si>
    <t>Multippel sklerose (MS)</t>
  </si>
  <si>
    <t>Annen sykdom</t>
  </si>
  <si>
    <t>Behandling i alt</t>
  </si>
  <si>
    <t>Legespesialist/diagnostikk</t>
  </si>
  <si>
    <t>Psykolog/psykiater</t>
  </si>
  <si>
    <t>Annen behandling</t>
  </si>
  <si>
    <t>Tabell 3.7 Barneforsikring, antall meldte skader etter skadetype</t>
  </si>
  <si>
    <t>Tabell 3.8 Barneforsikring, anslått erstatning etter skadetype</t>
  </si>
  <si>
    <t>Tabell 3.9 Kritisk sykdom, antall meldte skader etter skadetype</t>
  </si>
  <si>
    <t>Tabell 3.10 Kritisk sykdom, anslått erstatning etter skadetype</t>
  </si>
  <si>
    <t>Tabell 3.11 Behandlingsforsikring, antall meldte skader etter skadetype</t>
  </si>
  <si>
    <t>Tabell 3.12 Behandlingsforsikring, anslått erstatning etter skadetype</t>
  </si>
  <si>
    <t>Tabell 3.7 Barneforsikring, antall meldte skader etter skadetype…………………………………………</t>
  </si>
  <si>
    <t>Tabell 3.8 Barneforsikring, anslått erstatning etter skadetype………………………………………</t>
  </si>
  <si>
    <t>Tabell 3.9 Kritisk sykdom, antall meldte skader etter skadetype…………………………………………</t>
  </si>
  <si>
    <t>Tabell 3.10 Kritisk sykdom, anslått erstatning etter skadetype………………………………………</t>
  </si>
  <si>
    <t>Tabell 3.11 Behandlingsforsikring, antall meldte skader etter skadetype…………………………………………</t>
  </si>
  <si>
    <t>Tabell 3.12 Behandlingsforsikring, anslått erstatning etter skadetype………………………………………</t>
  </si>
  <si>
    <t>Tab19</t>
  </si>
  <si>
    <t>Tab20</t>
  </si>
  <si>
    <t>Tab21</t>
  </si>
  <si>
    <t>Operasjon</t>
  </si>
  <si>
    <t>Uførhet</t>
  </si>
  <si>
    <t>midt-måneden</t>
  </si>
  <si>
    <t>Fysioterapeut/kiropraktor</t>
  </si>
  <si>
    <t xml:space="preserve">NB. Datagrunnlaget er levert fra Finans Norges medlemsselskaper. Enkelte tall kan bli justert i </t>
  </si>
  <si>
    <t xml:space="preserve">etterkant dersom et selskap oppdager feil eller mangler ved sine data. For mer detaljert beskrivelse </t>
  </si>
  <si>
    <t>av statistikkens innhold henviser vi til punkt 4. Prinsipper, begreper og definisjoner på side 27.</t>
  </si>
  <si>
    <t>(2023)</t>
  </si>
  <si>
    <t>2021</t>
  </si>
  <si>
    <t>2022</t>
  </si>
  <si>
    <t>2023</t>
  </si>
  <si>
    <t>21-23</t>
  </si>
  <si>
    <t>22-23</t>
  </si>
  <si>
    <t/>
  </si>
  <si>
    <t>Finans Norge / Skadeforsikringsstatistikk</t>
  </si>
  <si>
    <t>Skadestatistikk for landbasert forsikring 4. kvartal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</si>
</sst>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_);_(* \(#,##0.00\);_(* &quot;-&quot;??_);_(@_)"/>
    <numFmt numFmtId="166" formatCode="0.0_)"/>
    <numFmt numFmtId="167" formatCode="#,##0.0"/>
    <numFmt numFmtId="168" formatCode="_ * #,##0_ ;_ * \-#,##0_ ;_ * &quot;-&quot;??_ ;_ @_ "/>
    <numFmt numFmtId="169" formatCode="0.0"/>
    <numFmt numFmtId="170" formatCode="0.000"/>
    <numFmt numFmtId="171" formatCode="#,##0.000"/>
  </numFmts>
  <fonts count="43"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Times New Roman"/>
      <family val="1"/>
    </font>
    <font>
      <u/>
      <sz val="12"/>
      <color indexed="12"/>
      <name val="System"/>
      <family val="2"/>
    </font>
    <font>
      <b/>
      <sz val="12"/>
      <name val="Times New Roman"/>
      <family val="1"/>
    </font>
    <font>
      <sz val="9"/>
      <name val="Times New Roman"/>
      <family val="1"/>
    </font>
    <font>
      <b/>
      <sz val="9"/>
      <name val="Times New Roman"/>
      <family val="1"/>
    </font>
    <font>
      <sz val="12"/>
      <name val="Arial"/>
      <family val="2"/>
    </font>
    <font>
      <i/>
      <sz val="9"/>
      <name val="Times New Roman"/>
      <family val="1"/>
    </font>
    <font>
      <b/>
      <sz val="10"/>
      <name val="Times New Roman"/>
      <family val="1"/>
    </font>
    <font>
      <i/>
      <sz val="10"/>
      <name val="Times New Roman"/>
      <family val="1"/>
    </font>
    <font>
      <b/>
      <sz val="16"/>
      <name val="Times New Roman"/>
      <family val="1"/>
    </font>
    <font>
      <sz val="8"/>
      <name val="Times New Roman"/>
      <family val="1"/>
    </font>
    <font>
      <b/>
      <i/>
      <sz val="12"/>
      <name val="Times New Roman"/>
      <family val="1"/>
    </font>
    <font>
      <b/>
      <sz val="10"/>
      <name val="Arial"/>
      <family val="2"/>
    </font>
    <font>
      <sz val="10"/>
      <color indexed="8"/>
      <name val="Arial"/>
      <family val="2"/>
    </font>
    <font>
      <sz val="10"/>
      <color indexed="18"/>
      <name val="Arial"/>
      <family val="2"/>
    </font>
    <font>
      <sz val="14"/>
      <name val="Times New Roman"/>
      <family val="1"/>
    </font>
    <font>
      <sz val="12"/>
      <name val="Times New Roman"/>
      <family val="1"/>
    </font>
    <font>
      <sz val="10"/>
      <name val="Arial"/>
      <family val="2"/>
    </font>
    <font>
      <sz val="10"/>
      <color indexed="9"/>
      <name val="Times New Roman"/>
      <family val="1"/>
    </font>
    <font>
      <i/>
      <sz val="12"/>
      <name val="Times New Roman"/>
      <family val="1"/>
    </font>
    <font>
      <u/>
      <sz val="12"/>
      <color indexed="12"/>
      <name val="Arial"/>
      <family val="2"/>
    </font>
    <font>
      <sz val="10"/>
      <color indexed="23"/>
      <name val="Arial"/>
      <family val="2"/>
    </font>
    <font>
      <sz val="18"/>
      <color indexed="23"/>
      <name val="Times New Roman"/>
      <family val="1"/>
    </font>
    <font>
      <sz val="14"/>
      <color indexed="23"/>
      <name val="Times New Roman"/>
      <family val="1"/>
    </font>
    <font>
      <b/>
      <sz val="28"/>
      <color rgb="FF3B6E8F"/>
      <name val="Cambria"/>
      <family val="1"/>
      <scheme val="major"/>
    </font>
    <font>
      <sz val="20"/>
      <color theme="1"/>
      <name val="Calibri"/>
      <family val="2"/>
      <scheme val="minor"/>
    </font>
    <font>
      <sz val="14"/>
      <color theme="1"/>
      <name val="Calibri"/>
      <family val="2"/>
      <scheme val="minor"/>
    </font>
    <font>
      <b/>
      <sz val="26"/>
      <color rgb="FF3B6E8F"/>
      <name val="Cambria"/>
      <family val="1"/>
      <scheme val="major"/>
    </font>
    <font>
      <b/>
      <sz val="28"/>
      <color rgb="FF54758C"/>
      <name val="Arial"/>
      <family val="2"/>
    </font>
    <font>
      <sz val="26"/>
      <color rgb="FF54758C"/>
      <name val="Arial"/>
      <family val="2"/>
    </font>
    <font>
      <sz val="14"/>
      <name val="Arial"/>
      <family val="2"/>
    </font>
    <font>
      <sz val="14"/>
      <color indexed="22"/>
      <name val="Times New Roman"/>
      <family val="1"/>
    </font>
    <font>
      <u/>
      <sz val="10"/>
      <name val="Arial"/>
      <family val="2"/>
    </font>
    <font>
      <u/>
      <sz val="12"/>
      <name val="System"/>
      <family val="2"/>
    </font>
    <font>
      <sz val="10"/>
      <color theme="0"/>
      <name val="Times New Roman"/>
      <family val="1"/>
    </font>
    <font>
      <b/>
      <sz val="10"/>
      <color theme="0"/>
      <name val="Times New Roman"/>
      <family val="1"/>
    </font>
    <font>
      <b/>
      <sz val="10"/>
      <color theme="0"/>
      <name val="Arial"/>
      <family val="2"/>
    </font>
    <font>
      <sz val="10"/>
      <color theme="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s>
  <cellStyleXfs count="17">
    <xf numFmtId="0" fontId="0" fillId="0" borderId="0"/>
    <xf numFmtId="165" fontId="3" fillId="0" borderId="0" applyFon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xf numFmtId="165" fontId="3" fillId="0" borderId="0" applyFont="0" applyFill="0" applyBorder="0" applyAlignment="0" applyProtection="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3" fillId="0" borderId="0"/>
    <xf numFmtId="0" fontId="3" fillId="0" borderId="0"/>
  </cellStyleXfs>
  <cellXfs count="220">
    <xf numFmtId="0" fontId="0" fillId="0" borderId="0" xfId="0"/>
    <xf numFmtId="0" fontId="5" fillId="0" borderId="0" xfId="0" applyFont="1"/>
    <xf numFmtId="0" fontId="5" fillId="0" borderId="0" xfId="0" applyFont="1" applyAlignment="1" applyProtection="1">
      <alignment horizontal="left"/>
    </xf>
    <xf numFmtId="0" fontId="6" fillId="0" borderId="0" xfId="2" applyFont="1" applyAlignment="1" applyProtection="1">
      <alignment horizontal="left"/>
    </xf>
    <xf numFmtId="0" fontId="7" fillId="2" borderId="0" xfId="0" applyFont="1" applyFill="1" applyBorder="1"/>
    <xf numFmtId="166" fontId="8" fillId="0" borderId="0" xfId="0" applyNumberFormat="1" applyFont="1" applyProtection="1"/>
    <xf numFmtId="0" fontId="8" fillId="0" borderId="0" xfId="0" applyFont="1"/>
    <xf numFmtId="0" fontId="9" fillId="2" borderId="1" xfId="0" applyFont="1" applyFill="1" applyBorder="1"/>
    <xf numFmtId="0" fontId="9" fillId="2" borderId="2" xfId="0" applyFont="1" applyFill="1" applyBorder="1" applyAlignment="1">
      <alignment horizontal="center"/>
    </xf>
    <xf numFmtId="0" fontId="9" fillId="2" borderId="3" xfId="0" applyFont="1" applyFill="1" applyBorder="1"/>
    <xf numFmtId="0" fontId="8" fillId="2" borderId="2" xfId="0" applyFont="1" applyFill="1" applyBorder="1"/>
    <xf numFmtId="0" fontId="8" fillId="2" borderId="4" xfId="0" applyFont="1" applyFill="1" applyBorder="1"/>
    <xf numFmtId="0" fontId="9" fillId="2" borderId="5" xfId="0" applyFont="1" applyFill="1" applyBorder="1" applyAlignment="1">
      <alignment horizontal="left"/>
    </xf>
    <xf numFmtId="14" fontId="9" fillId="2" borderId="6" xfId="0" applyNumberFormat="1" applyFont="1" applyFill="1" applyBorder="1" applyAlignment="1">
      <alignment horizontal="right"/>
    </xf>
    <xf numFmtId="1" fontId="9" fillId="2" borderId="7" xfId="0" applyNumberFormat="1" applyFont="1" applyFill="1" applyBorder="1" applyAlignment="1">
      <alignment horizontal="right"/>
    </xf>
    <xf numFmtId="1" fontId="9" fillId="2" borderId="6" xfId="0" applyNumberFormat="1" applyFont="1" applyFill="1" applyBorder="1" applyAlignment="1">
      <alignment horizontal="right"/>
    </xf>
    <xf numFmtId="1" fontId="9" fillId="2" borderId="8" xfId="0" applyNumberFormat="1" applyFont="1" applyFill="1" applyBorder="1" applyAlignment="1">
      <alignment horizontal="right"/>
    </xf>
    <xf numFmtId="14" fontId="9" fillId="2" borderId="7" xfId="0" applyNumberFormat="1" applyFont="1" applyFill="1" applyBorder="1" applyAlignment="1">
      <alignment horizontal="right"/>
    </xf>
    <xf numFmtId="14" fontId="9" fillId="2" borderId="9" xfId="0" applyNumberFormat="1" applyFont="1" applyFill="1" applyBorder="1" applyAlignment="1">
      <alignment horizontal="right"/>
    </xf>
    <xf numFmtId="0" fontId="8" fillId="0" borderId="10" xfId="0" applyFont="1" applyBorder="1"/>
    <xf numFmtId="3" fontId="8" fillId="0" borderId="0" xfId="1" applyNumberFormat="1" applyFont="1" applyProtection="1"/>
    <xf numFmtId="3" fontId="8" fillId="0" borderId="0" xfId="1" applyNumberFormat="1" applyFont="1" applyBorder="1" applyProtection="1"/>
    <xf numFmtId="168" fontId="8" fillId="0" borderId="11" xfId="1" applyNumberFormat="1" applyFont="1" applyBorder="1" applyAlignment="1" applyProtection="1">
      <alignment horizontal="right"/>
    </xf>
    <xf numFmtId="166" fontId="8" fillId="0" borderId="0" xfId="0" applyNumberFormat="1" applyFont="1" applyAlignment="1" applyProtection="1">
      <alignment horizontal="right"/>
    </xf>
    <xf numFmtId="166" fontId="8" fillId="0" borderId="12" xfId="0" applyNumberFormat="1" applyFont="1" applyBorder="1" applyAlignment="1">
      <alignment horizontal="right"/>
    </xf>
    <xf numFmtId="0" fontId="11" fillId="0" borderId="13" xfId="0" applyFont="1" applyBorder="1"/>
    <xf numFmtId="3" fontId="8" fillId="0" borderId="14" xfId="1" applyNumberFormat="1" applyFont="1" applyBorder="1" applyProtection="1"/>
    <xf numFmtId="168" fontId="8" fillId="0" borderId="13" xfId="1" applyNumberFormat="1" applyFont="1" applyBorder="1" applyProtection="1"/>
    <xf numFmtId="166" fontId="8" fillId="0" borderId="14" xfId="0" applyNumberFormat="1" applyFont="1" applyBorder="1" applyAlignment="1" applyProtection="1">
      <alignment horizontal="right"/>
    </xf>
    <xf numFmtId="166" fontId="8" fillId="0" borderId="15" xfId="0" applyNumberFormat="1" applyFont="1" applyBorder="1" applyAlignment="1">
      <alignment horizontal="right"/>
    </xf>
    <xf numFmtId="0" fontId="8" fillId="0" borderId="16" xfId="0" applyFont="1" applyBorder="1"/>
    <xf numFmtId="0" fontId="8" fillId="0" borderId="11" xfId="0" applyFont="1" applyBorder="1"/>
    <xf numFmtId="166" fontId="8" fillId="0" borderId="17" xfId="0" applyNumberFormat="1" applyFont="1" applyBorder="1" applyAlignment="1" applyProtection="1">
      <alignment horizontal="right"/>
    </xf>
    <xf numFmtId="166" fontId="8" fillId="0" borderId="18" xfId="0" applyNumberFormat="1" applyFont="1" applyBorder="1" applyAlignment="1">
      <alignment horizontal="right"/>
    </xf>
    <xf numFmtId="0" fontId="8" fillId="0" borderId="19" xfId="0" applyFont="1" applyBorder="1"/>
    <xf numFmtId="166" fontId="8" fillId="0" borderId="20" xfId="0" applyNumberFormat="1" applyFont="1" applyBorder="1" applyAlignment="1" applyProtection="1">
      <alignment horizontal="right"/>
    </xf>
    <xf numFmtId="3" fontId="8" fillId="0" borderId="21" xfId="1" applyNumberFormat="1" applyFont="1" applyBorder="1" applyProtection="1"/>
    <xf numFmtId="166" fontId="8" fillId="0" borderId="21" xfId="0" applyNumberFormat="1" applyFont="1" applyBorder="1" applyAlignment="1" applyProtection="1">
      <alignment horizontal="right"/>
    </xf>
    <xf numFmtId="166" fontId="8" fillId="0" borderId="0" xfId="0" applyNumberFormat="1" applyFont="1" applyBorder="1" applyAlignment="1" applyProtection="1">
      <alignment horizontal="right"/>
    </xf>
    <xf numFmtId="0" fontId="8" fillId="0" borderId="22" xfId="0" applyFont="1" applyBorder="1"/>
    <xf numFmtId="3" fontId="8" fillId="0" borderId="0" xfId="1" applyNumberFormat="1" applyFont="1"/>
    <xf numFmtId="0" fontId="9" fillId="0" borderId="23" xfId="0" applyFont="1" applyBorder="1"/>
    <xf numFmtId="0" fontId="11" fillId="0" borderId="24" xfId="0" applyFont="1" applyBorder="1"/>
    <xf numFmtId="3" fontId="8" fillId="0" borderId="25" xfId="1" applyNumberFormat="1" applyFont="1" applyBorder="1" applyProtection="1"/>
    <xf numFmtId="168" fontId="8" fillId="0" borderId="24" xfId="1" applyNumberFormat="1" applyFont="1" applyBorder="1" applyProtection="1"/>
    <xf numFmtId="166" fontId="8" fillId="0" borderId="26" xfId="0" applyNumberFormat="1" applyFont="1" applyBorder="1" applyAlignment="1" applyProtection="1">
      <alignment horizontal="right"/>
    </xf>
    <xf numFmtId="166" fontId="8" fillId="0" borderId="27" xfId="0" applyNumberFormat="1" applyFont="1" applyBorder="1" applyAlignment="1">
      <alignment horizontal="right"/>
    </xf>
    <xf numFmtId="0" fontId="12" fillId="0" borderId="0" xfId="0" applyFont="1" applyBorder="1"/>
    <xf numFmtId="0" fontId="13" fillId="0" borderId="0" xfId="0" applyFont="1" applyBorder="1"/>
    <xf numFmtId="168" fontId="5" fillId="0" borderId="0" xfId="1" applyNumberFormat="1" applyFont="1" applyBorder="1" applyProtection="1"/>
    <xf numFmtId="166" fontId="5" fillId="0" borderId="0" xfId="0" applyNumberFormat="1" applyFont="1" applyBorder="1" applyAlignment="1" applyProtection="1">
      <alignment horizontal="right"/>
    </xf>
    <xf numFmtId="166" fontId="5" fillId="0" borderId="0" xfId="0" applyNumberFormat="1" applyFont="1" applyBorder="1" applyAlignment="1">
      <alignment horizontal="right"/>
    </xf>
    <xf numFmtId="0" fontId="5" fillId="0" borderId="6" xfId="0" applyFont="1" applyBorder="1"/>
    <xf numFmtId="0" fontId="15" fillId="0" borderId="0" xfId="0" applyFont="1" applyAlignment="1">
      <alignment horizontal="right"/>
    </xf>
    <xf numFmtId="0" fontId="15" fillId="0" borderId="0" xfId="0" applyFont="1" applyAlignment="1">
      <alignment horizontal="left"/>
    </xf>
    <xf numFmtId="168" fontId="5" fillId="0" borderId="0" xfId="1" applyNumberFormat="1" applyFont="1" applyBorder="1" applyAlignment="1" applyProtection="1">
      <alignment horizontal="center"/>
    </xf>
    <xf numFmtId="0" fontId="8" fillId="0" borderId="23" xfId="0" applyFont="1" applyBorder="1"/>
    <xf numFmtId="166" fontId="8" fillId="0" borderId="25" xfId="0" applyNumberFormat="1" applyFont="1" applyBorder="1" applyAlignment="1" applyProtection="1">
      <alignment horizontal="right"/>
    </xf>
    <xf numFmtId="0" fontId="8" fillId="0" borderId="0" xfId="0" applyFont="1" applyBorder="1"/>
    <xf numFmtId="168" fontId="8" fillId="0" borderId="0" xfId="1" applyNumberFormat="1" applyFont="1" applyBorder="1" applyAlignment="1" applyProtection="1">
      <alignment horizontal="right"/>
    </xf>
    <xf numFmtId="166" fontId="8" fillId="0" borderId="0" xfId="0" applyNumberFormat="1" applyFont="1" applyBorder="1" applyAlignment="1">
      <alignment horizontal="right"/>
    </xf>
    <xf numFmtId="0" fontId="5" fillId="0" borderId="0" xfId="0" applyFont="1" applyBorder="1"/>
    <xf numFmtId="0" fontId="11" fillId="0" borderId="0" xfId="0" applyFont="1" applyBorder="1"/>
    <xf numFmtId="168" fontId="8" fillId="0" borderId="0" xfId="1" applyNumberFormat="1" applyFont="1" applyBorder="1" applyProtection="1"/>
    <xf numFmtId="3" fontId="8" fillId="0" borderId="0" xfId="1" applyNumberFormat="1" applyFont="1" applyBorder="1"/>
    <xf numFmtId="0" fontId="9" fillId="0" borderId="0" xfId="0" applyFont="1" applyBorder="1"/>
    <xf numFmtId="0" fontId="7" fillId="2" borderId="0" xfId="0" applyFont="1" applyFill="1" applyBorder="1" applyAlignment="1"/>
    <xf numFmtId="0" fontId="5" fillId="0" borderId="0" xfId="0" applyFont="1" applyAlignment="1"/>
    <xf numFmtId="0" fontId="17" fillId="0" borderId="0" xfId="0" applyFont="1"/>
    <xf numFmtId="0" fontId="18" fillId="0" borderId="0" xfId="0" applyFont="1"/>
    <xf numFmtId="0" fontId="19" fillId="0" borderId="0" xfId="0" applyFont="1"/>
    <xf numFmtId="1" fontId="19" fillId="0" borderId="0" xfId="0" applyNumberFormat="1" applyFont="1"/>
    <xf numFmtId="1" fontId="0" fillId="0" borderId="0" xfId="0" applyNumberFormat="1"/>
    <xf numFmtId="0" fontId="21" fillId="0" borderId="0" xfId="0" applyFont="1"/>
    <xf numFmtId="0" fontId="21" fillId="0" borderId="0" xfId="0" applyFont="1" applyAlignment="1">
      <alignment horizontal="center"/>
    </xf>
    <xf numFmtId="0" fontId="7" fillId="0" borderId="0" xfId="0" applyFont="1" applyAlignment="1">
      <alignment horizontal="left"/>
    </xf>
    <xf numFmtId="0" fontId="21" fillId="0" borderId="0" xfId="0" applyFont="1" applyAlignment="1">
      <alignment horizontal="left"/>
    </xf>
    <xf numFmtId="0" fontId="5" fillId="0" borderId="0" xfId="0" quotePrefix="1" applyFont="1"/>
    <xf numFmtId="0" fontId="0" fillId="0" borderId="0" xfId="0" applyAlignment="1">
      <alignment horizontal="left"/>
    </xf>
    <xf numFmtId="3" fontId="8" fillId="0" borderId="28" xfId="1" applyNumberFormat="1" applyFont="1" applyBorder="1" applyProtection="1"/>
    <xf numFmtId="167" fontId="8" fillId="0" borderId="0" xfId="1" applyNumberFormat="1" applyFont="1" applyProtection="1"/>
    <xf numFmtId="167" fontId="8" fillId="0" borderId="28" xfId="1" applyNumberFormat="1" applyFont="1" applyBorder="1" applyProtection="1"/>
    <xf numFmtId="167" fontId="8" fillId="0" borderId="14" xfId="1" applyNumberFormat="1" applyFont="1" applyBorder="1" applyProtection="1"/>
    <xf numFmtId="167" fontId="8" fillId="0" borderId="0" xfId="1" applyNumberFormat="1" applyFont="1" applyBorder="1" applyProtection="1"/>
    <xf numFmtId="167" fontId="8" fillId="0" borderId="21" xfId="1" applyNumberFormat="1" applyFont="1" applyBorder="1" applyProtection="1"/>
    <xf numFmtId="167" fontId="8" fillId="0" borderId="0" xfId="1" applyNumberFormat="1" applyFont="1"/>
    <xf numFmtId="167" fontId="8" fillId="0" borderId="25" xfId="1" applyNumberFormat="1" applyFont="1" applyBorder="1" applyProtection="1"/>
    <xf numFmtId="0" fontId="23" fillId="0" borderId="0" xfId="0" applyFont="1"/>
    <xf numFmtId="0" fontId="7" fillId="0" borderId="0" xfId="0" applyFont="1"/>
    <xf numFmtId="0" fontId="22" fillId="0" borderId="0" xfId="0" applyFont="1"/>
    <xf numFmtId="0" fontId="25" fillId="0" borderId="0" xfId="2" applyFont="1" applyAlignment="1" applyProtection="1">
      <alignment horizontal="left"/>
    </xf>
    <xf numFmtId="0" fontId="4" fillId="0" borderId="0" xfId="3" applyAlignment="1" applyProtection="1">
      <alignment horizontal="left"/>
    </xf>
    <xf numFmtId="0" fontId="4" fillId="0" borderId="0" xfId="3" applyAlignment="1" applyProtection="1"/>
    <xf numFmtId="0" fontId="24" fillId="0" borderId="0" xfId="0" applyFont="1"/>
    <xf numFmtId="167" fontId="5" fillId="0" borderId="0" xfId="0" applyNumberFormat="1" applyFont="1"/>
    <xf numFmtId="0" fontId="21" fillId="0" borderId="0" xfId="0" quotePrefix="1" applyFont="1"/>
    <xf numFmtId="3" fontId="8" fillId="0" borderId="0" xfId="1" quotePrefix="1" applyNumberFormat="1" applyFont="1" applyBorder="1" applyProtection="1"/>
    <xf numFmtId="168" fontId="5" fillId="0" borderId="0" xfId="1" quotePrefix="1" applyNumberFormat="1" applyFont="1" applyBorder="1" applyProtection="1"/>
    <xf numFmtId="0" fontId="5" fillId="0" borderId="0" xfId="4" applyFont="1"/>
    <xf numFmtId="0" fontId="5" fillId="0" borderId="0" xfId="4" applyFont="1" applyAlignment="1" applyProtection="1">
      <alignment horizontal="left"/>
    </xf>
    <xf numFmtId="0" fontId="7" fillId="2" borderId="0" xfId="4" applyFont="1" applyFill="1" applyBorder="1"/>
    <xf numFmtId="166" fontId="8" fillId="0" borderId="0" xfId="4" applyNumberFormat="1" applyFont="1" applyProtection="1"/>
    <xf numFmtId="0" fontId="8" fillId="0" borderId="0" xfId="4" applyFont="1"/>
    <xf numFmtId="0" fontId="9" fillId="2" borderId="1" xfId="4" applyFont="1" applyFill="1" applyBorder="1"/>
    <xf numFmtId="0" fontId="9" fillId="2" borderId="2" xfId="4" applyFont="1" applyFill="1" applyBorder="1" applyAlignment="1">
      <alignment horizontal="center"/>
    </xf>
    <xf numFmtId="0" fontId="9" fillId="2" borderId="3" xfId="4" applyFont="1" applyFill="1" applyBorder="1"/>
    <xf numFmtId="0" fontId="8" fillId="2" borderId="2" xfId="4" applyFont="1" applyFill="1" applyBorder="1"/>
    <xf numFmtId="0" fontId="8" fillId="2" borderId="4" xfId="4" applyFont="1" applyFill="1" applyBorder="1"/>
    <xf numFmtId="0" fontId="9" fillId="2" borderId="5" xfId="4" applyFont="1" applyFill="1" applyBorder="1" applyAlignment="1">
      <alignment horizontal="left"/>
    </xf>
    <xf numFmtId="14" fontId="9" fillId="2" borderId="6" xfId="4" applyNumberFormat="1" applyFont="1" applyFill="1" applyBorder="1" applyAlignment="1">
      <alignment horizontal="right"/>
    </xf>
    <xf numFmtId="1" fontId="9" fillId="2" borderId="7" xfId="4" applyNumberFormat="1" applyFont="1" applyFill="1" applyBorder="1" applyAlignment="1">
      <alignment horizontal="right"/>
    </xf>
    <xf numFmtId="1" fontId="9" fillId="2" borderId="6" xfId="4" applyNumberFormat="1" applyFont="1" applyFill="1" applyBorder="1" applyAlignment="1">
      <alignment horizontal="right"/>
    </xf>
    <xf numFmtId="1" fontId="9" fillId="2" borderId="8" xfId="4" applyNumberFormat="1" applyFont="1" applyFill="1" applyBorder="1" applyAlignment="1">
      <alignment horizontal="right"/>
    </xf>
    <xf numFmtId="14" fontId="9" fillId="2" borderId="7" xfId="4" applyNumberFormat="1" applyFont="1" applyFill="1" applyBorder="1" applyAlignment="1">
      <alignment horizontal="right"/>
    </xf>
    <xf numFmtId="14" fontId="9" fillId="2" borderId="9" xfId="4" applyNumberFormat="1" applyFont="1" applyFill="1" applyBorder="1" applyAlignment="1">
      <alignment horizontal="right"/>
    </xf>
    <xf numFmtId="0" fontId="8" fillId="0" borderId="10" xfId="4" applyFont="1" applyBorder="1"/>
    <xf numFmtId="166" fontId="8" fillId="0" borderId="0" xfId="4" applyNumberFormat="1" applyFont="1" applyAlignment="1" applyProtection="1">
      <alignment horizontal="right"/>
    </xf>
    <xf numFmtId="166" fontId="8" fillId="0" borderId="12" xfId="4" applyNumberFormat="1" applyFont="1" applyBorder="1" applyAlignment="1">
      <alignment horizontal="right"/>
    </xf>
    <xf numFmtId="0" fontId="11" fillId="0" borderId="13" xfId="4" applyFont="1" applyBorder="1"/>
    <xf numFmtId="166" fontId="8" fillId="0" borderId="14" xfId="4" applyNumberFormat="1" applyFont="1" applyBorder="1" applyAlignment="1" applyProtection="1">
      <alignment horizontal="right"/>
    </xf>
    <xf numFmtId="166" fontId="8" fillId="0" borderId="15" xfId="4" applyNumberFormat="1" applyFont="1" applyBorder="1" applyAlignment="1">
      <alignment horizontal="right"/>
    </xf>
    <xf numFmtId="0" fontId="8" fillId="0" borderId="16" xfId="4" applyFont="1" applyBorder="1"/>
    <xf numFmtId="0" fontId="8" fillId="0" borderId="11" xfId="4" applyFont="1" applyBorder="1"/>
    <xf numFmtId="166" fontId="8" fillId="0" borderId="17" xfId="4" applyNumberFormat="1" applyFont="1" applyBorder="1" applyAlignment="1" applyProtection="1">
      <alignment horizontal="right"/>
    </xf>
    <xf numFmtId="166" fontId="8" fillId="0" borderId="18" xfId="4" applyNumberFormat="1" applyFont="1" applyBorder="1" applyAlignment="1">
      <alignment horizontal="right"/>
    </xf>
    <xf numFmtId="0" fontId="8" fillId="0" borderId="19" xfId="4" applyFont="1" applyBorder="1"/>
    <xf numFmtId="166" fontId="8" fillId="0" borderId="20" xfId="4" applyNumberFormat="1" applyFont="1" applyBorder="1" applyAlignment="1" applyProtection="1">
      <alignment horizontal="right"/>
    </xf>
    <xf numFmtId="166" fontId="8" fillId="0" borderId="21" xfId="4" applyNumberFormat="1" applyFont="1" applyBorder="1" applyAlignment="1" applyProtection="1">
      <alignment horizontal="right"/>
    </xf>
    <xf numFmtId="166" fontId="8" fillId="0" borderId="0" xfId="4" applyNumberFormat="1" applyFont="1" applyBorder="1" applyAlignment="1" applyProtection="1">
      <alignment horizontal="right"/>
    </xf>
    <xf numFmtId="0" fontId="8" fillId="0" borderId="22" xfId="4" applyFont="1" applyBorder="1"/>
    <xf numFmtId="0" fontId="5" fillId="0" borderId="0" xfId="4" applyFont="1" applyBorder="1"/>
    <xf numFmtId="0" fontId="8" fillId="0" borderId="23" xfId="4" applyFont="1" applyBorder="1"/>
    <xf numFmtId="0" fontId="11" fillId="0" borderId="24" xfId="4" applyFont="1" applyBorder="1"/>
    <xf numFmtId="166" fontId="8" fillId="0" borderId="25" xfId="4" applyNumberFormat="1" applyFont="1" applyBorder="1" applyAlignment="1" applyProtection="1">
      <alignment horizontal="right"/>
    </xf>
    <xf numFmtId="166" fontId="8" fillId="0" borderId="27" xfId="4" applyNumberFormat="1" applyFont="1" applyBorder="1" applyAlignment="1">
      <alignment horizontal="right"/>
    </xf>
    <xf numFmtId="0" fontId="8" fillId="0" borderId="0" xfId="4" applyFont="1" applyBorder="1"/>
    <xf numFmtId="166" fontId="8" fillId="0" borderId="0" xfId="4" applyNumberFormat="1" applyFont="1" applyBorder="1" applyAlignment="1">
      <alignment horizontal="right"/>
    </xf>
    <xf numFmtId="0" fontId="9" fillId="0" borderId="0" xfId="4" applyFont="1" applyBorder="1"/>
    <xf numFmtId="0" fontId="11" fillId="0" borderId="0" xfId="4" applyFont="1" applyBorder="1"/>
    <xf numFmtId="0" fontId="12" fillId="0" borderId="0" xfId="4" applyFont="1" applyBorder="1"/>
    <xf numFmtId="0" fontId="13" fillId="0" borderId="0" xfId="4" applyFont="1" applyBorder="1"/>
    <xf numFmtId="166" fontId="5" fillId="0" borderId="0" xfId="4" applyNumberFormat="1" applyFont="1" applyBorder="1" applyAlignment="1" applyProtection="1">
      <alignment horizontal="right"/>
    </xf>
    <xf numFmtId="166" fontId="5" fillId="0" borderId="0" xfId="4" applyNumberFormat="1" applyFont="1" applyBorder="1" applyAlignment="1">
      <alignment horizontal="right"/>
    </xf>
    <xf numFmtId="0" fontId="5" fillId="0" borderId="6" xfId="4" applyFont="1" applyBorder="1"/>
    <xf numFmtId="0" fontId="15" fillId="0" borderId="0" xfId="4" applyFont="1" applyAlignment="1">
      <alignment horizontal="left"/>
    </xf>
    <xf numFmtId="0" fontId="15" fillId="0" borderId="0" xfId="4" applyFont="1" applyAlignment="1">
      <alignment horizontal="right"/>
    </xf>
    <xf numFmtId="0" fontId="37" fillId="0" borderId="0" xfId="3" applyFont="1" applyAlignment="1" applyProtection="1"/>
    <xf numFmtId="0" fontId="38" fillId="0" borderId="0" xfId="2" applyFont="1" applyAlignment="1" applyProtection="1">
      <alignment horizontal="left"/>
    </xf>
    <xf numFmtId="0" fontId="13" fillId="0" borderId="0" xfId="0" applyFont="1"/>
    <xf numFmtId="0" fontId="13" fillId="0" borderId="6" xfId="0" applyFont="1" applyBorder="1"/>
    <xf numFmtId="0" fontId="26" fillId="0" borderId="0" xfId="15" applyFont="1"/>
    <xf numFmtId="0" fontId="3" fillId="0" borderId="0" xfId="15"/>
    <xf numFmtId="0" fontId="0" fillId="0" borderId="0" xfId="15" applyFont="1"/>
    <xf numFmtId="0" fontId="27" fillId="0" borderId="0" xfId="15" applyFont="1" applyAlignment="1">
      <alignment horizontal="right"/>
    </xf>
    <xf numFmtId="0" fontId="3" fillId="0" borderId="0" xfId="16"/>
    <xf numFmtId="0" fontId="29" fillId="0" borderId="0" xfId="15" applyFont="1" applyAlignment="1">
      <alignment horizontal="left"/>
    </xf>
    <xf numFmtId="0" fontId="32" fillId="0" borderId="0" xfId="15" applyFont="1" applyAlignment="1">
      <alignment horizontal="left"/>
    </xf>
    <xf numFmtId="0" fontId="20" fillId="0" borderId="0" xfId="16" applyFont="1" applyAlignment="1">
      <alignment horizontal="left"/>
    </xf>
    <xf numFmtId="0" fontId="10" fillId="0" borderId="0" xfId="15" applyFont="1" applyAlignment="1">
      <alignment horizontal="right"/>
    </xf>
    <xf numFmtId="0" fontId="3" fillId="0" borderId="0" xfId="15" applyAlignment="1">
      <alignment horizontal="right"/>
    </xf>
    <xf numFmtId="0" fontId="30" fillId="0" borderId="0" xfId="15" applyFont="1" applyAlignment="1">
      <alignment horizontal="left"/>
    </xf>
    <xf numFmtId="14" fontId="31" fillId="0" borderId="0" xfId="15" applyNumberFormat="1" applyFont="1" applyAlignment="1">
      <alignment horizontal="left"/>
    </xf>
    <xf numFmtId="0" fontId="31" fillId="0" borderId="0" xfId="15" applyFont="1" applyAlignment="1">
      <alignment horizontal="left"/>
    </xf>
    <xf numFmtId="0" fontId="33" fillId="0" borderId="0" xfId="16" applyFont="1" applyAlignment="1">
      <alignment vertical="center"/>
    </xf>
    <xf numFmtId="0" fontId="34" fillId="0" borderId="0" xfId="16" applyFont="1" applyAlignment="1">
      <alignment vertical="center"/>
    </xf>
    <xf numFmtId="0" fontId="35" fillId="0" borderId="0" xfId="16" applyFont="1"/>
    <xf numFmtId="14" fontId="28" fillId="0" borderId="0" xfId="15" applyNumberFormat="1" applyFont="1"/>
    <xf numFmtId="14" fontId="36" fillId="0" borderId="0" xfId="15" applyNumberFormat="1" applyFont="1" applyAlignment="1">
      <alignment horizontal="right"/>
    </xf>
    <xf numFmtId="14" fontId="20" fillId="0" borderId="0" xfId="15" applyNumberFormat="1" applyFont="1" applyAlignment="1">
      <alignment horizontal="center"/>
    </xf>
    <xf numFmtId="0" fontId="14" fillId="0" borderId="28" xfId="0" applyFont="1" applyBorder="1" applyAlignment="1">
      <alignment horizontal="right"/>
    </xf>
    <xf numFmtId="0" fontId="14" fillId="0" borderId="0" xfId="0" applyFont="1" applyAlignment="1">
      <alignment horizontal="right"/>
    </xf>
    <xf numFmtId="0" fontId="7" fillId="2" borderId="0" xfId="0" applyFont="1" applyFill="1" applyBorder="1" applyAlignment="1">
      <alignment horizontal="left" vertical="top"/>
    </xf>
    <xf numFmtId="0" fontId="9" fillId="2" borderId="2" xfId="0" applyFont="1" applyFill="1" applyBorder="1" applyAlignment="1">
      <alignment horizontal="center"/>
    </xf>
    <xf numFmtId="0" fontId="9" fillId="2" borderId="29" xfId="0" applyFont="1" applyFill="1" applyBorder="1" applyAlignment="1">
      <alignment horizontal="center"/>
    </xf>
    <xf numFmtId="0" fontId="7" fillId="0" borderId="30" xfId="0" applyFont="1" applyBorder="1" applyAlignment="1">
      <alignment vertical="top"/>
    </xf>
    <xf numFmtId="0" fontId="10" fillId="0" borderId="19" xfId="0" applyFont="1" applyBorder="1" applyAlignment="1">
      <alignment vertical="top"/>
    </xf>
    <xf numFmtId="0" fontId="14" fillId="0" borderId="0" xfId="0" applyFont="1" applyBorder="1" applyAlignment="1">
      <alignment horizontal="left"/>
    </xf>
    <xf numFmtId="0" fontId="14" fillId="0" borderId="0" xfId="0" applyFont="1" applyBorder="1" applyAlignment="1">
      <alignment horizontal="right"/>
    </xf>
    <xf numFmtId="0" fontId="9" fillId="2" borderId="3" xfId="0" applyFont="1" applyFill="1" applyBorder="1" applyAlignment="1">
      <alignment horizontal="center"/>
    </xf>
    <xf numFmtId="0" fontId="9" fillId="2" borderId="4" xfId="0" applyFont="1" applyFill="1" applyBorder="1" applyAlignment="1">
      <alignment horizontal="center"/>
    </xf>
    <xf numFmtId="0" fontId="10" fillId="0" borderId="23" xfId="0" applyFont="1" applyBorder="1" applyAlignment="1">
      <alignment vertical="top"/>
    </xf>
    <xf numFmtId="0" fontId="14" fillId="0" borderId="0" xfId="4" applyFont="1" applyBorder="1" applyAlignment="1">
      <alignment horizontal="right"/>
    </xf>
    <xf numFmtId="0" fontId="14" fillId="0" borderId="0" xfId="4" applyFont="1" applyAlignment="1">
      <alignment horizontal="right"/>
    </xf>
    <xf numFmtId="0" fontId="9" fillId="2" borderId="2" xfId="4" applyFont="1" applyFill="1" applyBorder="1" applyAlignment="1">
      <alignment horizontal="center"/>
    </xf>
    <xf numFmtId="0" fontId="9" fillId="2" borderId="29" xfId="4" applyFont="1" applyFill="1" applyBorder="1" applyAlignment="1">
      <alignment horizontal="center"/>
    </xf>
    <xf numFmtId="0" fontId="7" fillId="0" borderId="30" xfId="4" applyFont="1" applyBorder="1" applyAlignment="1">
      <alignment vertical="top"/>
    </xf>
    <xf numFmtId="0" fontId="10" fillId="0" borderId="19" xfId="4" applyFont="1" applyBorder="1" applyAlignment="1">
      <alignment vertical="top"/>
    </xf>
    <xf numFmtId="0" fontId="9" fillId="2" borderId="3" xfId="4" applyFont="1" applyFill="1" applyBorder="1" applyAlignment="1">
      <alignment horizontal="center"/>
    </xf>
    <xf numFmtId="0" fontId="9" fillId="2" borderId="4" xfId="4" applyFont="1" applyFill="1" applyBorder="1" applyAlignment="1">
      <alignment horizontal="center"/>
    </xf>
    <xf numFmtId="0" fontId="39" fillId="0" borderId="0" xfId="0" applyFont="1"/>
    <xf numFmtId="0" fontId="40" fillId="0" borderId="0" xfId="0" applyFont="1" applyAlignment="1">
      <alignment horizontal="right"/>
    </xf>
    <xf numFmtId="0" fontId="41" fillId="0" borderId="0" xfId="0" applyFont="1"/>
    <xf numFmtId="0" fontId="42" fillId="0" borderId="0" xfId="0" applyFont="1"/>
    <xf numFmtId="0" fontId="40" fillId="0" borderId="0" xfId="0" applyFont="1"/>
    <xf numFmtId="0" fontId="40" fillId="0" borderId="0" xfId="0" quotePrefix="1" applyFont="1"/>
    <xf numFmtId="0" fontId="39" fillId="0" borderId="0" xfId="0" applyFont="1" applyAlignment="1">
      <alignment horizontal="right"/>
    </xf>
    <xf numFmtId="1" fontId="42" fillId="0" borderId="0" xfId="0" applyNumberFormat="1" applyFont="1"/>
    <xf numFmtId="167" fontId="39" fillId="0" borderId="0" xfId="0" applyNumberFormat="1" applyFont="1"/>
    <xf numFmtId="3" fontId="39" fillId="0" borderId="0" xfId="0" applyNumberFormat="1" applyFont="1"/>
    <xf numFmtId="169" fontId="42" fillId="0" borderId="0" xfId="0" applyNumberFormat="1" applyFont="1"/>
    <xf numFmtId="170" fontId="42" fillId="0" borderId="0" xfId="0" applyNumberFormat="1" applyFont="1"/>
    <xf numFmtId="167" fontId="42" fillId="0" borderId="0" xfId="0" applyNumberFormat="1" applyFont="1"/>
    <xf numFmtId="3" fontId="42" fillId="0" borderId="0" xfId="0" applyNumberFormat="1" applyFont="1"/>
    <xf numFmtId="168" fontId="42" fillId="0" borderId="0" xfId="1" applyNumberFormat="1" applyFont="1"/>
    <xf numFmtId="167" fontId="42" fillId="0" borderId="0" xfId="1" applyNumberFormat="1" applyFont="1"/>
    <xf numFmtId="170" fontId="39" fillId="0" borderId="0" xfId="0" applyNumberFormat="1" applyFont="1"/>
    <xf numFmtId="3" fontId="39" fillId="0" borderId="0" xfId="0" applyNumberFormat="1" applyFont="1" applyBorder="1"/>
    <xf numFmtId="167" fontId="39" fillId="0" borderId="0" xfId="0" applyNumberFormat="1" applyFont="1" applyBorder="1"/>
    <xf numFmtId="171" fontId="39" fillId="0" borderId="0" xfId="0" applyNumberFormat="1" applyFont="1"/>
    <xf numFmtId="1" fontId="39" fillId="0" borderId="0" xfId="0" applyNumberFormat="1" applyFont="1"/>
    <xf numFmtId="169" fontId="39" fillId="0" borderId="0" xfId="0" applyNumberFormat="1" applyFont="1"/>
    <xf numFmtId="0" fontId="39" fillId="0" borderId="28" xfId="0" applyFont="1" applyBorder="1"/>
    <xf numFmtId="0" fontId="40" fillId="0" borderId="28" xfId="0" applyFont="1" applyBorder="1" applyAlignment="1">
      <alignment horizontal="right"/>
    </xf>
    <xf numFmtId="3" fontId="39" fillId="3" borderId="28" xfId="0" applyNumberFormat="1" applyFont="1" applyFill="1" applyBorder="1"/>
    <xf numFmtId="0" fontId="39" fillId="3" borderId="28" xfId="0" applyFont="1" applyFill="1" applyBorder="1" applyAlignment="1">
      <alignment horizontal="left" indent="1"/>
    </xf>
    <xf numFmtId="167" fontId="39" fillId="0" borderId="28" xfId="0" applyNumberFormat="1" applyFont="1" applyBorder="1"/>
    <xf numFmtId="3" fontId="39" fillId="3" borderId="0" xfId="0" applyNumberFormat="1" applyFont="1" applyFill="1"/>
    <xf numFmtId="167" fontId="39" fillId="3" borderId="0" xfId="0" applyNumberFormat="1" applyFont="1" applyFill="1"/>
    <xf numFmtId="0" fontId="39" fillId="3" borderId="0" xfId="0" applyFont="1" applyFill="1" applyAlignment="1">
      <alignment horizontal="left" indent="1"/>
    </xf>
    <xf numFmtId="0" fontId="39" fillId="0" borderId="0" xfId="0" applyFont="1" applyAlignment="1">
      <alignment horizontal="left" indent="1"/>
    </xf>
  </cellXfs>
  <cellStyles count="17">
    <cellStyle name="Comma" xfId="1" builtinId="3"/>
    <cellStyle name="Comma 2" xfId="5" xr:uid="{00000000-0005-0000-0000-000000000000}"/>
    <cellStyle name="Hyperkobling_Test_skadestat_tabeller" xfId="2" xr:uid="{00000000-0005-0000-0000-000002000000}"/>
    <cellStyle name="Hyperlink" xfId="3" builtinId="8"/>
    <cellStyle name="Hyperlink 2" xfId="6" xr:uid="{00000000-0005-0000-0000-000003000000}"/>
    <cellStyle name="Normal" xfId="0" builtinId="0"/>
    <cellStyle name="Normal 2" xfId="4" xr:uid="{00000000-0005-0000-0000-000006000000}"/>
    <cellStyle name="Normal 2 2" xfId="9" xr:uid="{00000000-0005-0000-0000-000007000000}"/>
    <cellStyle name="Normal 2 2 2" xfId="15" xr:uid="{9BDDF094-7868-4B5C-9034-B962F1186878}"/>
    <cellStyle name="Normal 2 3" xfId="16" xr:uid="{46109AA5-E6FE-43D6-9412-D2B1A762EBC8}"/>
    <cellStyle name="Normal 3" xfId="8" xr:uid="{00000000-0005-0000-0000-000008000000}"/>
    <cellStyle name="Normal 4" xfId="10" xr:uid="{00000000-0005-0000-0000-000009000000}"/>
    <cellStyle name="Normal 5" xfId="11" xr:uid="{00000000-0005-0000-0000-00000A000000}"/>
    <cellStyle name="Normal 6" xfId="12" xr:uid="{00000000-0005-0000-0000-00000B000000}"/>
    <cellStyle name="Normal 7" xfId="13" xr:uid="{00000000-0005-0000-0000-00000C000000}"/>
    <cellStyle name="Normal 8" xfId="7" xr:uid="{00000000-0005-0000-0000-00000D000000}"/>
    <cellStyle name="Tusenskille 2"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13524659460671"/>
          <c:y val="3.7594076974851641E-2"/>
          <c:w val="0.81081147956763977"/>
          <c:h val="0.79198188827020743"/>
        </c:manualLayout>
      </c:layout>
      <c:lineChart>
        <c:grouping val="standard"/>
        <c:varyColors val="0"/>
        <c:ser>
          <c:idx val="0"/>
          <c:order val="0"/>
          <c:tx>
            <c:strRef>
              <c:f>'Tab2'!$C$70</c:f>
              <c:strCache>
                <c:ptCount val="1"/>
                <c:pt idx="0">
                  <c:v>Motorvogn i alt</c:v>
                </c:pt>
              </c:strCache>
            </c:strRef>
          </c:tx>
          <c:spPr>
            <a:ln w="25400">
              <a:solidFill>
                <a:srgbClr val="000080"/>
              </a:solidFill>
              <a:prstDash val="solid"/>
            </a:ln>
          </c:spPr>
          <c:marker>
            <c:symbol val="none"/>
          </c:marker>
          <c:cat>
            <c:numRef>
              <c:f>'Tab2'!$B$71:$B$234</c:f>
              <c:numCache>
                <c:formatCode>General</c:formatCode>
                <c:ptCount val="164"/>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numCache>
            </c:numRef>
          </c:cat>
          <c:val>
            <c:numRef>
              <c:f>'Tab2'!$C$71:$C$234</c:f>
              <c:numCache>
                <c:formatCode>General</c:formatCode>
                <c:ptCount val="164"/>
                <c:pt idx="0">
                  <c:v>97</c:v>
                </c:pt>
                <c:pt idx="1">
                  <c:v>78.8</c:v>
                </c:pt>
                <c:pt idx="2">
                  <c:v>84.8</c:v>
                </c:pt>
                <c:pt idx="3">
                  <c:v>91.2</c:v>
                </c:pt>
                <c:pt idx="4">
                  <c:v>112.2</c:v>
                </c:pt>
                <c:pt idx="5">
                  <c:v>81.8</c:v>
                </c:pt>
                <c:pt idx="6">
                  <c:v>90.4</c:v>
                </c:pt>
                <c:pt idx="7">
                  <c:v>92.9</c:v>
                </c:pt>
                <c:pt idx="8">
                  <c:v>123.4</c:v>
                </c:pt>
                <c:pt idx="9">
                  <c:v>102</c:v>
                </c:pt>
                <c:pt idx="10">
                  <c:v>108.4</c:v>
                </c:pt>
                <c:pt idx="11">
                  <c:v>109.6</c:v>
                </c:pt>
                <c:pt idx="12">
                  <c:v>141</c:v>
                </c:pt>
                <c:pt idx="13">
                  <c:v>120.5</c:v>
                </c:pt>
                <c:pt idx="14">
                  <c:v>115.7</c:v>
                </c:pt>
                <c:pt idx="15">
                  <c:v>114.4</c:v>
                </c:pt>
                <c:pt idx="16">
                  <c:v>152.19999999999999</c:v>
                </c:pt>
                <c:pt idx="17">
                  <c:v>109.2</c:v>
                </c:pt>
                <c:pt idx="18">
                  <c:v>110.1</c:v>
                </c:pt>
                <c:pt idx="19">
                  <c:v>112</c:v>
                </c:pt>
                <c:pt idx="20">
                  <c:v>134.1</c:v>
                </c:pt>
                <c:pt idx="21">
                  <c:v>113.7</c:v>
                </c:pt>
                <c:pt idx="22">
                  <c:v>116.3</c:v>
                </c:pt>
                <c:pt idx="23">
                  <c:v>115.2</c:v>
                </c:pt>
                <c:pt idx="24">
                  <c:v>106.6</c:v>
                </c:pt>
                <c:pt idx="25">
                  <c:v>98</c:v>
                </c:pt>
                <c:pt idx="26">
                  <c:v>96.9</c:v>
                </c:pt>
                <c:pt idx="27">
                  <c:v>93.4</c:v>
                </c:pt>
                <c:pt idx="28">
                  <c:v>99.4</c:v>
                </c:pt>
                <c:pt idx="29">
                  <c:v>88.6</c:v>
                </c:pt>
                <c:pt idx="30">
                  <c:v>88.2</c:v>
                </c:pt>
                <c:pt idx="31">
                  <c:v>84.8</c:v>
                </c:pt>
                <c:pt idx="32">
                  <c:v>97.5</c:v>
                </c:pt>
                <c:pt idx="33">
                  <c:v>93.9</c:v>
                </c:pt>
                <c:pt idx="34">
                  <c:v>90.2</c:v>
                </c:pt>
                <c:pt idx="35">
                  <c:v>92.6</c:v>
                </c:pt>
                <c:pt idx="36">
                  <c:v>102</c:v>
                </c:pt>
                <c:pt idx="37">
                  <c:v>92.2</c:v>
                </c:pt>
                <c:pt idx="38">
                  <c:v>93.3</c:v>
                </c:pt>
                <c:pt idx="39">
                  <c:v>90.8</c:v>
                </c:pt>
                <c:pt idx="40">
                  <c:v>112.6</c:v>
                </c:pt>
                <c:pt idx="41">
                  <c:v>93</c:v>
                </c:pt>
                <c:pt idx="42">
                  <c:v>87.500000000000028</c:v>
                </c:pt>
                <c:pt idx="43">
                  <c:v>120.09999999999994</c:v>
                </c:pt>
                <c:pt idx="44">
                  <c:v>138.4</c:v>
                </c:pt>
                <c:pt idx="45">
                  <c:v>114.5</c:v>
                </c:pt>
                <c:pt idx="46">
                  <c:v>112.79999999999998</c:v>
                </c:pt>
                <c:pt idx="47">
                  <c:v>114.49999999999997</c:v>
                </c:pt>
                <c:pt idx="48">
                  <c:v>137.19999999999999</c:v>
                </c:pt>
                <c:pt idx="49">
                  <c:v>111</c:v>
                </c:pt>
                <c:pt idx="50">
                  <c:v>115.90000000000003</c:v>
                </c:pt>
                <c:pt idx="51">
                  <c:v>118.79999999999995</c:v>
                </c:pt>
                <c:pt idx="52">
                  <c:v>143.9</c:v>
                </c:pt>
                <c:pt idx="53">
                  <c:v>131.6</c:v>
                </c:pt>
                <c:pt idx="54">
                  <c:v>112</c:v>
                </c:pt>
                <c:pt idx="55">
                  <c:v>132.50000000000003</c:v>
                </c:pt>
                <c:pt idx="56">
                  <c:v>142.6</c:v>
                </c:pt>
                <c:pt idx="57">
                  <c:v>141.79999999999998</c:v>
                </c:pt>
                <c:pt idx="58">
                  <c:v>135.40000000000006</c:v>
                </c:pt>
                <c:pt idx="59">
                  <c:v>130.59999999999994</c:v>
                </c:pt>
                <c:pt idx="60">
                  <c:v>150</c:v>
                </c:pt>
                <c:pt idx="61">
                  <c:v>139.80000000000001</c:v>
                </c:pt>
                <c:pt idx="62">
                  <c:v>128.09999999999997</c:v>
                </c:pt>
                <c:pt idx="63">
                  <c:v>141.80000000000007</c:v>
                </c:pt>
                <c:pt idx="64">
                  <c:v>154.19999999999999</c:v>
                </c:pt>
                <c:pt idx="65">
                  <c:v>159.30000000000001</c:v>
                </c:pt>
                <c:pt idx="66">
                  <c:v>146.30000000000001</c:v>
                </c:pt>
                <c:pt idx="67">
                  <c:v>141.90000000000003</c:v>
                </c:pt>
                <c:pt idx="68">
                  <c:v>169.1</c:v>
                </c:pt>
                <c:pt idx="69">
                  <c:v>151.50000000000003</c:v>
                </c:pt>
                <c:pt idx="70">
                  <c:v>139</c:v>
                </c:pt>
                <c:pt idx="71">
                  <c:v>135.10000000000002</c:v>
                </c:pt>
                <c:pt idx="72">
                  <c:v>158.5</c:v>
                </c:pt>
                <c:pt idx="73">
                  <c:v>140.45999999999998</c:v>
                </c:pt>
                <c:pt idx="74">
                  <c:v>134.24</c:v>
                </c:pt>
                <c:pt idx="75">
                  <c:v>137.49520000000001</c:v>
                </c:pt>
                <c:pt idx="76">
                  <c:v>155.81399999999999</c:v>
                </c:pt>
                <c:pt idx="77">
                  <c:v>146.54300000000003</c:v>
                </c:pt>
                <c:pt idx="78">
                  <c:v>146.23099999999999</c:v>
                </c:pt>
                <c:pt idx="79">
                  <c:v>137.96699999999993</c:v>
                </c:pt>
                <c:pt idx="80" formatCode="0.000">
                  <c:v>165.679</c:v>
                </c:pt>
                <c:pt idx="81" formatCode="0.000">
                  <c:v>135.02099999999999</c:v>
                </c:pt>
                <c:pt idx="82" formatCode="0.000">
                  <c:v>134.11099999999999</c:v>
                </c:pt>
                <c:pt idx="83" formatCode="0.000">
                  <c:v>142.01299999999998</c:v>
                </c:pt>
                <c:pt idx="84" formatCode="0.000">
                  <c:v>168.309</c:v>
                </c:pt>
                <c:pt idx="85" formatCode="0.000">
                  <c:v>140.26700000000002</c:v>
                </c:pt>
                <c:pt idx="86" formatCode="0.000">
                  <c:v>137.76999999999998</c:v>
                </c:pt>
                <c:pt idx="87" formatCode="0.000">
                  <c:v>137.68499999999995</c:v>
                </c:pt>
                <c:pt idx="88" formatCode="0.000">
                  <c:v>147.31100000000001</c:v>
                </c:pt>
                <c:pt idx="89" formatCode="0.000">
                  <c:v>143.51699999999997</c:v>
                </c:pt>
                <c:pt idx="90" formatCode="0.000">
                  <c:v>134.78300000000002</c:v>
                </c:pt>
                <c:pt idx="91" formatCode="0.000">
                  <c:v>137.37</c:v>
                </c:pt>
                <c:pt idx="92" formatCode="0.000">
                  <c:v>155.21299999999999</c:v>
                </c:pt>
                <c:pt idx="93" formatCode="0.000">
                  <c:v>147.44399999999999</c:v>
                </c:pt>
                <c:pt idx="94" formatCode="0.000">
                  <c:v>143.45100000000002</c:v>
                </c:pt>
                <c:pt idx="95" formatCode="0.000">
                  <c:v>148.56090999999998</c:v>
                </c:pt>
                <c:pt idx="96" formatCode="0.000">
                  <c:v>158.09976</c:v>
                </c:pt>
                <c:pt idx="97" formatCode="0.000">
                  <c:v>161.61276000000004</c:v>
                </c:pt>
                <c:pt idx="98" formatCode="0.000">
                  <c:v>135.82058024999998</c:v>
                </c:pt>
                <c:pt idx="99" formatCode="0.000">
                  <c:v>149.79139924999998</c:v>
                </c:pt>
                <c:pt idx="100" formatCode="0.000">
                  <c:v>164.64169099999998</c:v>
                </c:pt>
                <c:pt idx="101" formatCode="0.000">
                  <c:v>197.28657850000002</c:v>
                </c:pt>
                <c:pt idx="102" formatCode="0.000">
                  <c:v>159.71767174999997</c:v>
                </c:pt>
                <c:pt idx="103" formatCode="0.000">
                  <c:v>170.05706974999998</c:v>
                </c:pt>
                <c:pt idx="104" formatCode="0.000">
                  <c:v>191.37959499999999</c:v>
                </c:pt>
                <c:pt idx="105" formatCode="0.000">
                  <c:v>178.90604250000001</c:v>
                </c:pt>
                <c:pt idx="106" formatCode="0.000">
                  <c:v>160.23377500000004</c:v>
                </c:pt>
                <c:pt idx="107" formatCode="0.000">
                  <c:v>179.8571388695641</c:v>
                </c:pt>
                <c:pt idx="108" formatCode="0.000">
                  <c:v>204.63648875000001</c:v>
                </c:pt>
                <c:pt idx="109" formatCode="0.000">
                  <c:v>188.95691625000001</c:v>
                </c:pt>
                <c:pt idx="110" formatCode="0.000">
                  <c:v>172.07737875000004</c:v>
                </c:pt>
                <c:pt idx="111" formatCode="0.000">
                  <c:v>192.96143124999992</c:v>
                </c:pt>
                <c:pt idx="112" formatCode="0.000">
                  <c:v>204.00503875000001</c:v>
                </c:pt>
                <c:pt idx="113" formatCode="0.000">
                  <c:v>188.74104374999999</c:v>
                </c:pt>
                <c:pt idx="114" formatCode="0.000">
                  <c:v>169.93391749999995</c:v>
                </c:pt>
                <c:pt idx="115" formatCode="0.000">
                  <c:v>202.17554500000006</c:v>
                </c:pt>
                <c:pt idx="116" formatCode="0.000">
                  <c:v>195.82938625</c:v>
                </c:pt>
                <c:pt idx="117" formatCode="0.000">
                  <c:v>182.75061374999999</c:v>
                </c:pt>
                <c:pt idx="118" formatCode="0.000">
                  <c:v>165.72960875000007</c:v>
                </c:pt>
                <c:pt idx="119" formatCode="0.000">
                  <c:v>166.80539124999996</c:v>
                </c:pt>
                <c:pt idx="120" formatCode="0.000">
                  <c:v>199.180995</c:v>
                </c:pt>
                <c:pt idx="121" formatCode="0.000">
                  <c:v>205.01500500000003</c:v>
                </c:pt>
                <c:pt idx="122" formatCode="0.000">
                  <c:v>172.04383408071794</c:v>
                </c:pt>
                <c:pt idx="123" formatCode="0.000">
                  <c:v>204.099832585949</c:v>
                </c:pt>
                <c:pt idx="124" formatCode="0.000">
                  <c:v>196.17699999999999</c:v>
                </c:pt>
                <c:pt idx="125" formatCode="0.000">
                  <c:v>197.965</c:v>
                </c:pt>
                <c:pt idx="126" formatCode="0.000">
                  <c:v>192.10452006852</c:v>
                </c:pt>
                <c:pt idx="127" formatCode="0.000">
                  <c:v>196.808833167682</c:v>
                </c:pt>
                <c:pt idx="128" formatCode="0.000">
                  <c:v>219.418599054541</c:v>
                </c:pt>
                <c:pt idx="129" formatCode="0.000">
                  <c:v>188.69592411436798</c:v>
                </c:pt>
                <c:pt idx="130" formatCode="0.000">
                  <c:v>180.38826158445403</c:v>
                </c:pt>
                <c:pt idx="131" formatCode="0.000">
                  <c:v>195.22963867497901</c:v>
                </c:pt>
                <c:pt idx="132" formatCode="0.000">
                  <c:v>217.297581707322</c:v>
                </c:pt>
                <c:pt idx="133" formatCode="0.000">
                  <c:v>210.94903078835901</c:v>
                </c:pt>
                <c:pt idx="134" formatCode="0.000">
                  <c:v>193.64755294266695</c:v>
                </c:pt>
                <c:pt idx="135" formatCode="0.000">
                  <c:v>194.66297676649504</c:v>
                </c:pt>
                <c:pt idx="136" formatCode="0.000">
                  <c:v>227.02914608932699</c:v>
                </c:pt>
                <c:pt idx="137" formatCode="0.000">
                  <c:v>200.76722202181199</c:v>
                </c:pt>
                <c:pt idx="138" formatCode="0.000">
                  <c:v>195.05863188886104</c:v>
                </c:pt>
                <c:pt idx="139" formatCode="0.000">
                  <c:v>225.423</c:v>
                </c:pt>
                <c:pt idx="140" formatCode="0.000">
                  <c:v>241.52799999999999</c:v>
                </c:pt>
                <c:pt idx="141" formatCode="0.000">
                  <c:v>226.77080239162902</c:v>
                </c:pt>
                <c:pt idx="142" formatCode="0.000">
                  <c:v>230.04425590433516</c:v>
                </c:pt>
                <c:pt idx="143" formatCode="0.000">
                  <c:v>212.66674917787782</c:v>
                </c:pt>
                <c:pt idx="144" formatCode="0.000">
                  <c:v>242.05576995515696</c:v>
                </c:pt>
                <c:pt idx="145" formatCode="0.000">
                  <c:v>221.71122705530604</c:v>
                </c:pt>
                <c:pt idx="146" formatCode="0.000">
                  <c:v>200.66800298953694</c:v>
                </c:pt>
                <c:pt idx="147" formatCode="0.000">
                  <c:v>216.91973572496272</c:v>
                </c:pt>
                <c:pt idx="148" formatCode="0.000">
                  <c:v>245.16278393124065</c:v>
                </c:pt>
                <c:pt idx="149" formatCode="0.000">
                  <c:v>219.4338294469357</c:v>
                </c:pt>
                <c:pt idx="150" formatCode="0.000">
                  <c:v>230.4091689088192</c:v>
                </c:pt>
                <c:pt idx="151" formatCode="0.000">
                  <c:v>210.53825269058302</c:v>
                </c:pt>
                <c:pt idx="152" formatCode="0.000">
                  <c:v>246.03664372197312</c:v>
                </c:pt>
                <c:pt idx="153" formatCode="0.000">
                  <c:v>241.94121614349774</c:v>
                </c:pt>
                <c:pt idx="154" formatCode="0.000">
                  <c:v>223.16246838565024</c:v>
                </c:pt>
                <c:pt idx="155" formatCode="0.000">
                  <c:v>240.67364342301937</c:v>
                </c:pt>
                <c:pt idx="156" formatCode="0.000">
                  <c:v>258.31884641255607</c:v>
                </c:pt>
                <c:pt idx="157" formatCode="0.000">
                  <c:v>242.59168475336321</c:v>
                </c:pt>
                <c:pt idx="158" formatCode="0.000">
                  <c:v>236.3725230941705</c:v>
                </c:pt>
                <c:pt idx="159" formatCode="0.000">
                  <c:v>270.36808991031376</c:v>
                </c:pt>
                <c:pt idx="160" formatCode="0.000">
                  <c:v>302.38750433482812</c:v>
                </c:pt>
                <c:pt idx="161" formatCode="0.000">
                  <c:v>288.71155948488058</c:v>
                </c:pt>
                <c:pt idx="162" formatCode="0.000">
                  <c:v>250.48845860181598</c:v>
                </c:pt>
                <c:pt idx="163" formatCode="0.000">
                  <c:v>247.76441726457392</c:v>
                </c:pt>
              </c:numCache>
            </c:numRef>
          </c:val>
          <c:smooth val="0"/>
          <c:extLst>
            <c:ext xmlns:c16="http://schemas.microsoft.com/office/drawing/2014/chart" uri="{C3380CC4-5D6E-409C-BE32-E72D297353CC}">
              <c16:uniqueId val="{00000000-A323-4438-AB76-3A3BD5C6F162}"/>
            </c:ext>
          </c:extLst>
        </c:ser>
        <c:ser>
          <c:idx val="1"/>
          <c:order val="1"/>
          <c:tx>
            <c:strRef>
              <c:f>'Tab2'!$D$70</c:f>
              <c:strCache>
                <c:ptCount val="1"/>
                <c:pt idx="0">
                  <c:v>Personbil</c:v>
                </c:pt>
              </c:strCache>
            </c:strRef>
          </c:tx>
          <c:spPr>
            <a:ln w="25400">
              <a:solidFill>
                <a:srgbClr val="000000"/>
              </a:solidFill>
              <a:prstDash val="sysDash"/>
            </a:ln>
          </c:spPr>
          <c:marker>
            <c:symbol val="none"/>
          </c:marker>
          <c:cat>
            <c:numRef>
              <c:f>'Tab2'!$B$71:$B$234</c:f>
              <c:numCache>
                <c:formatCode>General</c:formatCode>
                <c:ptCount val="164"/>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numCache>
            </c:numRef>
          </c:cat>
          <c:val>
            <c:numRef>
              <c:f>'Tab2'!$D$71:$D$234</c:f>
              <c:numCache>
                <c:formatCode>General</c:formatCode>
                <c:ptCount val="164"/>
                <c:pt idx="0">
                  <c:v>78.3</c:v>
                </c:pt>
                <c:pt idx="1">
                  <c:v>61.3</c:v>
                </c:pt>
                <c:pt idx="2">
                  <c:v>63</c:v>
                </c:pt>
                <c:pt idx="3">
                  <c:v>70.8</c:v>
                </c:pt>
                <c:pt idx="4">
                  <c:v>90.4</c:v>
                </c:pt>
                <c:pt idx="5">
                  <c:v>64.400000000000006</c:v>
                </c:pt>
                <c:pt idx="6">
                  <c:v>71.099999999999994</c:v>
                </c:pt>
                <c:pt idx="7">
                  <c:v>73.900000000000006</c:v>
                </c:pt>
                <c:pt idx="8">
                  <c:v>100.8</c:v>
                </c:pt>
                <c:pt idx="9">
                  <c:v>81.099999999999994</c:v>
                </c:pt>
                <c:pt idx="10">
                  <c:v>86</c:v>
                </c:pt>
                <c:pt idx="11">
                  <c:v>87.1</c:v>
                </c:pt>
                <c:pt idx="12">
                  <c:v>115.2</c:v>
                </c:pt>
                <c:pt idx="13">
                  <c:v>93.2</c:v>
                </c:pt>
                <c:pt idx="14">
                  <c:v>91.1</c:v>
                </c:pt>
                <c:pt idx="15">
                  <c:v>90.8</c:v>
                </c:pt>
                <c:pt idx="16">
                  <c:v>121.3</c:v>
                </c:pt>
                <c:pt idx="17">
                  <c:v>86.1</c:v>
                </c:pt>
                <c:pt idx="18">
                  <c:v>87.3</c:v>
                </c:pt>
                <c:pt idx="19">
                  <c:v>89.8</c:v>
                </c:pt>
                <c:pt idx="20">
                  <c:v>107.5</c:v>
                </c:pt>
                <c:pt idx="21">
                  <c:v>90</c:v>
                </c:pt>
                <c:pt idx="22">
                  <c:v>93.1</c:v>
                </c:pt>
                <c:pt idx="23">
                  <c:v>93.4</c:v>
                </c:pt>
                <c:pt idx="24">
                  <c:v>86.4</c:v>
                </c:pt>
                <c:pt idx="25">
                  <c:v>79.599999999999994</c:v>
                </c:pt>
                <c:pt idx="26">
                  <c:v>79</c:v>
                </c:pt>
                <c:pt idx="27">
                  <c:v>76.8</c:v>
                </c:pt>
                <c:pt idx="28">
                  <c:v>81.3</c:v>
                </c:pt>
                <c:pt idx="29">
                  <c:v>73.099999999999994</c:v>
                </c:pt>
                <c:pt idx="30">
                  <c:v>72.5</c:v>
                </c:pt>
                <c:pt idx="31">
                  <c:v>70.2</c:v>
                </c:pt>
                <c:pt idx="32">
                  <c:v>82.4</c:v>
                </c:pt>
                <c:pt idx="33">
                  <c:v>78</c:v>
                </c:pt>
                <c:pt idx="34">
                  <c:v>76.099999999999994</c:v>
                </c:pt>
                <c:pt idx="35">
                  <c:v>78.099999999999994</c:v>
                </c:pt>
                <c:pt idx="36">
                  <c:v>87.1</c:v>
                </c:pt>
                <c:pt idx="37">
                  <c:v>78.900000000000006</c:v>
                </c:pt>
                <c:pt idx="38">
                  <c:v>79.900000000000006</c:v>
                </c:pt>
                <c:pt idx="39">
                  <c:v>77.599999999999994</c:v>
                </c:pt>
                <c:pt idx="40">
                  <c:v>96.5</c:v>
                </c:pt>
                <c:pt idx="41">
                  <c:v>80.099999999999994</c:v>
                </c:pt>
                <c:pt idx="42">
                  <c:v>73.599999999999994</c:v>
                </c:pt>
                <c:pt idx="43">
                  <c:v>106.60000000000005</c:v>
                </c:pt>
                <c:pt idx="44">
                  <c:v>120</c:v>
                </c:pt>
                <c:pt idx="45">
                  <c:v>98.1</c:v>
                </c:pt>
                <c:pt idx="46">
                  <c:v>98.799999999999983</c:v>
                </c:pt>
                <c:pt idx="47">
                  <c:v>100.20000000000005</c:v>
                </c:pt>
                <c:pt idx="48">
                  <c:v>119.3</c:v>
                </c:pt>
                <c:pt idx="49">
                  <c:v>95.399999999999991</c:v>
                </c:pt>
                <c:pt idx="50">
                  <c:v>100.99999999999999</c:v>
                </c:pt>
                <c:pt idx="51">
                  <c:v>104.40000000000005</c:v>
                </c:pt>
                <c:pt idx="52">
                  <c:v>126.9</c:v>
                </c:pt>
                <c:pt idx="53">
                  <c:v>115.69999999999999</c:v>
                </c:pt>
                <c:pt idx="54">
                  <c:v>96.700000000000017</c:v>
                </c:pt>
                <c:pt idx="55">
                  <c:v>113.1</c:v>
                </c:pt>
                <c:pt idx="56">
                  <c:v>124.8</c:v>
                </c:pt>
                <c:pt idx="57">
                  <c:v>122.50000000000001</c:v>
                </c:pt>
                <c:pt idx="58">
                  <c:v>117.3</c:v>
                </c:pt>
                <c:pt idx="59">
                  <c:v>113.7</c:v>
                </c:pt>
                <c:pt idx="60">
                  <c:v>131.9</c:v>
                </c:pt>
                <c:pt idx="61">
                  <c:v>122</c:v>
                </c:pt>
                <c:pt idx="62">
                  <c:v>112.1</c:v>
                </c:pt>
                <c:pt idx="63">
                  <c:v>125.60000000000002</c:v>
                </c:pt>
                <c:pt idx="64">
                  <c:v>137.1</c:v>
                </c:pt>
                <c:pt idx="65">
                  <c:v>140.70000000000002</c:v>
                </c:pt>
                <c:pt idx="66">
                  <c:v>128.69999999999999</c:v>
                </c:pt>
                <c:pt idx="67">
                  <c:v>126.39999999999998</c:v>
                </c:pt>
                <c:pt idx="68">
                  <c:v>150.9</c:v>
                </c:pt>
                <c:pt idx="69">
                  <c:v>133.4</c:v>
                </c:pt>
                <c:pt idx="70">
                  <c:v>123.5</c:v>
                </c:pt>
                <c:pt idx="71">
                  <c:v>121.40000000000003</c:v>
                </c:pt>
                <c:pt idx="72">
                  <c:v>143.1</c:v>
                </c:pt>
                <c:pt idx="73">
                  <c:v>125.70000000000002</c:v>
                </c:pt>
                <c:pt idx="74">
                  <c:v>119.19999999999999</c:v>
                </c:pt>
                <c:pt idx="75">
                  <c:v>124.07220000000007</c:v>
                </c:pt>
                <c:pt idx="76">
                  <c:v>141.72399999999999</c:v>
                </c:pt>
                <c:pt idx="77">
                  <c:v>133.19</c:v>
                </c:pt>
                <c:pt idx="78">
                  <c:v>127.14100000000002</c:v>
                </c:pt>
                <c:pt idx="79">
                  <c:v>124.64100000000002</c:v>
                </c:pt>
                <c:pt idx="80">
                  <c:v>150.81100000000001</c:v>
                </c:pt>
                <c:pt idx="81">
                  <c:v>121.10099999999997</c:v>
                </c:pt>
                <c:pt idx="82">
                  <c:v>119.49100000000004</c:v>
                </c:pt>
                <c:pt idx="83">
                  <c:v>125.95899999999995</c:v>
                </c:pt>
                <c:pt idx="84">
                  <c:v>153.04300000000001</c:v>
                </c:pt>
                <c:pt idx="85">
                  <c:v>125.56799999999998</c:v>
                </c:pt>
                <c:pt idx="86">
                  <c:v>123.12100000000004</c:v>
                </c:pt>
                <c:pt idx="87">
                  <c:v>124.50600000000003</c:v>
                </c:pt>
                <c:pt idx="88">
                  <c:v>133.756</c:v>
                </c:pt>
                <c:pt idx="89">
                  <c:v>128.79</c:v>
                </c:pt>
                <c:pt idx="90">
                  <c:v>120.57100000000003</c:v>
                </c:pt>
                <c:pt idx="91">
                  <c:v>124.38200000000001</c:v>
                </c:pt>
                <c:pt idx="92">
                  <c:v>139.72800000000001</c:v>
                </c:pt>
                <c:pt idx="93">
                  <c:v>129.572</c:v>
                </c:pt>
                <c:pt idx="94">
                  <c:v>126.00599999999997</c:v>
                </c:pt>
                <c:pt idx="95">
                  <c:v>131.19532799999996</c:v>
                </c:pt>
                <c:pt idx="96">
                  <c:v>141.08400800000001</c:v>
                </c:pt>
                <c:pt idx="97">
                  <c:v>142.897008</c:v>
                </c:pt>
                <c:pt idx="98">
                  <c:v>119.75308425000003</c:v>
                </c:pt>
                <c:pt idx="99">
                  <c:v>133.49839924999998</c:v>
                </c:pt>
                <c:pt idx="100">
                  <c:v>148.61369099999999</c:v>
                </c:pt>
                <c:pt idx="101">
                  <c:v>175.71357850000001</c:v>
                </c:pt>
                <c:pt idx="102">
                  <c:v>141.40667174999999</c:v>
                </c:pt>
                <c:pt idx="103">
                  <c:v>152.54014889999991</c:v>
                </c:pt>
                <c:pt idx="104">
                  <c:v>172.55938714999999</c:v>
                </c:pt>
                <c:pt idx="105">
                  <c:v>160.765232725</c:v>
                </c:pt>
                <c:pt idx="106">
                  <c:v>142.31202375000004</c:v>
                </c:pt>
                <c:pt idx="107">
                  <c:v>163.53199924456408</c:v>
                </c:pt>
                <c:pt idx="108">
                  <c:v>186.506571025</c:v>
                </c:pt>
                <c:pt idx="109">
                  <c:v>170.46253197500002</c:v>
                </c:pt>
                <c:pt idx="110">
                  <c:v>154.15607493749997</c:v>
                </c:pt>
                <c:pt idx="111">
                  <c:v>174.39946771249993</c:v>
                </c:pt>
                <c:pt idx="112">
                  <c:v>184.8599929625</c:v>
                </c:pt>
                <c:pt idx="113">
                  <c:v>171.33320521249996</c:v>
                </c:pt>
                <c:pt idx="114">
                  <c:v>151.69380182500004</c:v>
                </c:pt>
                <c:pt idx="115">
                  <c:v>178.91908595000001</c:v>
                </c:pt>
                <c:pt idx="116">
                  <c:v>177.0717714875</c:v>
                </c:pt>
                <c:pt idx="117">
                  <c:v>165.12822851249999</c:v>
                </c:pt>
                <c:pt idx="118">
                  <c:v>148.24155396250001</c:v>
                </c:pt>
                <c:pt idx="119">
                  <c:v>151.72844603749996</c:v>
                </c:pt>
                <c:pt idx="120">
                  <c:v>183.65288545000001</c:v>
                </c:pt>
                <c:pt idx="121">
                  <c:v>185.63411454999996</c:v>
                </c:pt>
                <c:pt idx="122">
                  <c:v>153.21019910313902</c:v>
                </c:pt>
                <c:pt idx="123">
                  <c:v>188.07946756352794</c:v>
                </c:pt>
                <c:pt idx="124">
                  <c:v>179.55199999999999</c:v>
                </c:pt>
                <c:pt idx="125">
                  <c:v>179.76700000000002</c:v>
                </c:pt>
                <c:pt idx="126">
                  <c:v>173.47352006851992</c:v>
                </c:pt>
                <c:pt idx="127">
                  <c:v>184.73883316768206</c:v>
                </c:pt>
                <c:pt idx="128">
                  <c:v>202.59159905454101</c:v>
                </c:pt>
                <c:pt idx="129">
                  <c:v>171.45081948058601</c:v>
                </c:pt>
                <c:pt idx="130">
                  <c:v>162.29720926756397</c:v>
                </c:pt>
                <c:pt idx="131">
                  <c:v>179.89113138755602</c:v>
                </c:pt>
                <c:pt idx="132">
                  <c:v>201.19677375494101</c:v>
                </c:pt>
                <c:pt idx="133">
                  <c:v>192.89311593057502</c:v>
                </c:pt>
                <c:pt idx="134">
                  <c:v>175.641874720337</c:v>
                </c:pt>
                <c:pt idx="135">
                  <c:v>178.45454935802093</c:v>
                </c:pt>
                <c:pt idx="136">
                  <c:v>210.737716871462</c:v>
                </c:pt>
                <c:pt idx="137">
                  <c:v>183.70797761744905</c:v>
                </c:pt>
                <c:pt idx="138">
                  <c:v>176.76630551108894</c:v>
                </c:pt>
                <c:pt idx="139">
                  <c:v>208.21799999999996</c:v>
                </c:pt>
                <c:pt idx="140" formatCode="0.000">
                  <c:v>222.678</c:v>
                </c:pt>
                <c:pt idx="141" formatCode="0.000">
                  <c:v>208.83864191330298</c:v>
                </c:pt>
                <c:pt idx="142" formatCode="0.000">
                  <c:v>207.39460472346803</c:v>
                </c:pt>
                <c:pt idx="143" formatCode="0.000">
                  <c:v>195.66619934230232</c:v>
                </c:pt>
                <c:pt idx="144" formatCode="0.000">
                  <c:v>223.58363596412556</c:v>
                </c:pt>
                <c:pt idx="145" formatCode="0.000">
                  <c:v>199.97176164424542</c:v>
                </c:pt>
                <c:pt idx="146" formatCode="0.000">
                  <c:v>183.517602391629</c:v>
                </c:pt>
                <c:pt idx="147" formatCode="0.000">
                  <c:v>199.72038857997018</c:v>
                </c:pt>
                <c:pt idx="148" formatCode="0.000">
                  <c:v>227.94719714499254</c:v>
                </c:pt>
                <c:pt idx="149" formatCode="0.000">
                  <c:v>199.23928355754859</c:v>
                </c:pt>
                <c:pt idx="150" formatCode="0.000">
                  <c:v>212.03913512705532</c:v>
                </c:pt>
                <c:pt idx="151" formatCode="0.000">
                  <c:v>195.42257215246639</c:v>
                </c:pt>
                <c:pt idx="152" formatCode="0.000">
                  <c:v>229.48208497757849</c:v>
                </c:pt>
                <c:pt idx="153" formatCode="0.000">
                  <c:v>221.09553291479824</c:v>
                </c:pt>
                <c:pt idx="154" formatCode="0.000">
                  <c:v>200.9504247085203</c:v>
                </c:pt>
                <c:pt idx="155" formatCode="0.000">
                  <c:v>222.83402473841534</c:v>
                </c:pt>
                <c:pt idx="156" formatCode="0.000">
                  <c:v>238.37852713004486</c:v>
                </c:pt>
                <c:pt idx="157" formatCode="0.000">
                  <c:v>221.26676780269054</c:v>
                </c:pt>
                <c:pt idx="158" formatCode="0.000">
                  <c:v>212.27484847533628</c:v>
                </c:pt>
                <c:pt idx="159" formatCode="0.000">
                  <c:v>251.76894192825125</c:v>
                </c:pt>
                <c:pt idx="160" formatCode="0.000">
                  <c:v>281.08376346786247</c:v>
                </c:pt>
                <c:pt idx="161" formatCode="0.000">
                  <c:v>265.48782727255423</c:v>
                </c:pt>
                <c:pt idx="162" formatCode="0.000">
                  <c:v>227.83168719680316</c:v>
                </c:pt>
                <c:pt idx="163" formatCode="0.000">
                  <c:v>222.81360381165916</c:v>
                </c:pt>
              </c:numCache>
            </c:numRef>
          </c:val>
          <c:smooth val="0"/>
          <c:extLst>
            <c:ext xmlns:c16="http://schemas.microsoft.com/office/drawing/2014/chart" uri="{C3380CC4-5D6E-409C-BE32-E72D297353CC}">
              <c16:uniqueId val="{00000001-A323-4438-AB76-3A3BD5C6F162}"/>
            </c:ext>
          </c:extLst>
        </c:ser>
        <c:dLbls>
          <c:showLegendKey val="0"/>
          <c:showVal val="0"/>
          <c:showCatName val="0"/>
          <c:showSerName val="0"/>
          <c:showPercent val="0"/>
          <c:showBubbleSize val="0"/>
        </c:dLbls>
        <c:smooth val="0"/>
        <c:axId val="266180480"/>
        <c:axId val="266182016"/>
      </c:lineChart>
      <c:catAx>
        <c:axId val="266180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nb-NO"/>
          </a:p>
        </c:txPr>
        <c:crossAx val="266182016"/>
        <c:crosses val="autoZero"/>
        <c:auto val="1"/>
        <c:lblAlgn val="ctr"/>
        <c:lblOffset val="100"/>
        <c:tickLblSkip val="1"/>
        <c:tickMarkSkip val="1"/>
        <c:noMultiLvlLbl val="0"/>
      </c:catAx>
      <c:valAx>
        <c:axId val="266182016"/>
        <c:scaling>
          <c:orientation val="minMax"/>
        </c:scaling>
        <c:delete val="0"/>
        <c:axPos val="l"/>
        <c:majorGridlines>
          <c:spPr>
            <a:ln>
              <a:prstDash val="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6180480"/>
        <c:crosses val="autoZero"/>
        <c:crossBetween val="between"/>
      </c:valAx>
      <c:spPr>
        <a:noFill/>
        <a:ln w="12700">
          <a:solidFill>
            <a:srgbClr val="808080"/>
          </a:solidFill>
          <a:prstDash val="solid"/>
        </a:ln>
      </c:spPr>
    </c:plotArea>
    <c:legend>
      <c:legendPos val="r"/>
      <c:layout>
        <c:manualLayout>
          <c:xMode val="edge"/>
          <c:yMode val="edge"/>
          <c:x val="0.59154731503155356"/>
          <c:y val="0.60632894572388973"/>
          <c:w val="0.26013531247783173"/>
          <c:h val="0.1228072806688637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566614958665"/>
          <c:y val="4.7126376644779866E-2"/>
          <c:w val="0.72887760912680744"/>
          <c:h val="0.81417322834645667"/>
        </c:manualLayout>
      </c:layout>
      <c:lineChart>
        <c:grouping val="standard"/>
        <c:varyColors val="0"/>
        <c:ser>
          <c:idx val="0"/>
          <c:order val="0"/>
          <c:tx>
            <c:strRef>
              <c:f>'Tab2'!$M$70</c:f>
              <c:strCache>
                <c:ptCount val="1"/>
                <c:pt idx="0">
                  <c:v>Erstatning</c:v>
                </c:pt>
              </c:strCache>
            </c:strRef>
          </c:tx>
          <c:spPr>
            <a:ln w="25400"/>
          </c:spPr>
          <c:marker>
            <c:symbol val="none"/>
          </c:marker>
          <c:cat>
            <c:numRef>
              <c:f>'Tab2'!$K$103:$K$234</c:f>
              <c:numCache>
                <c:formatCode>General</c:formatCode>
                <c:ptCount val="132"/>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numCache>
            </c:numRef>
          </c:cat>
          <c:val>
            <c:numRef>
              <c:f>'Tab2'!$T$103:$T$234</c:f>
              <c:numCache>
                <c:formatCode>#\ ##0.0</c:formatCode>
                <c:ptCount val="132"/>
                <c:pt idx="0">
                  <c:v>296.49255165692</c:v>
                </c:pt>
                <c:pt idx="1">
                  <c:v>368.88976712856032</c:v>
                </c:pt>
                <c:pt idx="2">
                  <c:v>428.73234988452651</c:v>
                </c:pt>
                <c:pt idx="3">
                  <c:v>383.9897861779304</c:v>
                </c:pt>
                <c:pt idx="4">
                  <c:v>373.79315238095228</c:v>
                </c:pt>
                <c:pt idx="5">
                  <c:v>341.54264484574861</c:v>
                </c:pt>
                <c:pt idx="6">
                  <c:v>447.59058812476502</c:v>
                </c:pt>
                <c:pt idx="7">
                  <c:v>221.98726017170577</c:v>
                </c:pt>
                <c:pt idx="8">
                  <c:v>354.13020601336297</c:v>
                </c:pt>
                <c:pt idx="9">
                  <c:v>381.56121879588841</c:v>
                </c:pt>
                <c:pt idx="10">
                  <c:v>433.80399006622503</c:v>
                </c:pt>
                <c:pt idx="11">
                  <c:v>327.55685897435887</c:v>
                </c:pt>
                <c:pt idx="12">
                  <c:v>321.98142307692297</c:v>
                </c:pt>
                <c:pt idx="13">
                  <c:v>387.6964776444928</c:v>
                </c:pt>
                <c:pt idx="14">
                  <c:v>432.44436844010141</c:v>
                </c:pt>
                <c:pt idx="15">
                  <c:v>419.54251979841598</c:v>
                </c:pt>
                <c:pt idx="16">
                  <c:v>355.22510885082073</c:v>
                </c:pt>
                <c:pt idx="17">
                  <c:v>410.92917817924189</c:v>
                </c:pt>
                <c:pt idx="18">
                  <c:v>431.53340595111558</c:v>
                </c:pt>
                <c:pt idx="19">
                  <c:v>395.15754580690651</c:v>
                </c:pt>
                <c:pt idx="20">
                  <c:v>382.02389596602967</c:v>
                </c:pt>
                <c:pt idx="21">
                  <c:v>419.37420434630201</c:v>
                </c:pt>
                <c:pt idx="22">
                  <c:v>442.47359860383932</c:v>
                </c:pt>
                <c:pt idx="23">
                  <c:v>353.74780200761523</c:v>
                </c:pt>
                <c:pt idx="24">
                  <c:v>349.73970195272346</c:v>
                </c:pt>
                <c:pt idx="25">
                  <c:v>416.55981917434303</c:v>
                </c:pt>
                <c:pt idx="26">
                  <c:v>368.70922552030027</c:v>
                </c:pt>
                <c:pt idx="27">
                  <c:v>340.85801321138183</c:v>
                </c:pt>
                <c:pt idx="28">
                  <c:v>338.31610271903321</c:v>
                </c:pt>
                <c:pt idx="29">
                  <c:v>371.12718488799726</c:v>
                </c:pt>
                <c:pt idx="30">
                  <c:v>380.55981295925181</c:v>
                </c:pt>
                <c:pt idx="31">
                  <c:v>370.32078450844074</c:v>
                </c:pt>
                <c:pt idx="32">
                  <c:v>290.92338593030894</c:v>
                </c:pt>
                <c:pt idx="33">
                  <c:v>353.00637801696007</c:v>
                </c:pt>
                <c:pt idx="34">
                  <c:v>405.69930678466079</c:v>
                </c:pt>
                <c:pt idx="35">
                  <c:v>336.49237037037017</c:v>
                </c:pt>
                <c:pt idx="36">
                  <c:v>343.00124282982785</c:v>
                </c:pt>
                <c:pt idx="37">
                  <c:v>318.0942673644148</c:v>
                </c:pt>
                <c:pt idx="38">
                  <c:v>333.66574707185805</c:v>
                </c:pt>
                <c:pt idx="39">
                  <c:v>364.77863607990008</c:v>
                </c:pt>
                <c:pt idx="40">
                  <c:v>274.30990313653126</c:v>
                </c:pt>
                <c:pt idx="41">
                  <c:v>314.62296684914833</c:v>
                </c:pt>
                <c:pt idx="42">
                  <c:v>265.68421985815598</c:v>
                </c:pt>
                <c:pt idx="43">
                  <c:v>430.91656700398636</c:v>
                </c:pt>
                <c:pt idx="44">
                  <c:v>328.08609179627928</c:v>
                </c:pt>
                <c:pt idx="45">
                  <c:v>384.64171969696957</c:v>
                </c:pt>
                <c:pt idx="46">
                  <c:v>305.03382755474451</c:v>
                </c:pt>
                <c:pt idx="47">
                  <c:v>316.6948048048049</c:v>
                </c:pt>
                <c:pt idx="48">
                  <c:v>289.35344677137863</c:v>
                </c:pt>
                <c:pt idx="49">
                  <c:v>327.87336301573157</c:v>
                </c:pt>
                <c:pt idx="50">
                  <c:v>305.72720881739639</c:v>
                </c:pt>
                <c:pt idx="51">
                  <c:v>355.48355387803446</c:v>
                </c:pt>
                <c:pt idx="52">
                  <c:v>287.89501036116036</c:v>
                </c:pt>
                <c:pt idx="53">
                  <c:v>364.95997060552605</c:v>
                </c:pt>
                <c:pt idx="54">
                  <c:v>257.8515752212387</c:v>
                </c:pt>
                <c:pt idx="55">
                  <c:v>258.92764473684218</c:v>
                </c:pt>
                <c:pt idx="56">
                  <c:v>254.51104807974195</c:v>
                </c:pt>
                <c:pt idx="57">
                  <c:v>239.87199797453707</c:v>
                </c:pt>
                <c:pt idx="58">
                  <c:v>240.86754995655937</c:v>
                </c:pt>
                <c:pt idx="59">
                  <c:v>221.81583333333339</c:v>
                </c:pt>
                <c:pt idx="60">
                  <c:v>234.03920240137217</c:v>
                </c:pt>
                <c:pt idx="61">
                  <c:v>270.64981764206948</c:v>
                </c:pt>
                <c:pt idx="62">
                  <c:v>258.13127450980392</c:v>
                </c:pt>
                <c:pt idx="63">
                  <c:v>219.42151400560215</c:v>
                </c:pt>
                <c:pt idx="64">
                  <c:v>258.15454468085102</c:v>
                </c:pt>
                <c:pt idx="65">
                  <c:v>246.60581854043383</c:v>
                </c:pt>
                <c:pt idx="66">
                  <c:v>235.19299518958678</c:v>
                </c:pt>
                <c:pt idx="67">
                  <c:v>214.20197019867555</c:v>
                </c:pt>
                <c:pt idx="68">
                  <c:v>237.98512578616345</c:v>
                </c:pt>
                <c:pt idx="69">
                  <c:v>279.8229016393442</c:v>
                </c:pt>
                <c:pt idx="70">
                  <c:v>274.23127944760347</c:v>
                </c:pt>
                <c:pt idx="71">
                  <c:v>391.7559689922482</c:v>
                </c:pt>
                <c:pt idx="72">
                  <c:v>309.05756266666657</c:v>
                </c:pt>
                <c:pt idx="73">
                  <c:v>339.19452797666395</c:v>
                </c:pt>
                <c:pt idx="74">
                  <c:v>334.94853535353519</c:v>
                </c:pt>
                <c:pt idx="75">
                  <c:v>395.6093259610322</c:v>
                </c:pt>
                <c:pt idx="76">
                  <c:v>342.26981481481482</c:v>
                </c:pt>
                <c:pt idx="77">
                  <c:v>283.39996896819235</c:v>
                </c:pt>
                <c:pt idx="78">
                  <c:v>284.56318075117355</c:v>
                </c:pt>
                <c:pt idx="79">
                  <c:v>287.95613695090429</c:v>
                </c:pt>
                <c:pt idx="80">
                  <c:v>217.80384664618532</c:v>
                </c:pt>
                <c:pt idx="81">
                  <c:v>273.60068447837136</c:v>
                </c:pt>
                <c:pt idx="82">
                  <c:v>234.2738704276145</c:v>
                </c:pt>
                <c:pt idx="83">
                  <c:v>251.46549688159723</c:v>
                </c:pt>
                <c:pt idx="84">
                  <c:v>241.79164223305662</c:v>
                </c:pt>
                <c:pt idx="85">
                  <c:v>253.44491982614699</c:v>
                </c:pt>
                <c:pt idx="86">
                  <c:v>264.87306148656546</c:v>
                </c:pt>
                <c:pt idx="87">
                  <c:v>261.39345919247313</c:v>
                </c:pt>
                <c:pt idx="88">
                  <c:v>228.67895440187107</c:v>
                </c:pt>
                <c:pt idx="89">
                  <c:v>237.69033171122348</c:v>
                </c:pt>
                <c:pt idx="90">
                  <c:v>232.80501770393636</c:v>
                </c:pt>
                <c:pt idx="91">
                  <c:v>241.20094214118129</c:v>
                </c:pt>
                <c:pt idx="92">
                  <c:v>220.38103586863119</c:v>
                </c:pt>
                <c:pt idx="93">
                  <c:v>221.79114282208059</c:v>
                </c:pt>
                <c:pt idx="94">
                  <c:v>234.14937950629545</c:v>
                </c:pt>
                <c:pt idx="95">
                  <c:v>230.50457285733043</c:v>
                </c:pt>
                <c:pt idx="96">
                  <c:v>203.41945231063391</c:v>
                </c:pt>
                <c:pt idx="97">
                  <c:v>219.17194068425346</c:v>
                </c:pt>
                <c:pt idx="98">
                  <c:v>170.1288093664474</c:v>
                </c:pt>
                <c:pt idx="99">
                  <c:v>202.75970835026871</c:v>
                </c:pt>
                <c:pt idx="100">
                  <c:v>163.28842513653439</c:v>
                </c:pt>
                <c:pt idx="101">
                  <c:v>191.64270052299682</c:v>
                </c:pt>
                <c:pt idx="102">
                  <c:v>186.00530498174476</c:v>
                </c:pt>
                <c:pt idx="103">
                  <c:v>182.64028030413519</c:v>
                </c:pt>
                <c:pt idx="104">
                  <c:v>174.70323046696774</c:v>
                </c:pt>
                <c:pt idx="105">
                  <c:v>147.45213988383969</c:v>
                </c:pt>
                <c:pt idx="106">
                  <c:v>157.45969676397368</c:v>
                </c:pt>
                <c:pt idx="107">
                  <c:v>151.40840071877804</c:v>
                </c:pt>
                <c:pt idx="108">
                  <c:v>140.41010910710307</c:v>
                </c:pt>
                <c:pt idx="109">
                  <c:v>162.95865110978841</c:v>
                </c:pt>
                <c:pt idx="110">
                  <c:v>178.78797630105805</c:v>
                </c:pt>
                <c:pt idx="111">
                  <c:v>137.47273757002171</c:v>
                </c:pt>
                <c:pt idx="112">
                  <c:v>143.97261499234605</c:v>
                </c:pt>
                <c:pt idx="113">
                  <c:v>165.88924097013859</c:v>
                </c:pt>
                <c:pt idx="114">
                  <c:v>169.59019040274404</c:v>
                </c:pt>
                <c:pt idx="115">
                  <c:v>154.61945353792154</c:v>
                </c:pt>
                <c:pt idx="116">
                  <c:v>169.92067493456003</c:v>
                </c:pt>
                <c:pt idx="117">
                  <c:v>145.43007650023603</c:v>
                </c:pt>
                <c:pt idx="118">
                  <c:v>183.13964629925613</c:v>
                </c:pt>
                <c:pt idx="119">
                  <c:v>130.96636773599005</c:v>
                </c:pt>
                <c:pt idx="120">
                  <c:v>131.5124711456881</c:v>
                </c:pt>
                <c:pt idx="121">
                  <c:v>130.58041157359932</c:v>
                </c:pt>
                <c:pt idx="122">
                  <c:v>136.36949954601243</c:v>
                </c:pt>
                <c:pt idx="123">
                  <c:v>120.00107765403776</c:v>
                </c:pt>
                <c:pt idx="124">
                  <c:v>133.95376703126087</c:v>
                </c:pt>
                <c:pt idx="125">
                  <c:v>182.13120148654775</c:v>
                </c:pt>
                <c:pt idx="126">
                  <c:v>177.81948235014065</c:v>
                </c:pt>
                <c:pt idx="127">
                  <c:v>172.0719222462717</c:v>
                </c:pt>
                <c:pt idx="128">
                  <c:v>169.20663211386594</c:v>
                </c:pt>
                <c:pt idx="129">
                  <c:v>179.32671276831456</c:v>
                </c:pt>
                <c:pt idx="130">
                  <c:v>236.38772186282833</c:v>
                </c:pt>
                <c:pt idx="131">
                  <c:v>186.59560206438073</c:v>
                </c:pt>
              </c:numCache>
            </c:numRef>
          </c:val>
          <c:smooth val="0"/>
          <c:extLst>
            <c:ext xmlns:c16="http://schemas.microsoft.com/office/drawing/2014/chart" uri="{C3380CC4-5D6E-409C-BE32-E72D297353CC}">
              <c16:uniqueId val="{00000000-A9C2-44F7-A0C1-9433E210C6CC}"/>
            </c:ext>
          </c:extLst>
        </c:ser>
        <c:dLbls>
          <c:showLegendKey val="0"/>
          <c:showVal val="0"/>
          <c:showCatName val="0"/>
          <c:showSerName val="0"/>
          <c:showPercent val="0"/>
          <c:showBubbleSize val="0"/>
        </c:dLbls>
        <c:marker val="1"/>
        <c:smooth val="0"/>
        <c:axId val="270837248"/>
        <c:axId val="270838784"/>
      </c:lineChart>
      <c:lineChart>
        <c:grouping val="standard"/>
        <c:varyColors val="0"/>
        <c:ser>
          <c:idx val="1"/>
          <c:order val="1"/>
          <c:tx>
            <c:strRef>
              <c:f>'Tab2'!$L$70</c:f>
              <c:strCache>
                <c:ptCount val="1"/>
                <c:pt idx="0">
                  <c:v>Antall</c:v>
                </c:pt>
              </c:strCache>
            </c:strRef>
          </c:tx>
          <c:spPr>
            <a:ln w="25400"/>
          </c:spPr>
          <c:marker>
            <c:symbol val="none"/>
          </c:marker>
          <c:cat>
            <c:numRef>
              <c:f>'Tab2'!$K$103:$K$234</c:f>
              <c:numCache>
                <c:formatCode>General</c:formatCode>
                <c:ptCount val="132"/>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numCache>
            </c:numRef>
          </c:cat>
          <c:val>
            <c:numRef>
              <c:f>'Tab2'!$R$103:$R$234</c:f>
              <c:numCache>
                <c:formatCode>#,##0</c:formatCode>
                <c:ptCount val="132"/>
                <c:pt idx="0">
                  <c:v>9077</c:v>
                </c:pt>
                <c:pt idx="1">
                  <c:v>12525</c:v>
                </c:pt>
                <c:pt idx="2">
                  <c:v>14126</c:v>
                </c:pt>
                <c:pt idx="3">
                  <c:v>13048</c:v>
                </c:pt>
                <c:pt idx="4">
                  <c:v>11030</c:v>
                </c:pt>
                <c:pt idx="5">
                  <c:v>13252</c:v>
                </c:pt>
                <c:pt idx="6">
                  <c:v>15450</c:v>
                </c:pt>
                <c:pt idx="7">
                  <c:v>12309</c:v>
                </c:pt>
                <c:pt idx="8">
                  <c:v>10571</c:v>
                </c:pt>
                <c:pt idx="9">
                  <c:v>12919</c:v>
                </c:pt>
                <c:pt idx="10">
                  <c:v>14800</c:v>
                </c:pt>
                <c:pt idx="11">
                  <c:v>11391</c:v>
                </c:pt>
                <c:pt idx="12">
                  <c:v>8795</c:v>
                </c:pt>
                <c:pt idx="13">
                  <c:v>13449</c:v>
                </c:pt>
                <c:pt idx="14">
                  <c:v>15669</c:v>
                </c:pt>
                <c:pt idx="15">
                  <c:v>14139</c:v>
                </c:pt>
                <c:pt idx="16">
                  <c:v>11007</c:v>
                </c:pt>
                <c:pt idx="17">
                  <c:v>13915</c:v>
                </c:pt>
                <c:pt idx="18">
                  <c:v>17436</c:v>
                </c:pt>
                <c:pt idx="19">
                  <c:v>15130</c:v>
                </c:pt>
                <c:pt idx="20">
                  <c:v>11785</c:v>
                </c:pt>
                <c:pt idx="21">
                  <c:v>14642</c:v>
                </c:pt>
                <c:pt idx="22">
                  <c:v>17198</c:v>
                </c:pt>
                <c:pt idx="23">
                  <c:v>13841</c:v>
                </c:pt>
                <c:pt idx="24">
                  <c:v>10571</c:v>
                </c:pt>
                <c:pt idx="25">
                  <c:v>14837</c:v>
                </c:pt>
                <c:pt idx="26">
                  <c:v>15670</c:v>
                </c:pt>
                <c:pt idx="27">
                  <c:v>13087</c:v>
                </c:pt>
                <c:pt idx="28">
                  <c:v>11958</c:v>
                </c:pt>
                <c:pt idx="29">
                  <c:v>15060</c:v>
                </c:pt>
                <c:pt idx="30">
                  <c:v>17098</c:v>
                </c:pt>
                <c:pt idx="31">
                  <c:v>14647</c:v>
                </c:pt>
                <c:pt idx="32">
                  <c:v>11175</c:v>
                </c:pt>
                <c:pt idx="33">
                  <c:v>12451</c:v>
                </c:pt>
                <c:pt idx="34">
                  <c:v>18817</c:v>
                </c:pt>
                <c:pt idx="35">
                  <c:v>13692</c:v>
                </c:pt>
                <c:pt idx="36">
                  <c:v>12421</c:v>
                </c:pt>
                <c:pt idx="37">
                  <c:v>13950</c:v>
                </c:pt>
                <c:pt idx="38">
                  <c:v>14850</c:v>
                </c:pt>
                <c:pt idx="39">
                  <c:v>13212</c:v>
                </c:pt>
                <c:pt idx="40">
                  <c:v>10538</c:v>
                </c:pt>
                <c:pt idx="41">
                  <c:v>11841</c:v>
                </c:pt>
                <c:pt idx="42">
                  <c:v>13534</c:v>
                </c:pt>
                <c:pt idx="43">
                  <c:v>12341</c:v>
                </c:pt>
                <c:pt idx="44">
                  <c:v>9371</c:v>
                </c:pt>
                <c:pt idx="45">
                  <c:v>14749</c:v>
                </c:pt>
                <c:pt idx="46">
                  <c:v>14722</c:v>
                </c:pt>
                <c:pt idx="47">
                  <c:v>14689</c:v>
                </c:pt>
                <c:pt idx="48">
                  <c:v>10626</c:v>
                </c:pt>
                <c:pt idx="49">
                  <c:v>12719</c:v>
                </c:pt>
                <c:pt idx="50">
                  <c:v>13690</c:v>
                </c:pt>
                <c:pt idx="51">
                  <c:v>11607</c:v>
                </c:pt>
                <c:pt idx="52">
                  <c:v>8913</c:v>
                </c:pt>
                <c:pt idx="53">
                  <c:v>10802</c:v>
                </c:pt>
                <c:pt idx="54">
                  <c:v>11365</c:v>
                </c:pt>
                <c:pt idx="55">
                  <c:v>9276</c:v>
                </c:pt>
                <c:pt idx="56">
                  <c:v>7498</c:v>
                </c:pt>
                <c:pt idx="57">
                  <c:v>11610</c:v>
                </c:pt>
                <c:pt idx="58">
                  <c:v>8742</c:v>
                </c:pt>
                <c:pt idx="59">
                  <c:v>11407</c:v>
                </c:pt>
                <c:pt idx="60">
                  <c:v>7106</c:v>
                </c:pt>
                <c:pt idx="61">
                  <c:v>9193</c:v>
                </c:pt>
                <c:pt idx="62">
                  <c:v>10840</c:v>
                </c:pt>
                <c:pt idx="63">
                  <c:v>9520</c:v>
                </c:pt>
                <c:pt idx="64">
                  <c:v>8112</c:v>
                </c:pt>
                <c:pt idx="65">
                  <c:v>10608</c:v>
                </c:pt>
                <c:pt idx="66">
                  <c:v>10319</c:v>
                </c:pt>
                <c:pt idx="67">
                  <c:v>8645</c:v>
                </c:pt>
                <c:pt idx="68">
                  <c:v>7939</c:v>
                </c:pt>
                <c:pt idx="69">
                  <c:v>10207</c:v>
                </c:pt>
                <c:pt idx="70">
                  <c:v>11007</c:v>
                </c:pt>
                <c:pt idx="71">
                  <c:v>10145</c:v>
                </c:pt>
                <c:pt idx="72">
                  <c:v>8619</c:v>
                </c:pt>
                <c:pt idx="73">
                  <c:v>11296</c:v>
                </c:pt>
                <c:pt idx="74">
                  <c:v>11383</c:v>
                </c:pt>
                <c:pt idx="75">
                  <c:v>10409</c:v>
                </c:pt>
                <c:pt idx="76">
                  <c:v>7227</c:v>
                </c:pt>
                <c:pt idx="77">
                  <c:v>10696</c:v>
                </c:pt>
                <c:pt idx="78">
                  <c:v>11532</c:v>
                </c:pt>
                <c:pt idx="79">
                  <c:v>9548</c:v>
                </c:pt>
                <c:pt idx="80">
                  <c:v>6732</c:v>
                </c:pt>
                <c:pt idx="81">
                  <c:v>10017</c:v>
                </c:pt>
                <c:pt idx="82">
                  <c:v>10339</c:v>
                </c:pt>
                <c:pt idx="83">
                  <c:v>9645.4866500746648</c:v>
                </c:pt>
                <c:pt idx="84">
                  <c:v>7564.3716625186662</c:v>
                </c:pt>
                <c:pt idx="85">
                  <c:v>10002.628337481334</c:v>
                </c:pt>
                <c:pt idx="86" formatCode="0">
                  <c:v>10877.781177428844</c:v>
                </c:pt>
                <c:pt idx="87" formatCode="0">
                  <c:v>8525.2188225711561</c:v>
                </c:pt>
                <c:pt idx="88" formatCode="0">
                  <c:v>5958.3970505452735</c:v>
                </c:pt>
                <c:pt idx="89" formatCode="0">
                  <c:v>10154.602949454726</c:v>
                </c:pt>
                <c:pt idx="90" formatCode="0">
                  <c:v>11786.02326086957</c:v>
                </c:pt>
                <c:pt idx="91" formatCode="0">
                  <c:v>11621.97673913043</c:v>
                </c:pt>
                <c:pt idx="92" formatCode="0">
                  <c:v>8004</c:v>
                </c:pt>
                <c:pt idx="93" formatCode="0">
                  <c:v>11579</c:v>
                </c:pt>
                <c:pt idx="94" formatCode="0">
                  <c:v>11684</c:v>
                </c:pt>
                <c:pt idx="95" formatCode="0">
                  <c:v>9690</c:v>
                </c:pt>
                <c:pt idx="96" formatCode="0">
                  <c:v>7135</c:v>
                </c:pt>
                <c:pt idx="97" formatCode="0">
                  <c:v>9988.3050621118018</c:v>
                </c:pt>
                <c:pt idx="98" formatCode="0">
                  <c:v>10649.652531055901</c:v>
                </c:pt>
                <c:pt idx="99" formatCode="0">
                  <c:v>9159.825978260902</c:v>
                </c:pt>
                <c:pt idx="100" formatCode="0">
                  <c:v>6340.7358571430004</c:v>
                </c:pt>
                <c:pt idx="101" formatCode="0">
                  <c:v>10107.700518632999</c:v>
                </c:pt>
                <c:pt idx="102" formatCode="0">
                  <c:v>10325.156290487997</c:v>
                </c:pt>
                <c:pt idx="103" formatCode="0">
                  <c:v>7957.0224983410008</c:v>
                </c:pt>
                <c:pt idx="104" formatCode="0">
                  <c:v>6121.3819215860003</c:v>
                </c:pt>
                <c:pt idx="105" formatCode="0">
                  <c:v>7194.9193664359991</c:v>
                </c:pt>
                <c:pt idx="106" formatCode="0">
                  <c:v>8727</c:v>
                </c:pt>
                <c:pt idx="107" formatCode="0">
                  <c:v>7520</c:v>
                </c:pt>
                <c:pt idx="108" formatCode="0">
                  <c:v>5433</c:v>
                </c:pt>
                <c:pt idx="109" formatCode="0">
                  <c:v>9319.6839472049996</c:v>
                </c:pt>
                <c:pt idx="110" formatCode="0">
                  <c:v>9726.2967189440697</c:v>
                </c:pt>
                <c:pt idx="111" formatCode="0">
                  <c:v>8182.2589673913026</c:v>
                </c:pt>
                <c:pt idx="112" formatCode="0">
                  <c:v>6840.1016739130437</c:v>
                </c:pt>
                <c:pt idx="113" formatCode="0">
                  <c:v>10227.612341614906</c:v>
                </c:pt>
                <c:pt idx="114" formatCode="0">
                  <c:v>10507.793672360251</c:v>
                </c:pt>
                <c:pt idx="115" formatCode="0">
                  <c:v>9597.5708897515542</c:v>
                </c:pt>
                <c:pt idx="116" formatCode="0">
                  <c:v>8173.2696444099374</c:v>
                </c:pt>
                <c:pt idx="117" formatCode="0">
                  <c:v>9378.7613872911825</c:v>
                </c:pt>
                <c:pt idx="118" formatCode="0">
                  <c:v>12479.986334758509</c:v>
                </c:pt>
                <c:pt idx="119" formatCode="0">
                  <c:v>9374.137683010551</c:v>
                </c:pt>
                <c:pt idx="120" formatCode="0">
                  <c:v>6121.5967593167707</c:v>
                </c:pt>
                <c:pt idx="121" formatCode="0">
                  <c:v>8820.4369021739112</c:v>
                </c:pt>
                <c:pt idx="122" formatCode="0">
                  <c:v>8162.7090062111811</c:v>
                </c:pt>
                <c:pt idx="123" formatCode="0">
                  <c:v>8198.4054586074526</c:v>
                </c:pt>
                <c:pt idx="124" formatCode="0">
                  <c:v>6778.6444332298142</c:v>
                </c:pt>
                <c:pt idx="125" formatCode="0">
                  <c:v>11377.755536580467</c:v>
                </c:pt>
                <c:pt idx="126" formatCode="0">
                  <c:v>12116.405554623785</c:v>
                </c:pt>
                <c:pt idx="127" formatCode="0">
                  <c:v>10409.999344870157</c:v>
                </c:pt>
                <c:pt idx="128" formatCode="0">
                  <c:v>7838.5406661490688</c:v>
                </c:pt>
                <c:pt idx="129" formatCode="0">
                  <c:v>11351.137162897225</c:v>
                </c:pt>
                <c:pt idx="130" formatCode="0">
                  <c:v>12525.795886792215</c:v>
                </c:pt>
                <c:pt idx="131" formatCode="0">
                  <c:v>9988.9312779503089</c:v>
                </c:pt>
              </c:numCache>
            </c:numRef>
          </c:val>
          <c:smooth val="0"/>
          <c:extLst>
            <c:ext xmlns:c16="http://schemas.microsoft.com/office/drawing/2014/chart" uri="{C3380CC4-5D6E-409C-BE32-E72D297353CC}">
              <c16:uniqueId val="{00000001-A9C2-44F7-A0C1-9433E210C6CC}"/>
            </c:ext>
          </c:extLst>
        </c:ser>
        <c:dLbls>
          <c:showLegendKey val="0"/>
          <c:showVal val="0"/>
          <c:showCatName val="0"/>
          <c:showSerName val="0"/>
          <c:showPercent val="0"/>
          <c:showBubbleSize val="0"/>
        </c:dLbls>
        <c:upDownBars>
          <c:gapWidth val="150"/>
          <c:upBars/>
          <c:downBars/>
        </c:upDownBars>
        <c:marker val="1"/>
        <c:smooth val="0"/>
        <c:axId val="270851072"/>
        <c:axId val="270849152"/>
      </c:lineChart>
      <c:catAx>
        <c:axId val="270837248"/>
        <c:scaling>
          <c:orientation val="minMax"/>
        </c:scaling>
        <c:delete val="0"/>
        <c:axPos val="b"/>
        <c:majorGridlines>
          <c:spPr>
            <a:ln>
              <a:solidFill>
                <a:srgbClr val="4F81BD">
                  <a:alpha val="25000"/>
                </a:srgbClr>
              </a:solidFill>
            </a:ln>
          </c:spPr>
        </c:majorGridlines>
        <c:numFmt formatCode="General" sourceLinked="1"/>
        <c:majorTickMark val="out"/>
        <c:minorTickMark val="out"/>
        <c:tickLblPos val="nextTo"/>
        <c:txPr>
          <a:bodyPr rot="-3000000" vert="horz"/>
          <a:lstStyle/>
          <a:p>
            <a:pPr>
              <a:defRPr/>
            </a:pPr>
            <a:endParaRPr lang="nb-NO"/>
          </a:p>
        </c:txPr>
        <c:crossAx val="270838784"/>
        <c:crosses val="autoZero"/>
        <c:auto val="1"/>
        <c:lblAlgn val="ctr"/>
        <c:lblOffset val="100"/>
        <c:tickLblSkip val="1"/>
        <c:tickMarkSkip val="4"/>
        <c:noMultiLvlLbl val="0"/>
      </c:catAx>
      <c:valAx>
        <c:axId val="270838784"/>
        <c:scaling>
          <c:orientation val="minMax"/>
        </c:scaling>
        <c:delete val="0"/>
        <c:axPos val="l"/>
        <c:majorGridlines/>
        <c:title>
          <c:tx>
            <c:rich>
              <a:bodyPr rot="-5400000" vert="horz" anchor="ctr" anchorCtr="1"/>
              <a:lstStyle/>
              <a:p>
                <a:pPr>
                  <a:defRPr/>
                </a:pPr>
                <a:r>
                  <a:rPr lang="en-US"/>
                  <a:t>KPI-justert erstatning (millioner kroner)</a:t>
                </a:r>
              </a:p>
            </c:rich>
          </c:tx>
          <c:layout>
            <c:manualLayout>
              <c:xMode val="edge"/>
              <c:yMode val="edge"/>
              <c:x val="1.5657612176468372E-2"/>
              <c:y val="0.13385355900279908"/>
            </c:manualLayout>
          </c:layout>
          <c:overlay val="0"/>
        </c:title>
        <c:numFmt formatCode="#,##0" sourceLinked="0"/>
        <c:majorTickMark val="out"/>
        <c:minorTickMark val="none"/>
        <c:tickLblPos val="nextTo"/>
        <c:crossAx val="270837248"/>
        <c:crosses val="autoZero"/>
        <c:crossBetween val="between"/>
      </c:valAx>
      <c:valAx>
        <c:axId val="270849152"/>
        <c:scaling>
          <c:orientation val="minMax"/>
        </c:scaling>
        <c:delete val="0"/>
        <c:axPos val="r"/>
        <c:title>
          <c:tx>
            <c:rich>
              <a:bodyPr rot="-5400000" vert="horz"/>
              <a:lstStyle/>
              <a:p>
                <a:pPr>
                  <a:defRPr/>
                </a:pPr>
                <a:r>
                  <a:rPr lang="en-US"/>
                  <a:t>Antall meldte innbrudd/tyveri/ran</a:t>
                </a:r>
              </a:p>
            </c:rich>
          </c:tx>
          <c:overlay val="0"/>
        </c:title>
        <c:numFmt formatCode="#,##0" sourceLinked="1"/>
        <c:majorTickMark val="out"/>
        <c:minorTickMark val="none"/>
        <c:tickLblPos val="nextTo"/>
        <c:crossAx val="270851072"/>
        <c:crosses val="max"/>
        <c:crossBetween val="between"/>
      </c:valAx>
      <c:catAx>
        <c:axId val="270851072"/>
        <c:scaling>
          <c:orientation val="minMax"/>
        </c:scaling>
        <c:delete val="1"/>
        <c:axPos val="b"/>
        <c:numFmt formatCode="General" sourceLinked="1"/>
        <c:majorTickMark val="out"/>
        <c:minorTickMark val="none"/>
        <c:tickLblPos val="none"/>
        <c:crossAx val="270849152"/>
        <c:crosses val="autoZero"/>
        <c:auto val="0"/>
        <c:lblAlgn val="ctr"/>
        <c:lblOffset val="100"/>
        <c:noMultiLvlLbl val="0"/>
      </c:catAx>
    </c:plotArea>
    <c:legend>
      <c:legendPos val="r"/>
      <c:layout>
        <c:manualLayout>
          <c:xMode val="edge"/>
          <c:yMode val="edge"/>
          <c:x val="0.54813905737861102"/>
          <c:y val="5.4665550527114352E-2"/>
          <c:w val="0.2317650782352112"/>
          <c:h val="0.10148035666735998"/>
        </c:manualLayout>
      </c:layou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114671163575038"/>
          <c:y val="0.10875331564986535"/>
          <c:w val="0.50084317032040471"/>
          <c:h val="0.78779840848810034"/>
        </c:manualLayout>
      </c:layout>
      <c:pieChart>
        <c:varyColors val="1"/>
        <c:ser>
          <c:idx val="0"/>
          <c:order val="0"/>
          <c:spPr>
            <a:solidFill>
              <a:srgbClr val="FFFFCC"/>
            </a:solidFill>
            <a:ln w="12700">
              <a:solidFill>
                <a:srgbClr val="000000"/>
              </a:solidFill>
              <a:prstDash val="solid"/>
            </a:ln>
          </c:spPr>
          <c:dPt>
            <c:idx val="0"/>
            <c:bubble3D val="0"/>
            <c:spPr>
              <a:pattFill prst="solidDmnd">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0-FBFF-464F-9449-14EEA586AEC1}"/>
              </c:ext>
            </c:extLst>
          </c:dPt>
          <c:dPt>
            <c:idx val="1"/>
            <c:bubble3D val="0"/>
            <c:spPr>
              <a:solidFill>
                <a:srgbClr val="CCFFFF"/>
              </a:solidFill>
              <a:ln w="12700">
                <a:solidFill>
                  <a:srgbClr val="000000"/>
                </a:solidFill>
                <a:prstDash val="solid"/>
              </a:ln>
            </c:spPr>
            <c:extLst>
              <c:ext xmlns:c16="http://schemas.microsoft.com/office/drawing/2014/chart" uri="{C3380CC4-5D6E-409C-BE32-E72D297353CC}">
                <c16:uniqueId val="{00000001-FBFF-464F-9449-14EEA586AEC1}"/>
              </c:ext>
            </c:extLst>
          </c:dPt>
          <c:dPt>
            <c:idx val="2"/>
            <c:bubble3D val="0"/>
            <c:spPr>
              <a:solidFill>
                <a:srgbClr val="FFFFFF"/>
              </a:solidFill>
              <a:ln w="12700">
                <a:solidFill>
                  <a:srgbClr val="000000"/>
                </a:solidFill>
                <a:prstDash val="solid"/>
              </a:ln>
            </c:spPr>
            <c:extLst>
              <c:ext xmlns:c16="http://schemas.microsoft.com/office/drawing/2014/chart" uri="{C3380CC4-5D6E-409C-BE32-E72D297353CC}">
                <c16:uniqueId val="{00000002-FBFF-464F-9449-14EEA586AEC1}"/>
              </c:ext>
            </c:extLst>
          </c:dPt>
          <c:dPt>
            <c:idx val="3"/>
            <c:bubble3D val="0"/>
            <c:spPr>
              <a:pattFill prst="wdUpDiag">
                <a:fgClr>
                  <a:srgbClr val="800000"/>
                </a:fgClr>
                <a:bgClr>
                  <a:srgbClr val="FFFFFF"/>
                </a:bgClr>
              </a:pattFill>
              <a:ln w="12700">
                <a:solidFill>
                  <a:srgbClr val="000000"/>
                </a:solidFill>
                <a:prstDash val="solid"/>
              </a:ln>
            </c:spPr>
            <c:extLst>
              <c:ext xmlns:c16="http://schemas.microsoft.com/office/drawing/2014/chart" uri="{C3380CC4-5D6E-409C-BE32-E72D297353CC}">
                <c16:uniqueId val="{00000003-FBFF-464F-9449-14EEA586AEC1}"/>
              </c:ext>
            </c:extLst>
          </c:dPt>
          <c:dLbls>
            <c:dLbl>
              <c:idx val="1"/>
              <c:layout>
                <c:manualLayout>
                  <c:x val="1.3705747641758177E-2"/>
                  <c:y val="-3.681824196645469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FF-464F-9449-14EEA586AEC1}"/>
                </c:ext>
              </c:extLst>
            </c:dLbl>
            <c:dLbl>
              <c:idx val="2"/>
              <c:layout>
                <c:manualLayout>
                  <c:x val="5.2092856557194103E-3"/>
                  <c:y val="9.360152191976656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FF-464F-9449-14EEA586AEC1}"/>
                </c:ext>
              </c:extLst>
            </c:dLbl>
            <c:numFmt formatCode="0.0\ %" sourceLinked="0"/>
            <c:spPr>
              <a:noFill/>
              <a:ln w="25400">
                <a:noFill/>
              </a:ln>
            </c:spPr>
            <c:txPr>
              <a:bodyPr/>
              <a:lstStyle/>
              <a:p>
                <a:pPr>
                  <a:defRPr sz="950" b="0" i="0" u="none" strike="noStrike" baseline="0">
                    <a:solidFill>
                      <a:srgbClr val="000000"/>
                    </a:solidFill>
                    <a:latin typeface="Arial"/>
                    <a:ea typeface="Arial"/>
                    <a:cs typeface="Arial"/>
                  </a:defRPr>
                </a:pPr>
                <a:endParaRPr lang="nb-NO"/>
              </a:p>
            </c:txPr>
            <c:showLegendKey val="0"/>
            <c:showVal val="0"/>
            <c:showCatName val="1"/>
            <c:showSerName val="0"/>
            <c:showPercent val="1"/>
            <c:showBubbleSize val="0"/>
            <c:showLeaderLines val="0"/>
            <c:extLst>
              <c:ext xmlns:c15="http://schemas.microsoft.com/office/drawing/2012/chart" uri="{CE6537A1-D6FC-4f65-9D91-7224C49458BB}"/>
            </c:extLst>
          </c:dLbls>
          <c:cat>
            <c:strRef>
              <c:f>'Tab2'!$V$74:$V$78</c:f>
              <c:strCache>
                <c:ptCount val="5"/>
                <c:pt idx="0">
                  <c:v>Tyveri</c:v>
                </c:pt>
                <c:pt idx="1">
                  <c:v>Glass</c:v>
                </c:pt>
                <c:pt idx="2">
                  <c:v>Brann</c:v>
                </c:pt>
                <c:pt idx="3">
                  <c:v>Person</c:v>
                </c:pt>
                <c:pt idx="4">
                  <c:v>Materiell</c:v>
                </c:pt>
              </c:strCache>
            </c:strRef>
          </c:cat>
          <c:val>
            <c:numRef>
              <c:f>'Tab2'!$Z$74:$Z$78</c:f>
              <c:numCache>
                <c:formatCode>0.0</c:formatCode>
                <c:ptCount val="5"/>
                <c:pt idx="0">
                  <c:v>320.68974104789345</c:v>
                </c:pt>
                <c:pt idx="1">
                  <c:v>2094.4640437700255</c:v>
                </c:pt>
                <c:pt idx="2">
                  <c:v>285.96684758238604</c:v>
                </c:pt>
                <c:pt idx="3">
                  <c:v>1630.3140754617621</c:v>
                </c:pt>
                <c:pt idx="4" formatCode="0.000">
                  <c:v>17718.19397436998</c:v>
                </c:pt>
              </c:numCache>
            </c:numRef>
          </c:val>
          <c:extLst>
            <c:ext xmlns:c16="http://schemas.microsoft.com/office/drawing/2014/chart" uri="{C3380CC4-5D6E-409C-BE32-E72D297353CC}">
              <c16:uniqueId val="{00000004-FBFF-464F-9449-14EEA586AEC1}"/>
            </c:ext>
          </c:extLst>
        </c:ser>
        <c:dLbls>
          <c:showLegendKey val="0"/>
          <c:showVal val="0"/>
          <c:showCatName val="1"/>
          <c:showSerName val="0"/>
          <c:showPercent val="1"/>
          <c:showBubbleSize val="0"/>
          <c:showLeaderLines val="0"/>
        </c:dLbls>
        <c:firstSliceAng val="50"/>
      </c:pieChart>
      <c:spPr>
        <a:noFill/>
        <a:ln w="25400">
          <a:noFill/>
        </a:ln>
      </c:spPr>
    </c:plotArea>
    <c:plotVisOnly val="1"/>
    <c:dispBlanksAs val="zero"/>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774193548387247E-2"/>
          <c:y val="5.0264680123284874E-2"/>
          <c:w val="0.89081883722845134"/>
          <c:h val="0.73545163548809867"/>
        </c:manualLayout>
      </c:layout>
      <c:barChart>
        <c:barDir val="col"/>
        <c:grouping val="clustered"/>
        <c:varyColors val="0"/>
        <c:ser>
          <c:idx val="0"/>
          <c:order val="0"/>
          <c:tx>
            <c:strRef>
              <c:f>'Tab2'!$W$82</c:f>
              <c:strCache>
                <c:ptCount val="1"/>
                <c:pt idx="0">
                  <c:v>2021</c:v>
                </c:pt>
              </c:strCache>
            </c:strRef>
          </c:tx>
          <c:spPr>
            <a:pattFill prst="solidDmnd">
              <a:fgClr>
                <a:srgbClr val="9999FF"/>
              </a:fgClr>
              <a:bgClr>
                <a:srgbClr val="FFFFFF"/>
              </a:bgClr>
            </a:pattFill>
            <a:ln w="12700">
              <a:solidFill>
                <a:srgbClr val="000000"/>
              </a:solidFill>
              <a:prstDash val="solid"/>
            </a:ln>
          </c:spPr>
          <c:invertIfNegative val="0"/>
          <c:cat>
            <c:strRef>
              <c:f>'Tab2'!$V$83:$V$92</c:f>
              <c:strCache>
                <c:ptCount val="10"/>
                <c:pt idx="0">
                  <c:v>Privat</c:v>
                </c:pt>
                <c:pt idx="1">
                  <c:v>Næring</c:v>
                </c:pt>
                <c:pt idx="2">
                  <c:v>Yrkesskade</c:v>
                </c:pt>
                <c:pt idx="3">
                  <c:v>Trygghet</c:v>
                </c:pt>
                <c:pt idx="4">
                  <c:v>Ulykke</c:v>
                </c:pt>
                <c:pt idx="5">
                  <c:v>Reise</c:v>
                </c:pt>
                <c:pt idx="6">
                  <c:v>Fritidsbåt</c:v>
                </c:pt>
                <c:pt idx="7">
                  <c:v>Ansvar</c:v>
                </c:pt>
                <c:pt idx="8">
                  <c:v>Fiskeoppdrett</c:v>
                </c:pt>
                <c:pt idx="9">
                  <c:v>Andre</c:v>
                </c:pt>
              </c:strCache>
            </c:strRef>
          </c:cat>
          <c:val>
            <c:numRef>
              <c:f>'Tab2'!$W$83:$W$92</c:f>
              <c:numCache>
                <c:formatCode>0.0</c:formatCode>
                <c:ptCount val="10"/>
                <c:pt idx="0">
                  <c:v>9329.6259879792105</c:v>
                </c:pt>
                <c:pt idx="1">
                  <c:v>6062.0590272136797</c:v>
                </c:pt>
                <c:pt idx="2">
                  <c:v>1811.9238978132253</c:v>
                </c:pt>
                <c:pt idx="3">
                  <c:v>2387.3848808729376</c:v>
                </c:pt>
                <c:pt idx="4">
                  <c:v>1120.2980383203794</c:v>
                </c:pt>
                <c:pt idx="5">
                  <c:v>773.78802688841336</c:v>
                </c:pt>
                <c:pt idx="6">
                  <c:v>593.00593686028049</c:v>
                </c:pt>
                <c:pt idx="7">
                  <c:v>1493.657688654961</c:v>
                </c:pt>
                <c:pt idx="8">
                  <c:v>189.00435847148509</c:v>
                </c:pt>
                <c:pt idx="9">
                  <c:v>1258.060364658754</c:v>
                </c:pt>
              </c:numCache>
            </c:numRef>
          </c:val>
          <c:extLst>
            <c:ext xmlns:c16="http://schemas.microsoft.com/office/drawing/2014/chart" uri="{C3380CC4-5D6E-409C-BE32-E72D297353CC}">
              <c16:uniqueId val="{00000000-04B5-4D36-84E2-1FB290F926FF}"/>
            </c:ext>
          </c:extLst>
        </c:ser>
        <c:ser>
          <c:idx val="1"/>
          <c:order val="1"/>
          <c:tx>
            <c:strRef>
              <c:f>'Tab2'!$X$82</c:f>
              <c:strCache>
                <c:ptCount val="1"/>
                <c:pt idx="0">
                  <c:v>2022</c:v>
                </c:pt>
              </c:strCache>
            </c:strRef>
          </c:tx>
          <c:spPr>
            <a:pattFill prst="wdUpDiag">
              <a:fgClr>
                <a:srgbClr val="000000"/>
              </a:fgClr>
              <a:bgClr>
                <a:srgbClr val="FFFFFF"/>
              </a:bgClr>
            </a:pattFill>
            <a:ln w="12700">
              <a:solidFill>
                <a:srgbClr val="000000"/>
              </a:solidFill>
              <a:prstDash val="solid"/>
            </a:ln>
          </c:spPr>
          <c:invertIfNegative val="0"/>
          <c:cat>
            <c:strRef>
              <c:f>'Tab2'!$V$83:$V$92</c:f>
              <c:strCache>
                <c:ptCount val="10"/>
                <c:pt idx="0">
                  <c:v>Privat</c:v>
                </c:pt>
                <c:pt idx="1">
                  <c:v>Næring</c:v>
                </c:pt>
                <c:pt idx="2">
                  <c:v>Yrkesskade</c:v>
                </c:pt>
                <c:pt idx="3">
                  <c:v>Trygghet</c:v>
                </c:pt>
                <c:pt idx="4">
                  <c:v>Ulykke</c:v>
                </c:pt>
                <c:pt idx="5">
                  <c:v>Reise</c:v>
                </c:pt>
                <c:pt idx="6">
                  <c:v>Fritidsbåt</c:v>
                </c:pt>
                <c:pt idx="7">
                  <c:v>Ansvar</c:v>
                </c:pt>
                <c:pt idx="8">
                  <c:v>Fiskeoppdrett</c:v>
                </c:pt>
                <c:pt idx="9">
                  <c:v>Andre</c:v>
                </c:pt>
              </c:strCache>
            </c:strRef>
          </c:cat>
          <c:val>
            <c:numRef>
              <c:f>'Tab2'!$X$83:$X$92</c:f>
              <c:numCache>
                <c:formatCode>0.0</c:formatCode>
                <c:ptCount val="10"/>
                <c:pt idx="0">
                  <c:v>9776.7076031225206</c:v>
                </c:pt>
                <c:pt idx="1">
                  <c:v>7230.9088147832827</c:v>
                </c:pt>
                <c:pt idx="2">
                  <c:v>1885.3077142325617</c:v>
                </c:pt>
                <c:pt idx="3">
                  <c:v>2938.864223517015</c:v>
                </c:pt>
                <c:pt idx="4">
                  <c:v>724.48727871329743</c:v>
                </c:pt>
                <c:pt idx="5">
                  <c:v>2098.2771570466793</c:v>
                </c:pt>
                <c:pt idx="6">
                  <c:v>599.9461025980487</c:v>
                </c:pt>
                <c:pt idx="7">
                  <c:v>1558.6503994062932</c:v>
                </c:pt>
                <c:pt idx="8">
                  <c:v>141.56149134271325</c:v>
                </c:pt>
                <c:pt idx="9">
                  <c:v>1434.6564278851531</c:v>
                </c:pt>
              </c:numCache>
            </c:numRef>
          </c:val>
          <c:extLst>
            <c:ext xmlns:c16="http://schemas.microsoft.com/office/drawing/2014/chart" uri="{C3380CC4-5D6E-409C-BE32-E72D297353CC}">
              <c16:uniqueId val="{00000001-04B5-4D36-84E2-1FB290F926FF}"/>
            </c:ext>
          </c:extLst>
        </c:ser>
        <c:ser>
          <c:idx val="2"/>
          <c:order val="2"/>
          <c:tx>
            <c:strRef>
              <c:f>'Tab2'!$Y$82</c:f>
              <c:strCache>
                <c:ptCount val="1"/>
                <c:pt idx="0">
                  <c:v>2023</c:v>
                </c:pt>
              </c:strCache>
            </c:strRef>
          </c:tx>
          <c:spPr>
            <a:solidFill>
              <a:srgbClr val="993366"/>
            </a:solidFill>
            <a:ln w="12700">
              <a:solidFill>
                <a:srgbClr val="000000"/>
              </a:solidFill>
              <a:prstDash val="solid"/>
            </a:ln>
          </c:spPr>
          <c:invertIfNegative val="0"/>
          <c:cat>
            <c:strRef>
              <c:f>'Tab2'!$V$83:$V$92</c:f>
              <c:strCache>
                <c:ptCount val="10"/>
                <c:pt idx="0">
                  <c:v>Privat</c:v>
                </c:pt>
                <c:pt idx="1">
                  <c:v>Næring</c:v>
                </c:pt>
                <c:pt idx="2">
                  <c:v>Yrkesskade</c:v>
                </c:pt>
                <c:pt idx="3">
                  <c:v>Trygghet</c:v>
                </c:pt>
                <c:pt idx="4">
                  <c:v>Ulykke</c:v>
                </c:pt>
                <c:pt idx="5">
                  <c:v>Reise</c:v>
                </c:pt>
                <c:pt idx="6">
                  <c:v>Fritidsbåt</c:v>
                </c:pt>
                <c:pt idx="7">
                  <c:v>Ansvar</c:v>
                </c:pt>
                <c:pt idx="8">
                  <c:v>Fiskeoppdrett</c:v>
                </c:pt>
                <c:pt idx="9">
                  <c:v>Andre</c:v>
                </c:pt>
              </c:strCache>
            </c:strRef>
          </c:cat>
          <c:val>
            <c:numRef>
              <c:f>'Tab2'!$Y$83:$Y$92</c:f>
              <c:numCache>
                <c:formatCode>0.0</c:formatCode>
                <c:ptCount val="10"/>
                <c:pt idx="0">
                  <c:v>12630.225692452103</c:v>
                </c:pt>
                <c:pt idx="1">
                  <c:v>9813.9785573664831</c:v>
                </c:pt>
                <c:pt idx="2">
                  <c:v>2098.3300920885899</c:v>
                </c:pt>
                <c:pt idx="3">
                  <c:v>2795.1937506614249</c:v>
                </c:pt>
                <c:pt idx="4">
                  <c:v>922.01930659354025</c:v>
                </c:pt>
                <c:pt idx="5">
                  <c:v>2609.279436595139</c:v>
                </c:pt>
                <c:pt idx="6">
                  <c:v>662.09127275885123</c:v>
                </c:pt>
                <c:pt idx="7">
                  <c:v>1705.1275681590487</c:v>
                </c:pt>
                <c:pt idx="8">
                  <c:v>207.46931966016973</c:v>
                </c:pt>
                <c:pt idx="9">
                  <c:v>1521.8863597982286</c:v>
                </c:pt>
              </c:numCache>
            </c:numRef>
          </c:val>
          <c:extLst>
            <c:ext xmlns:c16="http://schemas.microsoft.com/office/drawing/2014/chart" uri="{C3380CC4-5D6E-409C-BE32-E72D297353CC}">
              <c16:uniqueId val="{00000002-04B5-4D36-84E2-1FB290F926FF}"/>
            </c:ext>
          </c:extLst>
        </c:ser>
        <c:dLbls>
          <c:showLegendKey val="0"/>
          <c:showVal val="0"/>
          <c:showCatName val="0"/>
          <c:showSerName val="0"/>
          <c:showPercent val="0"/>
          <c:showBubbleSize val="0"/>
        </c:dLbls>
        <c:gapWidth val="150"/>
        <c:axId val="270552448"/>
        <c:axId val="270562432"/>
      </c:barChart>
      <c:catAx>
        <c:axId val="27055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nb-NO"/>
          </a:p>
        </c:txPr>
        <c:crossAx val="270562432"/>
        <c:crosses val="autoZero"/>
        <c:auto val="1"/>
        <c:lblAlgn val="ctr"/>
        <c:lblOffset val="100"/>
        <c:tickLblSkip val="1"/>
        <c:tickMarkSkip val="1"/>
        <c:noMultiLvlLbl val="0"/>
      </c:catAx>
      <c:valAx>
        <c:axId val="270562432"/>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nb-NO"/>
                  <a:t>Millioner kroner</a:t>
                </a:r>
              </a:p>
            </c:rich>
          </c:tx>
          <c:layout>
            <c:manualLayout>
              <c:xMode val="edge"/>
              <c:yMode val="edge"/>
              <c:x val="9.4876660341558748E-3"/>
              <c:y val="0.317461150689497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552448"/>
        <c:crosses val="autoZero"/>
        <c:crossBetween val="between"/>
      </c:valAx>
      <c:spPr>
        <a:noFill/>
        <a:ln w="12700">
          <a:solidFill>
            <a:srgbClr val="808080"/>
          </a:solidFill>
          <a:prstDash val="solid"/>
        </a:ln>
      </c:spPr>
    </c:plotArea>
    <c:legend>
      <c:legendPos val="r"/>
      <c:layout>
        <c:manualLayout>
          <c:xMode val="edge"/>
          <c:yMode val="edge"/>
          <c:x val="0.62998102466793171"/>
          <c:y val="0.14021191795470009"/>
          <c:w val="0.27893738140417457"/>
          <c:h val="0.1375664153091979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9552276098459"/>
          <c:y val="5.956121969475487E-2"/>
          <c:w val="0.83783931207652318"/>
          <c:h val="0.81504826950719256"/>
        </c:manualLayout>
      </c:layout>
      <c:barChart>
        <c:barDir val="col"/>
        <c:grouping val="clustered"/>
        <c:varyColors val="0"/>
        <c:ser>
          <c:idx val="0"/>
          <c:order val="0"/>
          <c:tx>
            <c:strRef>
              <c:f>'Tab2'!$W$100</c:f>
              <c:strCache>
                <c:ptCount val="1"/>
                <c:pt idx="0">
                  <c:v>2021</c:v>
                </c:pt>
              </c:strCache>
            </c:strRef>
          </c:tx>
          <c:spPr>
            <a:pattFill prst="solidDmnd">
              <a:fgClr>
                <a:srgbClr val="9999FF"/>
              </a:fgClr>
              <a:bgClr>
                <a:srgbClr val="FFFFFF"/>
              </a:bgClr>
            </a:pattFill>
            <a:ln w="12700">
              <a:solidFill>
                <a:srgbClr val="000000"/>
              </a:solidFill>
              <a:prstDash val="solid"/>
            </a:ln>
          </c:spPr>
          <c:invertIfNegative val="0"/>
          <c:cat>
            <c:strRef>
              <c:f>'Tab2'!$V$101:$V$104</c:f>
              <c:strCache>
                <c:ptCount val="4"/>
                <c:pt idx="0">
                  <c:v>Brann</c:v>
                </c:pt>
                <c:pt idx="1">
                  <c:v>Vann</c:v>
                </c:pt>
                <c:pt idx="2">
                  <c:v>Tyveri</c:v>
                </c:pt>
                <c:pt idx="3">
                  <c:v>Andre</c:v>
                </c:pt>
              </c:strCache>
            </c:strRef>
          </c:cat>
          <c:val>
            <c:numRef>
              <c:f>'Tab2'!$W$101:$W$104</c:f>
              <c:numCache>
                <c:formatCode>#,##0</c:formatCode>
                <c:ptCount val="4"/>
                <c:pt idx="0">
                  <c:v>34228.250177873735</c:v>
                </c:pt>
                <c:pt idx="1">
                  <c:v>103582.85518140522</c:v>
                </c:pt>
                <c:pt idx="2">
                  <c:v>31303.148126309316</c:v>
                </c:pt>
                <c:pt idx="3" formatCode="_ * #\ ##0_ ;_ * \-#\ ##0_ ;_ * &quot;-&quot;??_ ;_ @_ ">
                  <c:v>333320.57083195559</c:v>
                </c:pt>
              </c:numCache>
            </c:numRef>
          </c:val>
          <c:extLst>
            <c:ext xmlns:c16="http://schemas.microsoft.com/office/drawing/2014/chart" uri="{C3380CC4-5D6E-409C-BE32-E72D297353CC}">
              <c16:uniqueId val="{00000000-08CC-4A25-8D7C-9031449DBD0D}"/>
            </c:ext>
          </c:extLst>
        </c:ser>
        <c:ser>
          <c:idx val="1"/>
          <c:order val="1"/>
          <c:tx>
            <c:strRef>
              <c:f>'Tab2'!$X$100</c:f>
              <c:strCache>
                <c:ptCount val="1"/>
                <c:pt idx="0">
                  <c:v>2022</c:v>
                </c:pt>
              </c:strCache>
            </c:strRef>
          </c:tx>
          <c:spPr>
            <a:pattFill prst="wdUpDiag">
              <a:fgClr>
                <a:srgbClr val="000000"/>
              </a:fgClr>
              <a:bgClr>
                <a:srgbClr val="FFFFFF"/>
              </a:bgClr>
            </a:pattFill>
            <a:ln w="12700">
              <a:solidFill>
                <a:srgbClr val="000000"/>
              </a:solidFill>
              <a:prstDash val="solid"/>
            </a:ln>
          </c:spPr>
          <c:invertIfNegative val="0"/>
          <c:cat>
            <c:strRef>
              <c:f>'Tab2'!$V$101:$V$104</c:f>
              <c:strCache>
                <c:ptCount val="4"/>
                <c:pt idx="0">
                  <c:v>Brann</c:v>
                </c:pt>
                <c:pt idx="1">
                  <c:v>Vann</c:v>
                </c:pt>
                <c:pt idx="2">
                  <c:v>Tyveri</c:v>
                </c:pt>
                <c:pt idx="3">
                  <c:v>Andre</c:v>
                </c:pt>
              </c:strCache>
            </c:strRef>
          </c:cat>
          <c:val>
            <c:numRef>
              <c:f>'Tab2'!$X$101:$X$104</c:f>
              <c:numCache>
                <c:formatCode>#,##0</c:formatCode>
                <c:ptCount val="4"/>
                <c:pt idx="0">
                  <c:v>30958.735250178666</c:v>
                </c:pt>
                <c:pt idx="1">
                  <c:v>89507.289752128534</c:v>
                </c:pt>
                <c:pt idx="2">
                  <c:v>40682.804869304215</c:v>
                </c:pt>
                <c:pt idx="3" formatCode="_ * #\ ##0_ ;_ * \-#\ ##0_ ;_ * &quot;-&quot;??_ ;_ @_ ">
                  <c:v>294391.06461577071</c:v>
                </c:pt>
              </c:numCache>
            </c:numRef>
          </c:val>
          <c:extLst>
            <c:ext xmlns:c16="http://schemas.microsoft.com/office/drawing/2014/chart" uri="{C3380CC4-5D6E-409C-BE32-E72D297353CC}">
              <c16:uniqueId val="{00000001-08CC-4A25-8D7C-9031449DBD0D}"/>
            </c:ext>
          </c:extLst>
        </c:ser>
        <c:ser>
          <c:idx val="2"/>
          <c:order val="2"/>
          <c:tx>
            <c:strRef>
              <c:f>'Tab2'!$Y$100</c:f>
              <c:strCache>
                <c:ptCount val="1"/>
                <c:pt idx="0">
                  <c:v>2023</c:v>
                </c:pt>
              </c:strCache>
            </c:strRef>
          </c:tx>
          <c:spPr>
            <a:solidFill>
              <a:srgbClr val="993366"/>
            </a:solidFill>
            <a:ln w="12700">
              <a:solidFill>
                <a:srgbClr val="000000"/>
              </a:solidFill>
              <a:prstDash val="solid"/>
            </a:ln>
          </c:spPr>
          <c:invertIfNegative val="0"/>
          <c:cat>
            <c:strRef>
              <c:f>'Tab2'!$V$101:$V$104</c:f>
              <c:strCache>
                <c:ptCount val="4"/>
                <c:pt idx="0">
                  <c:v>Brann</c:v>
                </c:pt>
                <c:pt idx="1">
                  <c:v>Vann</c:v>
                </c:pt>
                <c:pt idx="2">
                  <c:v>Tyveri</c:v>
                </c:pt>
                <c:pt idx="3">
                  <c:v>Andre</c:v>
                </c:pt>
              </c:strCache>
            </c:strRef>
          </c:cat>
          <c:val>
            <c:numRef>
              <c:f>'Tab2'!$Y$101:$Y$104</c:f>
              <c:numCache>
                <c:formatCode>#,##0</c:formatCode>
                <c:ptCount val="4"/>
                <c:pt idx="0">
                  <c:v>31608.667333333335</c:v>
                </c:pt>
                <c:pt idx="1">
                  <c:v>109920.25794466403</c:v>
                </c:pt>
                <c:pt idx="2">
                  <c:v>41704.404993788819</c:v>
                </c:pt>
                <c:pt idx="3" formatCode="_ * #\ ##0_ ;_ * \-#\ ##0_ ;_ * &quot;-&quot;??_ ;_ @_ ">
                  <c:v>318212.61879669013</c:v>
                </c:pt>
              </c:numCache>
            </c:numRef>
          </c:val>
          <c:extLst>
            <c:ext xmlns:c16="http://schemas.microsoft.com/office/drawing/2014/chart" uri="{C3380CC4-5D6E-409C-BE32-E72D297353CC}">
              <c16:uniqueId val="{00000002-08CC-4A25-8D7C-9031449DBD0D}"/>
            </c:ext>
          </c:extLst>
        </c:ser>
        <c:dLbls>
          <c:showLegendKey val="0"/>
          <c:showVal val="0"/>
          <c:showCatName val="0"/>
          <c:showSerName val="0"/>
          <c:showPercent val="0"/>
          <c:showBubbleSize val="0"/>
        </c:dLbls>
        <c:gapWidth val="150"/>
        <c:axId val="269555968"/>
        <c:axId val="269565952"/>
      </c:barChart>
      <c:catAx>
        <c:axId val="269555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565952"/>
        <c:crosses val="autoZero"/>
        <c:auto val="1"/>
        <c:lblAlgn val="ctr"/>
        <c:lblOffset val="100"/>
        <c:tickLblSkip val="1"/>
        <c:tickMarkSkip val="1"/>
        <c:noMultiLvlLbl val="0"/>
      </c:catAx>
      <c:valAx>
        <c:axId val="269565952"/>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555968"/>
        <c:crosses val="autoZero"/>
        <c:crossBetween val="between"/>
      </c:valAx>
      <c:spPr>
        <a:noFill/>
        <a:ln w="12700">
          <a:solidFill>
            <a:srgbClr val="808080"/>
          </a:solidFill>
          <a:prstDash val="solid"/>
        </a:ln>
      </c:spPr>
    </c:plotArea>
    <c:legend>
      <c:legendPos val="r"/>
      <c:layout>
        <c:manualLayout>
          <c:xMode val="edge"/>
          <c:yMode val="edge"/>
          <c:x val="0.51411505994183149"/>
          <c:y val="7.3111766103988021E-2"/>
          <c:w val="0.26486524319596133"/>
          <c:h val="0.1630097335011849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7690941385436"/>
          <c:y val="5.0131990708472525E-2"/>
          <c:w val="0.83303730017761957"/>
          <c:h val="0.80211185133556062"/>
        </c:manualLayout>
      </c:layout>
      <c:barChart>
        <c:barDir val="col"/>
        <c:grouping val="clustered"/>
        <c:varyColors val="0"/>
        <c:ser>
          <c:idx val="0"/>
          <c:order val="0"/>
          <c:tx>
            <c:strRef>
              <c:f>'Tab2'!$W$111</c:f>
              <c:strCache>
                <c:ptCount val="1"/>
                <c:pt idx="0">
                  <c:v>2021</c:v>
                </c:pt>
              </c:strCache>
            </c:strRef>
          </c:tx>
          <c:spPr>
            <a:pattFill prst="solidDmnd">
              <a:fgClr>
                <a:srgbClr val="9999FF"/>
              </a:fgClr>
              <a:bgClr>
                <a:srgbClr val="FFFFFF"/>
              </a:bgClr>
            </a:pattFill>
            <a:ln w="12700">
              <a:solidFill>
                <a:srgbClr val="000000"/>
              </a:solidFill>
              <a:prstDash val="solid"/>
            </a:ln>
          </c:spPr>
          <c:invertIfNegative val="0"/>
          <c:cat>
            <c:strRef>
              <c:f>'Tab2'!$V$112:$V$115</c:f>
              <c:strCache>
                <c:ptCount val="4"/>
                <c:pt idx="0">
                  <c:v>Brann                                                       (inkl avbrudd)</c:v>
                </c:pt>
                <c:pt idx="1">
                  <c:v>Vann</c:v>
                </c:pt>
                <c:pt idx="2">
                  <c:v>Tyveri</c:v>
                </c:pt>
                <c:pt idx="3">
                  <c:v>Andre</c:v>
                </c:pt>
              </c:strCache>
            </c:strRef>
          </c:cat>
          <c:val>
            <c:numRef>
              <c:f>'Tab2'!$W$112:$W$115</c:f>
              <c:numCache>
                <c:formatCode>#\ ##0.0</c:formatCode>
                <c:ptCount val="4"/>
                <c:pt idx="0">
                  <c:v>5611.3158084307979</c:v>
                </c:pt>
                <c:pt idx="1">
                  <c:v>5335.1013615169859</c:v>
                </c:pt>
                <c:pt idx="2">
                  <c:v>460.47883543046873</c:v>
                </c:pt>
                <c:pt idx="3">
                  <c:v>3984.7890098146345</c:v>
                </c:pt>
              </c:numCache>
            </c:numRef>
          </c:val>
          <c:extLst>
            <c:ext xmlns:c16="http://schemas.microsoft.com/office/drawing/2014/chart" uri="{C3380CC4-5D6E-409C-BE32-E72D297353CC}">
              <c16:uniqueId val="{00000000-3F4B-49F0-880E-8FA78B3D72F2}"/>
            </c:ext>
          </c:extLst>
        </c:ser>
        <c:ser>
          <c:idx val="1"/>
          <c:order val="1"/>
          <c:tx>
            <c:strRef>
              <c:f>'Tab2'!$X$111</c:f>
              <c:strCache>
                <c:ptCount val="1"/>
                <c:pt idx="0">
                  <c:v>2022</c:v>
                </c:pt>
              </c:strCache>
            </c:strRef>
          </c:tx>
          <c:spPr>
            <a:pattFill prst="wdUpDiag">
              <a:fgClr>
                <a:srgbClr val="000000"/>
              </a:fgClr>
              <a:bgClr>
                <a:srgbClr val="FFFFFF"/>
              </a:bgClr>
            </a:pattFill>
            <a:ln w="12700">
              <a:solidFill>
                <a:srgbClr val="000000"/>
              </a:solidFill>
              <a:prstDash val="solid"/>
            </a:ln>
          </c:spPr>
          <c:invertIfNegative val="0"/>
          <c:cat>
            <c:strRef>
              <c:f>'Tab2'!$V$112:$V$115</c:f>
              <c:strCache>
                <c:ptCount val="4"/>
                <c:pt idx="0">
                  <c:v>Brann                                                       (inkl avbrudd)</c:v>
                </c:pt>
                <c:pt idx="1">
                  <c:v>Vann</c:v>
                </c:pt>
                <c:pt idx="2">
                  <c:v>Tyveri</c:v>
                </c:pt>
                <c:pt idx="3">
                  <c:v>Andre</c:v>
                </c:pt>
              </c:strCache>
            </c:strRef>
          </c:cat>
          <c:val>
            <c:numRef>
              <c:f>'Tab2'!$X$112:$X$115</c:f>
              <c:numCache>
                <c:formatCode>#\ ##0.0</c:formatCode>
                <c:ptCount val="4"/>
                <c:pt idx="0">
                  <c:v>6952.1194142841505</c:v>
                </c:pt>
                <c:pt idx="1">
                  <c:v>5324.2496455159562</c:v>
                </c:pt>
                <c:pt idx="2">
                  <c:v>631.06983640403121</c:v>
                </c:pt>
                <c:pt idx="3">
                  <c:v>4100.1775217016657</c:v>
                </c:pt>
              </c:numCache>
            </c:numRef>
          </c:val>
          <c:extLst>
            <c:ext xmlns:c16="http://schemas.microsoft.com/office/drawing/2014/chart" uri="{C3380CC4-5D6E-409C-BE32-E72D297353CC}">
              <c16:uniqueId val="{00000001-3F4B-49F0-880E-8FA78B3D72F2}"/>
            </c:ext>
          </c:extLst>
        </c:ser>
        <c:ser>
          <c:idx val="2"/>
          <c:order val="2"/>
          <c:tx>
            <c:strRef>
              <c:f>'Tab2'!$Y$111</c:f>
              <c:strCache>
                <c:ptCount val="1"/>
                <c:pt idx="0">
                  <c:v>2023</c:v>
                </c:pt>
              </c:strCache>
            </c:strRef>
          </c:tx>
          <c:spPr>
            <a:solidFill>
              <a:srgbClr val="993366"/>
            </a:solidFill>
            <a:ln w="12700">
              <a:solidFill>
                <a:srgbClr val="000000"/>
              </a:solidFill>
              <a:prstDash val="solid"/>
            </a:ln>
          </c:spPr>
          <c:invertIfNegative val="0"/>
          <c:cat>
            <c:strRef>
              <c:f>'Tab2'!$V$112:$V$115</c:f>
              <c:strCache>
                <c:ptCount val="4"/>
                <c:pt idx="0">
                  <c:v>Brann                                                       (inkl avbrudd)</c:v>
                </c:pt>
                <c:pt idx="1">
                  <c:v>Vann</c:v>
                </c:pt>
                <c:pt idx="2">
                  <c:v>Tyveri</c:v>
                </c:pt>
                <c:pt idx="3">
                  <c:v>Andre</c:v>
                </c:pt>
              </c:strCache>
            </c:strRef>
          </c:cat>
          <c:val>
            <c:numRef>
              <c:f>'Tab2'!$Y$112:$Y$115</c:f>
              <c:numCache>
                <c:formatCode>#\ ##0.0</c:formatCode>
                <c:ptCount val="4"/>
                <c:pt idx="0">
                  <c:v>7022.7365470831883</c:v>
                </c:pt>
                <c:pt idx="1">
                  <c:v>7696.740476460318</c:v>
                </c:pt>
                <c:pt idx="2">
                  <c:v>771.56266497393744</c:v>
                </c:pt>
                <c:pt idx="3">
                  <c:v>6953.1645613011406</c:v>
                </c:pt>
              </c:numCache>
            </c:numRef>
          </c:val>
          <c:extLst>
            <c:ext xmlns:c16="http://schemas.microsoft.com/office/drawing/2014/chart" uri="{C3380CC4-5D6E-409C-BE32-E72D297353CC}">
              <c16:uniqueId val="{00000002-3F4B-49F0-880E-8FA78B3D72F2}"/>
            </c:ext>
          </c:extLst>
        </c:ser>
        <c:dLbls>
          <c:showLegendKey val="0"/>
          <c:showVal val="0"/>
          <c:showCatName val="0"/>
          <c:showSerName val="0"/>
          <c:showPercent val="0"/>
          <c:showBubbleSize val="0"/>
        </c:dLbls>
        <c:gapWidth val="150"/>
        <c:axId val="269611392"/>
        <c:axId val="269612928"/>
      </c:barChart>
      <c:catAx>
        <c:axId val="269611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612928"/>
        <c:crosses val="autoZero"/>
        <c:auto val="1"/>
        <c:lblAlgn val="ctr"/>
        <c:lblOffset val="100"/>
        <c:tickLblSkip val="1"/>
        <c:tickMarkSkip val="1"/>
        <c:noMultiLvlLbl val="0"/>
      </c:catAx>
      <c:valAx>
        <c:axId val="269612928"/>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nb-NO"/>
                  <a:t>Millioner kroner</a:t>
                </a:r>
              </a:p>
            </c:rich>
          </c:tx>
          <c:layout>
            <c:manualLayout>
              <c:xMode val="edge"/>
              <c:yMode val="edge"/>
              <c:x val="4.7957371225577312E-2"/>
              <c:y val="0.35092403687007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69611392"/>
        <c:crosses val="autoZero"/>
        <c:crossBetween val="between"/>
      </c:valAx>
      <c:spPr>
        <a:noFill/>
        <a:ln w="12700">
          <a:solidFill>
            <a:srgbClr val="808080"/>
          </a:solidFill>
          <a:prstDash val="solid"/>
        </a:ln>
      </c:spPr>
    </c:plotArea>
    <c:legend>
      <c:legendPos val="r"/>
      <c:layout>
        <c:manualLayout>
          <c:xMode val="edge"/>
          <c:yMode val="edge"/>
          <c:x val="0.58436944937832958"/>
          <c:y val="8.4432717678099983E-2"/>
          <c:w val="0.26110124333925488"/>
          <c:h val="0.1372034432371470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849637689473844"/>
          <c:y val="1.0723874628062159E-2"/>
          <c:w val="0.81766992340769262"/>
          <c:h val="0.80965253441863694"/>
        </c:manualLayout>
      </c:layout>
      <c:bar3DChart>
        <c:barDir val="bar"/>
        <c:grouping val="clustered"/>
        <c:varyColors val="0"/>
        <c:ser>
          <c:idx val="0"/>
          <c:order val="0"/>
          <c:tx>
            <c:strRef>
              <c:f>'Tab2'!$W$121</c:f>
              <c:strCache>
                <c:ptCount val="1"/>
                <c:pt idx="0">
                  <c:v>2021</c:v>
                </c:pt>
              </c:strCache>
            </c:strRef>
          </c:tx>
          <c:spPr>
            <a:pattFill prst="narVert">
              <a:fgClr>
                <a:srgbClr val="3366FF"/>
              </a:fgClr>
              <a:bgClr>
                <a:srgbClr val="FFFFFF"/>
              </a:bgClr>
            </a:pattFill>
            <a:ln w="12700">
              <a:solidFill>
                <a:srgbClr val="000000"/>
              </a:solidFill>
              <a:prstDash val="solid"/>
            </a:ln>
          </c:spPr>
          <c:invertIfNegative val="0"/>
          <c:cat>
            <c:strRef>
              <c:f>'Tab2'!$V$122:$V$125</c:f>
              <c:strCache>
                <c:ptCount val="4"/>
                <c:pt idx="0">
                  <c:v>Reise</c:v>
                </c:pt>
                <c:pt idx="1">
                  <c:v>Villa</c:v>
                </c:pt>
                <c:pt idx="2">
                  <c:v>Hjem</c:v>
                </c:pt>
                <c:pt idx="3">
                  <c:v>Næring</c:v>
                </c:pt>
              </c:strCache>
            </c:strRef>
          </c:cat>
          <c:val>
            <c:numRef>
              <c:f>'Tab2'!$W$122:$W$125</c:f>
              <c:numCache>
                <c:formatCode>0</c:formatCode>
                <c:ptCount val="4"/>
                <c:pt idx="0">
                  <c:v>169642</c:v>
                </c:pt>
                <c:pt idx="1">
                  <c:v>143670.22691942658</c:v>
                </c:pt>
                <c:pt idx="2">
                  <c:v>251790</c:v>
                </c:pt>
                <c:pt idx="3">
                  <c:v>47091.596212135693</c:v>
                </c:pt>
              </c:numCache>
            </c:numRef>
          </c:val>
          <c:extLst>
            <c:ext xmlns:c16="http://schemas.microsoft.com/office/drawing/2014/chart" uri="{C3380CC4-5D6E-409C-BE32-E72D297353CC}">
              <c16:uniqueId val="{00000000-D0D5-4F54-A685-BCAE46FDAC00}"/>
            </c:ext>
          </c:extLst>
        </c:ser>
        <c:ser>
          <c:idx val="1"/>
          <c:order val="1"/>
          <c:tx>
            <c:strRef>
              <c:f>'Tab2'!$X$121</c:f>
              <c:strCache>
                <c:ptCount val="1"/>
                <c:pt idx="0">
                  <c:v>2022</c:v>
                </c:pt>
              </c:strCache>
            </c:strRef>
          </c:tx>
          <c:spPr>
            <a:solidFill>
              <a:srgbClr val="FFFFCC"/>
            </a:solidFill>
            <a:ln w="12700">
              <a:solidFill>
                <a:srgbClr val="000000"/>
              </a:solidFill>
              <a:prstDash val="solid"/>
            </a:ln>
          </c:spPr>
          <c:invertIfNegative val="0"/>
          <c:cat>
            <c:strRef>
              <c:f>'Tab2'!$V$122:$V$125</c:f>
              <c:strCache>
                <c:ptCount val="4"/>
                <c:pt idx="0">
                  <c:v>Reise</c:v>
                </c:pt>
                <c:pt idx="1">
                  <c:v>Villa</c:v>
                </c:pt>
                <c:pt idx="2">
                  <c:v>Hjem</c:v>
                </c:pt>
                <c:pt idx="3">
                  <c:v>Næring</c:v>
                </c:pt>
              </c:strCache>
            </c:strRef>
          </c:cat>
          <c:val>
            <c:numRef>
              <c:f>'Tab2'!$X$122:$X$125</c:f>
              <c:numCache>
                <c:formatCode>0</c:formatCode>
                <c:ptCount val="4"/>
                <c:pt idx="0">
                  <c:v>354485</c:v>
                </c:pt>
                <c:pt idx="1">
                  <c:v>126288.32491710703</c:v>
                </c:pt>
                <c:pt idx="2">
                  <c:v>249832.07214984566</c:v>
                </c:pt>
                <c:pt idx="3">
                  <c:v>44703.941502659662</c:v>
                </c:pt>
              </c:numCache>
            </c:numRef>
          </c:val>
          <c:extLst>
            <c:ext xmlns:c16="http://schemas.microsoft.com/office/drawing/2014/chart" uri="{C3380CC4-5D6E-409C-BE32-E72D297353CC}">
              <c16:uniqueId val="{00000001-D0D5-4F54-A685-BCAE46FDAC00}"/>
            </c:ext>
          </c:extLst>
        </c:ser>
        <c:ser>
          <c:idx val="2"/>
          <c:order val="2"/>
          <c:tx>
            <c:strRef>
              <c:f>'Tab2'!$Y$121</c:f>
              <c:strCache>
                <c:ptCount val="1"/>
                <c:pt idx="0">
                  <c:v>2023</c:v>
                </c:pt>
              </c:strCache>
            </c:strRef>
          </c:tx>
          <c:spPr>
            <a:solidFill>
              <a:srgbClr val="993366"/>
            </a:solidFill>
            <a:ln w="12700">
              <a:solidFill>
                <a:srgbClr val="000000"/>
              </a:solidFill>
              <a:prstDash val="solid"/>
            </a:ln>
          </c:spPr>
          <c:invertIfNegative val="0"/>
          <c:cat>
            <c:strRef>
              <c:f>'Tab2'!$V$122:$V$125</c:f>
              <c:strCache>
                <c:ptCount val="4"/>
                <c:pt idx="0">
                  <c:v>Reise</c:v>
                </c:pt>
                <c:pt idx="1">
                  <c:v>Villa</c:v>
                </c:pt>
                <c:pt idx="2">
                  <c:v>Hjem</c:v>
                </c:pt>
                <c:pt idx="3">
                  <c:v>Næring</c:v>
                </c:pt>
              </c:strCache>
            </c:strRef>
          </c:cat>
          <c:val>
            <c:numRef>
              <c:f>'Tab2'!$Y$122:$Y$125</c:f>
              <c:numCache>
                <c:formatCode>0</c:formatCode>
                <c:ptCount val="4"/>
                <c:pt idx="0">
                  <c:v>384965.43589743588</c:v>
                </c:pt>
                <c:pt idx="1">
                  <c:v>144387.81848305691</c:v>
                </c:pt>
                <c:pt idx="2">
                  <c:v>264124.51689077239</c:v>
                </c:pt>
                <c:pt idx="3">
                  <c:v>53986.423475075651</c:v>
                </c:pt>
              </c:numCache>
            </c:numRef>
          </c:val>
          <c:extLst>
            <c:ext xmlns:c16="http://schemas.microsoft.com/office/drawing/2014/chart" uri="{C3380CC4-5D6E-409C-BE32-E72D297353CC}">
              <c16:uniqueId val="{00000002-D0D5-4F54-A685-BCAE46FDAC00}"/>
            </c:ext>
          </c:extLst>
        </c:ser>
        <c:dLbls>
          <c:showLegendKey val="0"/>
          <c:showVal val="0"/>
          <c:showCatName val="0"/>
          <c:showSerName val="0"/>
          <c:showPercent val="0"/>
          <c:showBubbleSize val="0"/>
        </c:dLbls>
        <c:gapWidth val="150"/>
        <c:shape val="cylinder"/>
        <c:axId val="270634368"/>
        <c:axId val="270640256"/>
        <c:axId val="0"/>
      </c:bar3DChart>
      <c:catAx>
        <c:axId val="27063436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640256"/>
        <c:crosses val="autoZero"/>
        <c:auto val="1"/>
        <c:lblAlgn val="ctr"/>
        <c:lblOffset val="100"/>
        <c:tickLblSkip val="1"/>
        <c:tickMarkSkip val="1"/>
        <c:noMultiLvlLbl val="0"/>
      </c:catAx>
      <c:valAx>
        <c:axId val="270640256"/>
        <c:scaling>
          <c:orientation val="minMax"/>
        </c:scaling>
        <c:delete val="0"/>
        <c:axPos val="b"/>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634368"/>
        <c:crosses val="autoZero"/>
        <c:crossBetween val="between"/>
      </c:valAx>
      <c:spPr>
        <a:noFill/>
        <a:ln w="25400">
          <a:noFill/>
        </a:ln>
      </c:spPr>
    </c:plotArea>
    <c:legend>
      <c:legendPos val="r"/>
      <c:layout>
        <c:manualLayout>
          <c:xMode val="edge"/>
          <c:yMode val="edge"/>
          <c:x val="0.82142936080358375"/>
          <c:y val="0.11796274795409577"/>
          <c:w val="9.774436090226106E-2"/>
          <c:h val="0.2305632841471331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36"/>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041229666341193"/>
          <c:y val="3.8990869354381667E-2"/>
          <c:w val="0.79213628009473036"/>
          <c:h val="0.80045961203995464"/>
        </c:manualLayout>
      </c:layout>
      <c:bar3DChart>
        <c:barDir val="bar"/>
        <c:grouping val="clustered"/>
        <c:varyColors val="0"/>
        <c:ser>
          <c:idx val="0"/>
          <c:order val="0"/>
          <c:tx>
            <c:strRef>
              <c:f>'Tab2'!$W$128</c:f>
              <c:strCache>
                <c:ptCount val="1"/>
                <c:pt idx="0">
                  <c:v>2021</c:v>
                </c:pt>
              </c:strCache>
            </c:strRef>
          </c:tx>
          <c:spPr>
            <a:pattFill prst="narVert">
              <a:fgClr>
                <a:srgbClr val="3366FF"/>
              </a:fgClr>
              <a:bgClr>
                <a:srgbClr val="FFFFFF"/>
              </a:bgClr>
            </a:pattFill>
            <a:ln w="12700">
              <a:solidFill>
                <a:srgbClr val="000000"/>
              </a:solidFill>
              <a:prstDash val="solid"/>
            </a:ln>
          </c:spPr>
          <c:invertIfNegative val="0"/>
          <c:cat>
            <c:strRef>
              <c:f>'Tab2'!$V$129:$V$133</c:f>
              <c:strCache>
                <c:ptCount val="5"/>
                <c:pt idx="0">
                  <c:v>Fritidsbåt</c:v>
                </c:pt>
                <c:pt idx="1">
                  <c:v>Ansvar</c:v>
                </c:pt>
                <c:pt idx="2">
                  <c:v>Yrkesskade</c:v>
                </c:pt>
                <c:pt idx="3">
                  <c:v>Hytte</c:v>
                </c:pt>
                <c:pt idx="4">
                  <c:v>Ulykke</c:v>
                </c:pt>
              </c:strCache>
            </c:strRef>
          </c:cat>
          <c:val>
            <c:numRef>
              <c:f>'Tab2'!$W$129:$W$133</c:f>
              <c:numCache>
                <c:formatCode>0</c:formatCode>
                <c:ptCount val="5"/>
                <c:pt idx="0">
                  <c:v>12717.945965835412</c:v>
                </c:pt>
                <c:pt idx="1">
                  <c:v>11455.784425960001</c:v>
                </c:pt>
                <c:pt idx="2">
                  <c:v>8798.6610285714287</c:v>
                </c:pt>
                <c:pt idx="3">
                  <c:v>22199</c:v>
                </c:pt>
                <c:pt idx="4">
                  <c:v>31589.073333333334</c:v>
                </c:pt>
              </c:numCache>
            </c:numRef>
          </c:val>
          <c:extLst>
            <c:ext xmlns:c16="http://schemas.microsoft.com/office/drawing/2014/chart" uri="{C3380CC4-5D6E-409C-BE32-E72D297353CC}">
              <c16:uniqueId val="{00000000-5C52-4D4B-8DAE-66DEFB61BB20}"/>
            </c:ext>
          </c:extLst>
        </c:ser>
        <c:ser>
          <c:idx val="1"/>
          <c:order val="1"/>
          <c:tx>
            <c:strRef>
              <c:f>'Tab2'!$X$128</c:f>
              <c:strCache>
                <c:ptCount val="1"/>
                <c:pt idx="0">
                  <c:v>2022</c:v>
                </c:pt>
              </c:strCache>
            </c:strRef>
          </c:tx>
          <c:spPr>
            <a:solidFill>
              <a:srgbClr val="FFFFCC"/>
            </a:solidFill>
            <a:ln w="12700">
              <a:solidFill>
                <a:srgbClr val="000000"/>
              </a:solidFill>
              <a:prstDash val="solid"/>
            </a:ln>
          </c:spPr>
          <c:invertIfNegative val="0"/>
          <c:cat>
            <c:strRef>
              <c:f>'Tab2'!$V$129:$V$133</c:f>
              <c:strCache>
                <c:ptCount val="5"/>
                <c:pt idx="0">
                  <c:v>Fritidsbåt</c:v>
                </c:pt>
                <c:pt idx="1">
                  <c:v>Ansvar</c:v>
                </c:pt>
                <c:pt idx="2">
                  <c:v>Yrkesskade</c:v>
                </c:pt>
                <c:pt idx="3">
                  <c:v>Hytte</c:v>
                </c:pt>
                <c:pt idx="4">
                  <c:v>Ulykke</c:v>
                </c:pt>
              </c:strCache>
            </c:strRef>
          </c:cat>
          <c:val>
            <c:numRef>
              <c:f>'Tab2'!$X$129:$X$133</c:f>
              <c:numCache>
                <c:formatCode>0</c:formatCode>
                <c:ptCount val="5"/>
                <c:pt idx="0">
                  <c:v>11276.932267581047</c:v>
                </c:pt>
                <c:pt idx="1">
                  <c:v>12078.23712256</c:v>
                </c:pt>
                <c:pt idx="2">
                  <c:v>8629.6967836734693</c:v>
                </c:pt>
                <c:pt idx="3">
                  <c:v>18907.302359650501</c:v>
                </c:pt>
                <c:pt idx="4">
                  <c:v>37157.663333333338</c:v>
                </c:pt>
              </c:numCache>
            </c:numRef>
          </c:val>
          <c:extLst>
            <c:ext xmlns:c16="http://schemas.microsoft.com/office/drawing/2014/chart" uri="{C3380CC4-5D6E-409C-BE32-E72D297353CC}">
              <c16:uniqueId val="{00000001-5C52-4D4B-8DAE-66DEFB61BB20}"/>
            </c:ext>
          </c:extLst>
        </c:ser>
        <c:ser>
          <c:idx val="2"/>
          <c:order val="2"/>
          <c:tx>
            <c:strRef>
              <c:f>'Tab2'!$Y$128</c:f>
              <c:strCache>
                <c:ptCount val="1"/>
                <c:pt idx="0">
                  <c:v>2023</c:v>
                </c:pt>
              </c:strCache>
            </c:strRef>
          </c:tx>
          <c:spPr>
            <a:solidFill>
              <a:srgbClr val="993366"/>
            </a:solidFill>
            <a:ln w="12700">
              <a:solidFill>
                <a:srgbClr val="000000"/>
              </a:solidFill>
              <a:prstDash val="solid"/>
            </a:ln>
          </c:spPr>
          <c:invertIfNegative val="0"/>
          <c:cat>
            <c:strRef>
              <c:f>'Tab2'!$V$129:$V$133</c:f>
              <c:strCache>
                <c:ptCount val="5"/>
                <c:pt idx="0">
                  <c:v>Fritidsbåt</c:v>
                </c:pt>
                <c:pt idx="1">
                  <c:v>Ansvar</c:v>
                </c:pt>
                <c:pt idx="2">
                  <c:v>Yrkesskade</c:v>
                </c:pt>
                <c:pt idx="3">
                  <c:v>Hytte</c:v>
                </c:pt>
                <c:pt idx="4">
                  <c:v>Ulykke</c:v>
                </c:pt>
              </c:strCache>
            </c:strRef>
          </c:cat>
          <c:val>
            <c:numRef>
              <c:f>'Tab2'!$Y$129:$Y$133</c:f>
              <c:numCache>
                <c:formatCode>0</c:formatCode>
                <c:ptCount val="5"/>
                <c:pt idx="0">
                  <c:v>11960.346633416459</c:v>
                </c:pt>
                <c:pt idx="1">
                  <c:v>13236.987999999999</c:v>
                </c:pt>
                <c:pt idx="2">
                  <c:v>9255.1604571428579</c:v>
                </c:pt>
                <c:pt idx="3">
                  <c:v>23362.869983780671</c:v>
                </c:pt>
                <c:pt idx="4">
                  <c:v>42542.303333333337</c:v>
                </c:pt>
              </c:numCache>
            </c:numRef>
          </c:val>
          <c:extLst>
            <c:ext xmlns:c16="http://schemas.microsoft.com/office/drawing/2014/chart" uri="{C3380CC4-5D6E-409C-BE32-E72D297353CC}">
              <c16:uniqueId val="{00000002-5C52-4D4B-8DAE-66DEFB61BB20}"/>
            </c:ext>
          </c:extLst>
        </c:ser>
        <c:dLbls>
          <c:showLegendKey val="0"/>
          <c:showVal val="0"/>
          <c:showCatName val="0"/>
          <c:showSerName val="0"/>
          <c:showPercent val="0"/>
          <c:showBubbleSize val="0"/>
        </c:dLbls>
        <c:gapWidth val="150"/>
        <c:shape val="cylinder"/>
        <c:axId val="270747904"/>
        <c:axId val="270757888"/>
        <c:axId val="0"/>
      </c:bar3DChart>
      <c:catAx>
        <c:axId val="2707479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757888"/>
        <c:crosses val="autoZero"/>
        <c:auto val="1"/>
        <c:lblAlgn val="ctr"/>
        <c:lblOffset val="100"/>
        <c:tickLblSkip val="1"/>
        <c:tickMarkSkip val="1"/>
        <c:noMultiLvlLbl val="0"/>
      </c:catAx>
      <c:valAx>
        <c:axId val="270757888"/>
        <c:scaling>
          <c:orientation val="minMax"/>
        </c:scaling>
        <c:delete val="0"/>
        <c:axPos val="b"/>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70747904"/>
        <c:crosses val="autoZero"/>
        <c:crossBetween val="between"/>
      </c:valAx>
      <c:spPr>
        <a:noFill/>
        <a:ln w="25400">
          <a:noFill/>
        </a:ln>
      </c:spPr>
    </c:plotArea>
    <c:legend>
      <c:legendPos val="r"/>
      <c:layout>
        <c:manualLayout>
          <c:xMode val="edge"/>
          <c:yMode val="edge"/>
          <c:x val="0.80711767770601706"/>
          <c:y val="0.56422090587300433"/>
          <c:w val="0.10299645128629202"/>
          <c:h val="0.1582571215295344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nb-NO"/>
    </a:p>
  </c:txPr>
  <c:printSettings>
    <c:headerFooter alignWithMargins="0"/>
    <c:pageMargins b="1" l="0.75000000000001465" r="0.7500000000000146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566614958665"/>
          <c:y val="4.7126376644779866E-2"/>
          <c:w val="0.72887760912680699"/>
          <c:h val="0.75545138253069033"/>
        </c:manualLayout>
      </c:layout>
      <c:lineChart>
        <c:grouping val="standard"/>
        <c:varyColors val="0"/>
        <c:ser>
          <c:idx val="0"/>
          <c:order val="0"/>
          <c:tx>
            <c:strRef>
              <c:f>'Tab2'!$M$70</c:f>
              <c:strCache>
                <c:ptCount val="1"/>
                <c:pt idx="0">
                  <c:v>Erstatning</c:v>
                </c:pt>
              </c:strCache>
            </c:strRef>
          </c:tx>
          <c:spPr>
            <a:ln w="25400"/>
          </c:spPr>
          <c:marker>
            <c:symbol val="none"/>
          </c:marker>
          <c:cat>
            <c:numRef>
              <c:f>'Tab2'!$K$71:$K$234</c:f>
              <c:numCache>
                <c:formatCode>General</c:formatCode>
                <c:ptCount val="164"/>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numCache>
            </c:numRef>
          </c:cat>
          <c:val>
            <c:numRef>
              <c:f>'Tab2'!$N$71:$N$234</c:f>
              <c:numCache>
                <c:formatCode>#\ ##0.0</c:formatCode>
                <c:ptCount val="164"/>
                <c:pt idx="0">
                  <c:v>272.47611214374223</c:v>
                </c:pt>
                <c:pt idx="1">
                  <c:v>228.24122181596584</c:v>
                </c:pt>
                <c:pt idx="2">
                  <c:v>208.725970464135</c:v>
                </c:pt>
                <c:pt idx="3">
                  <c:v>255.68135527876623</c:v>
                </c:pt>
                <c:pt idx="4">
                  <c:v>274.17424956369979</c:v>
                </c:pt>
                <c:pt idx="5">
                  <c:v>259.34877720503999</c:v>
                </c:pt>
                <c:pt idx="6">
                  <c:v>257.13967348097663</c:v>
                </c:pt>
                <c:pt idx="7">
                  <c:v>287.61204138702448</c:v>
                </c:pt>
                <c:pt idx="8">
                  <c:v>310.80285871964668</c:v>
                </c:pt>
                <c:pt idx="9">
                  <c:v>339.71629539295384</c:v>
                </c:pt>
                <c:pt idx="10">
                  <c:v>301.02857526881718</c:v>
                </c:pt>
                <c:pt idx="11">
                  <c:v>341.40694973544964</c:v>
                </c:pt>
                <c:pt idx="12">
                  <c:v>316.53666145833324</c:v>
                </c:pt>
                <c:pt idx="13">
                  <c:v>338.70773076923069</c:v>
                </c:pt>
                <c:pt idx="14">
                  <c:v>272.61385074626861</c:v>
                </c:pt>
                <c:pt idx="15">
                  <c:v>319.02074452554734</c:v>
                </c:pt>
                <c:pt idx="16">
                  <c:v>348.52405673758858</c:v>
                </c:pt>
                <c:pt idx="17">
                  <c:v>343.92886173184354</c:v>
                </c:pt>
                <c:pt idx="18">
                  <c:v>281.45155140617788</c:v>
                </c:pt>
                <c:pt idx="19">
                  <c:v>331.13619791666662</c:v>
                </c:pt>
                <c:pt idx="20">
                  <c:v>315.1752393617021</c:v>
                </c:pt>
                <c:pt idx="21">
                  <c:v>224.67116688396345</c:v>
                </c:pt>
                <c:pt idx="22">
                  <c:v>349.93101082251076</c:v>
                </c:pt>
                <c:pt idx="23">
                  <c:v>463.5607298335467</c:v>
                </c:pt>
                <c:pt idx="24">
                  <c:v>327.49502746092088</c:v>
                </c:pt>
                <c:pt idx="25">
                  <c:v>264.69433997509333</c:v>
                </c:pt>
                <c:pt idx="26">
                  <c:v>232.90933829611242</c:v>
                </c:pt>
                <c:pt idx="27">
                  <c:v>293.84054054054047</c:v>
                </c:pt>
                <c:pt idx="28">
                  <c:v>314.62598015390842</c:v>
                </c:pt>
                <c:pt idx="29">
                  <c:v>253.11743605115902</c:v>
                </c:pt>
                <c:pt idx="30">
                  <c:v>219.52029868578254</c:v>
                </c:pt>
                <c:pt idx="31">
                  <c:v>255.51351351351349</c:v>
                </c:pt>
                <c:pt idx="32">
                  <c:v>275.72323781676408</c:v>
                </c:pt>
                <c:pt idx="33">
                  <c:v>265.10682640492672</c:v>
                </c:pt>
                <c:pt idx="34">
                  <c:v>277.45197459584296</c:v>
                </c:pt>
                <c:pt idx="35">
                  <c:v>286.85074837724329</c:v>
                </c:pt>
                <c:pt idx="36">
                  <c:v>267.971379047619</c:v>
                </c:pt>
                <c:pt idx="37">
                  <c:v>230.8991892400301</c:v>
                </c:pt>
                <c:pt idx="38">
                  <c:v>266.79749342352483</c:v>
                </c:pt>
                <c:pt idx="39">
                  <c:v>220.16103956700269</c:v>
                </c:pt>
                <c:pt idx="40">
                  <c:v>276.24173904974003</c:v>
                </c:pt>
                <c:pt idx="41">
                  <c:v>229.89462555066081</c:v>
                </c:pt>
                <c:pt idx="42">
                  <c:v>265.60244297277404</c:v>
                </c:pt>
                <c:pt idx="43">
                  <c:v>314.21563736263715</c:v>
                </c:pt>
                <c:pt idx="44">
                  <c:v>376.34192307692302</c:v>
                </c:pt>
                <c:pt idx="45">
                  <c:v>329.00847873500538</c:v>
                </c:pt>
                <c:pt idx="46">
                  <c:v>334.26887260224385</c:v>
                </c:pt>
                <c:pt idx="47">
                  <c:v>275.520460763139</c:v>
                </c:pt>
                <c:pt idx="48">
                  <c:v>331.94438079942887</c:v>
                </c:pt>
                <c:pt idx="49">
                  <c:v>285.57074566064472</c:v>
                </c:pt>
                <c:pt idx="50">
                  <c:v>346.99830322352091</c:v>
                </c:pt>
                <c:pt idx="51">
                  <c:v>329.4575757575758</c:v>
                </c:pt>
                <c:pt idx="52">
                  <c:v>722.49836518046686</c:v>
                </c:pt>
                <c:pt idx="53">
                  <c:v>447.38329477742718</c:v>
                </c:pt>
                <c:pt idx="54">
                  <c:v>455.37591623036661</c:v>
                </c:pt>
                <c:pt idx="55">
                  <c:v>439.17413291796476</c:v>
                </c:pt>
                <c:pt idx="56">
                  <c:v>475.44486639260009</c:v>
                </c:pt>
                <c:pt idx="57">
                  <c:v>521.71984476287957</c:v>
                </c:pt>
                <c:pt idx="58">
                  <c:v>552.50743602865896</c:v>
                </c:pt>
                <c:pt idx="59">
                  <c:v>492.96429031165303</c:v>
                </c:pt>
                <c:pt idx="60">
                  <c:v>520.06520644511568</c:v>
                </c:pt>
                <c:pt idx="61">
                  <c:v>460.72841023069196</c:v>
                </c:pt>
                <c:pt idx="62">
                  <c:v>468.2556095524381</c:v>
                </c:pt>
                <c:pt idx="63">
                  <c:v>538.20673783515383</c:v>
                </c:pt>
                <c:pt idx="64">
                  <c:v>587.0290680473372</c:v>
                </c:pt>
                <c:pt idx="65">
                  <c:v>589.88057240704484</c:v>
                </c:pt>
                <c:pt idx="66">
                  <c:v>793.75951327433597</c:v>
                </c:pt>
                <c:pt idx="67">
                  <c:v>718.85414814814737</c:v>
                </c:pt>
                <c:pt idx="68">
                  <c:v>599.21277724665379</c:v>
                </c:pt>
                <c:pt idx="69">
                  <c:v>435.15985410719941</c:v>
                </c:pt>
                <c:pt idx="70">
                  <c:v>539.47504748338065</c:v>
                </c:pt>
                <c:pt idx="71">
                  <c:v>822.53340823970007</c:v>
                </c:pt>
                <c:pt idx="72">
                  <c:v>1128.8328920664203</c:v>
                </c:pt>
                <c:pt idx="73">
                  <c:v>747.29154501216533</c:v>
                </c:pt>
                <c:pt idx="74">
                  <c:v>671.16695035460998</c:v>
                </c:pt>
                <c:pt idx="75">
                  <c:v>849.16402023918988</c:v>
                </c:pt>
                <c:pt idx="76">
                  <c:v>773.38131290027434</c:v>
                </c:pt>
                <c:pt idx="77">
                  <c:v>672.91709848484834</c:v>
                </c:pt>
                <c:pt idx="78">
                  <c:v>831.60983880778565</c:v>
                </c:pt>
                <c:pt idx="79">
                  <c:v>757.78210510510496</c:v>
                </c:pt>
                <c:pt idx="80">
                  <c:v>991.07508435136685</c:v>
                </c:pt>
                <c:pt idx="81">
                  <c:v>655.26266102701106</c:v>
                </c:pt>
                <c:pt idx="82">
                  <c:v>697.11633154602305</c:v>
                </c:pt>
                <c:pt idx="83">
                  <c:v>759.40556394316127</c:v>
                </c:pt>
                <c:pt idx="84">
                  <c:v>833.10926139727621</c:v>
                </c:pt>
                <c:pt idx="85">
                  <c:v>550.79554232804207</c:v>
                </c:pt>
                <c:pt idx="86">
                  <c:v>728.17413126843621</c:v>
                </c:pt>
                <c:pt idx="87">
                  <c:v>680.61889181286585</c:v>
                </c:pt>
                <c:pt idx="88">
                  <c:v>666.15916153620617</c:v>
                </c:pt>
                <c:pt idx="89">
                  <c:v>508.3713425925925</c:v>
                </c:pt>
                <c:pt idx="90">
                  <c:v>705.75766434984052</c:v>
                </c:pt>
                <c:pt idx="91">
                  <c:v>747.92549999999983</c:v>
                </c:pt>
                <c:pt idx="92">
                  <c:v>909.11642367066884</c:v>
                </c:pt>
                <c:pt idx="93">
                  <c:v>666.71147582697176</c:v>
                </c:pt>
                <c:pt idx="94">
                  <c:v>767.13339869281015</c:v>
                </c:pt>
                <c:pt idx="95">
                  <c:v>800.33273949579836</c:v>
                </c:pt>
                <c:pt idx="96">
                  <c:v>1001.7753418439713</c:v>
                </c:pt>
                <c:pt idx="97">
                  <c:v>787.60690617075215</c:v>
                </c:pt>
                <c:pt idx="98">
                  <c:v>1006.2999179400116</c:v>
                </c:pt>
                <c:pt idx="99">
                  <c:v>850.80782560706325</c:v>
                </c:pt>
                <c:pt idx="100">
                  <c:v>879.84632075471666</c:v>
                </c:pt>
                <c:pt idx="101">
                  <c:v>814.51634426229487</c:v>
                </c:pt>
                <c:pt idx="102">
                  <c:v>1063.8053980503657</c:v>
                </c:pt>
                <c:pt idx="103">
                  <c:v>1021.6751550387597</c:v>
                </c:pt>
                <c:pt idx="104">
                  <c:v>1072.1340213333331</c:v>
                </c:pt>
                <c:pt idx="105">
                  <c:v>870.40227791036853</c:v>
                </c:pt>
                <c:pt idx="106">
                  <c:v>1149.7780396065916</c:v>
                </c:pt>
                <c:pt idx="107">
                  <c:v>1086.7806121642971</c:v>
                </c:pt>
                <c:pt idx="108">
                  <c:v>2383.9565875075</c:v>
                </c:pt>
                <c:pt idx="109">
                  <c:v>1215.9362668675415</c:v>
                </c:pt>
                <c:pt idx="110">
                  <c:v>1221.7857924423267</c:v>
                </c:pt>
                <c:pt idx="111">
                  <c:v>1249.9388577528362</c:v>
                </c:pt>
                <c:pt idx="112">
                  <c:v>1477.1985060925372</c:v>
                </c:pt>
                <c:pt idx="113">
                  <c:v>1074.1843502840636</c:v>
                </c:pt>
                <c:pt idx="114">
                  <c:v>1280.7998926496093</c:v>
                </c:pt>
                <c:pt idx="115">
                  <c:v>1079.4123540420771</c:v>
                </c:pt>
                <c:pt idx="116">
                  <c:v>1195.8410426513883</c:v>
                </c:pt>
                <c:pt idx="117">
                  <c:v>874.26918151112443</c:v>
                </c:pt>
                <c:pt idx="118">
                  <c:v>1205.3725431502373</c:v>
                </c:pt>
                <c:pt idx="119">
                  <c:v>1134.9723951426988</c:v>
                </c:pt>
                <c:pt idx="120">
                  <c:v>1393.8648186815462</c:v>
                </c:pt>
                <c:pt idx="121">
                  <c:v>1364.8567738227305</c:v>
                </c:pt>
                <c:pt idx="122">
                  <c:v>993.13269379178996</c:v>
                </c:pt>
                <c:pt idx="123">
                  <c:v>1199.5883875457685</c:v>
                </c:pt>
                <c:pt idx="124">
                  <c:v>1183.1167560450326</c:v>
                </c:pt>
                <c:pt idx="125">
                  <c:v>971.57241089145998</c:v>
                </c:pt>
                <c:pt idx="126">
                  <c:v>1429.2345209165828</c:v>
                </c:pt>
                <c:pt idx="127">
                  <c:v>1142.7587101033514</c:v>
                </c:pt>
                <c:pt idx="128">
                  <c:v>1253.7547646458754</c:v>
                </c:pt>
                <c:pt idx="129">
                  <c:v>960.15573803052746</c:v>
                </c:pt>
                <c:pt idx="130">
                  <c:v>1270.972949624088</c:v>
                </c:pt>
                <c:pt idx="131">
                  <c:v>1128.4783259739709</c:v>
                </c:pt>
                <c:pt idx="132">
                  <c:v>1297.2744540964259</c:v>
                </c:pt>
                <c:pt idx="133">
                  <c:v>998.56047305449943</c:v>
                </c:pt>
                <c:pt idx="134">
                  <c:v>1751.2974558427998</c:v>
                </c:pt>
                <c:pt idx="135">
                  <c:v>1188.2560550440653</c:v>
                </c:pt>
                <c:pt idx="136">
                  <c:v>1273.7938752240391</c:v>
                </c:pt>
                <c:pt idx="137">
                  <c:v>944.74144224618999</c:v>
                </c:pt>
                <c:pt idx="138">
                  <c:v>1115.74957003847</c:v>
                </c:pt>
                <c:pt idx="139">
                  <c:v>1393.2014937106915</c:v>
                </c:pt>
                <c:pt idx="140">
                  <c:v>1422.2575706969492</c:v>
                </c:pt>
                <c:pt idx="141">
                  <c:v>1293.8754891181536</c:v>
                </c:pt>
                <c:pt idx="142">
                  <c:v>1442.222980872074</c:v>
                </c:pt>
                <c:pt idx="143">
                  <c:v>1272.4628782039738</c:v>
                </c:pt>
                <c:pt idx="144">
                  <c:v>1353.5609992866634</c:v>
                </c:pt>
                <c:pt idx="145">
                  <c:v>1180.2073390243718</c:v>
                </c:pt>
                <c:pt idx="146">
                  <c:v>1642.5846636966296</c:v>
                </c:pt>
                <c:pt idx="147">
                  <c:v>1529.7055964682286</c:v>
                </c:pt>
                <c:pt idx="148">
                  <c:v>1383.022004474268</c:v>
                </c:pt>
                <c:pt idx="149">
                  <c:v>1161.7353136942036</c:v>
                </c:pt>
                <c:pt idx="150">
                  <c:v>1370.8064928318274</c:v>
                </c:pt>
                <c:pt idx="151">
                  <c:v>1441.4171756265027</c:v>
                </c:pt>
                <c:pt idx="152">
                  <c:v>2124.6502671118892</c:v>
                </c:pt>
                <c:pt idx="153">
                  <c:v>1196.9842439135628</c:v>
                </c:pt>
                <c:pt idx="154">
                  <c:v>1287.7981267333373</c:v>
                </c:pt>
                <c:pt idx="155">
                  <c:v>1419.5982182592768</c:v>
                </c:pt>
                <c:pt idx="156">
                  <c:v>1497.825808449961</c:v>
                </c:pt>
                <c:pt idx="157">
                  <c:v>1130.1172826558402</c:v>
                </c:pt>
                <c:pt idx="158">
                  <c:v>1331.6240237341794</c:v>
                </c:pt>
                <c:pt idx="159">
                  <c:v>1662.3400459746927</c:v>
                </c:pt>
                <c:pt idx="160">
                  <c:v>1619.1013914166604</c:v>
                </c:pt>
                <c:pt idx="161">
                  <c:v>1398.5075611118361</c:v>
                </c:pt>
                <c:pt idx="162">
                  <c:v>2605.8781704918015</c:v>
                </c:pt>
                <c:pt idx="163">
                  <c:v>2067.1296697899948</c:v>
                </c:pt>
              </c:numCache>
            </c:numRef>
          </c:val>
          <c:smooth val="0"/>
          <c:extLst>
            <c:ext xmlns:c16="http://schemas.microsoft.com/office/drawing/2014/chart" uri="{C3380CC4-5D6E-409C-BE32-E72D297353CC}">
              <c16:uniqueId val="{00000000-DEC7-4D76-8CFA-CE137D68656F}"/>
            </c:ext>
          </c:extLst>
        </c:ser>
        <c:dLbls>
          <c:showLegendKey val="0"/>
          <c:showVal val="0"/>
          <c:showCatName val="0"/>
          <c:showSerName val="0"/>
          <c:showPercent val="0"/>
          <c:showBubbleSize val="0"/>
        </c:dLbls>
        <c:marker val="1"/>
        <c:smooth val="0"/>
        <c:axId val="270792576"/>
        <c:axId val="270663680"/>
      </c:lineChart>
      <c:lineChart>
        <c:grouping val="standard"/>
        <c:varyColors val="0"/>
        <c:ser>
          <c:idx val="1"/>
          <c:order val="1"/>
          <c:tx>
            <c:strRef>
              <c:f>'Tab2'!$L$70</c:f>
              <c:strCache>
                <c:ptCount val="1"/>
                <c:pt idx="0">
                  <c:v>Antall</c:v>
                </c:pt>
              </c:strCache>
            </c:strRef>
          </c:tx>
          <c:spPr>
            <a:ln w="25400"/>
          </c:spPr>
          <c:marker>
            <c:symbol val="none"/>
          </c:marker>
          <c:cat>
            <c:numRef>
              <c:f>'Tab2'!$K$71:$K$234</c:f>
              <c:numCache>
                <c:formatCode>General</c:formatCode>
                <c:ptCount val="164"/>
                <c:pt idx="0">
                  <c:v>1983</c:v>
                </c:pt>
                <c:pt idx="4">
                  <c:v>1984</c:v>
                </c:pt>
                <c:pt idx="8">
                  <c:v>1985</c:v>
                </c:pt>
                <c:pt idx="12">
                  <c:v>1986</c:v>
                </c:pt>
                <c:pt idx="16">
                  <c:v>1987</c:v>
                </c:pt>
                <c:pt idx="20">
                  <c:v>1988</c:v>
                </c:pt>
                <c:pt idx="24">
                  <c:v>1989</c:v>
                </c:pt>
                <c:pt idx="28">
                  <c:v>1990</c:v>
                </c:pt>
                <c:pt idx="32">
                  <c:v>1991</c:v>
                </c:pt>
                <c:pt idx="36">
                  <c:v>1992</c:v>
                </c:pt>
                <c:pt idx="40">
                  <c:v>1993</c:v>
                </c:pt>
                <c:pt idx="44">
                  <c:v>1994</c:v>
                </c:pt>
                <c:pt idx="48">
                  <c:v>1995</c:v>
                </c:pt>
                <c:pt idx="52">
                  <c:v>1996</c:v>
                </c:pt>
                <c:pt idx="56">
                  <c:v>1997</c:v>
                </c:pt>
                <c:pt idx="60">
                  <c:v>1998</c:v>
                </c:pt>
                <c:pt idx="64">
                  <c:v>1999</c:v>
                </c:pt>
                <c:pt idx="68">
                  <c:v>2000</c:v>
                </c:pt>
                <c:pt idx="72">
                  <c:v>2001</c:v>
                </c:pt>
                <c:pt idx="76">
                  <c:v>2002</c:v>
                </c:pt>
                <c:pt idx="80">
                  <c:v>2003</c:v>
                </c:pt>
                <c:pt idx="84">
                  <c:v>2004</c:v>
                </c:pt>
                <c:pt idx="88">
                  <c:v>2005</c:v>
                </c:pt>
                <c:pt idx="92">
                  <c:v>2006</c:v>
                </c:pt>
                <c:pt idx="96">
                  <c:v>2007</c:v>
                </c:pt>
                <c:pt idx="100">
                  <c:v>2008</c:v>
                </c:pt>
                <c:pt idx="104">
                  <c:v>2009</c:v>
                </c:pt>
                <c:pt idx="108">
                  <c:v>2010</c:v>
                </c:pt>
                <c:pt idx="112">
                  <c:v>2011</c:v>
                </c:pt>
                <c:pt idx="116">
                  <c:v>2012</c:v>
                </c:pt>
                <c:pt idx="120">
                  <c:v>2013</c:v>
                </c:pt>
                <c:pt idx="124">
                  <c:v>2014</c:v>
                </c:pt>
                <c:pt idx="128">
                  <c:v>2015</c:v>
                </c:pt>
                <c:pt idx="132">
                  <c:v>2016</c:v>
                </c:pt>
                <c:pt idx="136">
                  <c:v>2017</c:v>
                </c:pt>
                <c:pt idx="140">
                  <c:v>2018</c:v>
                </c:pt>
                <c:pt idx="144">
                  <c:v>2019</c:v>
                </c:pt>
                <c:pt idx="148">
                  <c:v>2020</c:v>
                </c:pt>
                <c:pt idx="152">
                  <c:v>2021</c:v>
                </c:pt>
                <c:pt idx="156">
                  <c:v>2022</c:v>
                </c:pt>
                <c:pt idx="160">
                  <c:v>2023</c:v>
                </c:pt>
              </c:numCache>
            </c:numRef>
          </c:cat>
          <c:val>
            <c:numRef>
              <c:f>'Tab2'!$L$71:$L$234</c:f>
              <c:numCache>
                <c:formatCode>#,##0</c:formatCode>
                <c:ptCount val="164"/>
                <c:pt idx="0">
                  <c:v>11621</c:v>
                </c:pt>
                <c:pt idx="1">
                  <c:v>11120</c:v>
                </c:pt>
                <c:pt idx="2">
                  <c:v>11918</c:v>
                </c:pt>
                <c:pt idx="3">
                  <c:v>11905</c:v>
                </c:pt>
                <c:pt idx="4">
                  <c:v>13205</c:v>
                </c:pt>
                <c:pt idx="5">
                  <c:v>12453</c:v>
                </c:pt>
                <c:pt idx="6">
                  <c:v>12278</c:v>
                </c:pt>
                <c:pt idx="7">
                  <c:v>11449</c:v>
                </c:pt>
                <c:pt idx="8">
                  <c:v>16918</c:v>
                </c:pt>
                <c:pt idx="9">
                  <c:v>14237</c:v>
                </c:pt>
                <c:pt idx="10">
                  <c:v>14329</c:v>
                </c:pt>
                <c:pt idx="11">
                  <c:v>13060</c:v>
                </c:pt>
                <c:pt idx="12">
                  <c:v>14314</c:v>
                </c:pt>
                <c:pt idx="13">
                  <c:v>13505</c:v>
                </c:pt>
                <c:pt idx="14">
                  <c:v>12132</c:v>
                </c:pt>
                <c:pt idx="15">
                  <c:v>11763</c:v>
                </c:pt>
                <c:pt idx="16">
                  <c:v>17280</c:v>
                </c:pt>
                <c:pt idx="17">
                  <c:v>12241</c:v>
                </c:pt>
                <c:pt idx="18">
                  <c:v>11506</c:v>
                </c:pt>
                <c:pt idx="19">
                  <c:v>12860</c:v>
                </c:pt>
                <c:pt idx="20">
                  <c:v>10180</c:v>
                </c:pt>
                <c:pt idx="21">
                  <c:v>11081</c:v>
                </c:pt>
                <c:pt idx="22">
                  <c:v>15987</c:v>
                </c:pt>
                <c:pt idx="23">
                  <c:v>12493</c:v>
                </c:pt>
                <c:pt idx="24">
                  <c:v>10988</c:v>
                </c:pt>
                <c:pt idx="25">
                  <c:v>10292</c:v>
                </c:pt>
                <c:pt idx="26">
                  <c:v>11352</c:v>
                </c:pt>
                <c:pt idx="27">
                  <c:v>11958</c:v>
                </c:pt>
                <c:pt idx="28">
                  <c:v>13741</c:v>
                </c:pt>
                <c:pt idx="29">
                  <c:v>10045</c:v>
                </c:pt>
                <c:pt idx="30">
                  <c:v>10870</c:v>
                </c:pt>
                <c:pt idx="31">
                  <c:v>11076</c:v>
                </c:pt>
                <c:pt idx="32">
                  <c:v>10172</c:v>
                </c:pt>
                <c:pt idx="33">
                  <c:v>10188</c:v>
                </c:pt>
                <c:pt idx="34">
                  <c:v>10621</c:v>
                </c:pt>
                <c:pt idx="35">
                  <c:v>11640</c:v>
                </c:pt>
                <c:pt idx="36">
                  <c:v>10520</c:v>
                </c:pt>
                <c:pt idx="37">
                  <c:v>10661</c:v>
                </c:pt>
                <c:pt idx="38">
                  <c:v>11590</c:v>
                </c:pt>
                <c:pt idx="39">
                  <c:v>11917</c:v>
                </c:pt>
                <c:pt idx="40">
                  <c:v>11275</c:v>
                </c:pt>
                <c:pt idx="41">
                  <c:v>10076</c:v>
                </c:pt>
                <c:pt idx="42">
                  <c:v>11766</c:v>
                </c:pt>
                <c:pt idx="43">
                  <c:v>12707</c:v>
                </c:pt>
                <c:pt idx="44">
                  <c:v>15224</c:v>
                </c:pt>
                <c:pt idx="45">
                  <c:v>13585</c:v>
                </c:pt>
                <c:pt idx="46">
                  <c:v>13956</c:v>
                </c:pt>
                <c:pt idx="47">
                  <c:v>14006</c:v>
                </c:pt>
                <c:pt idx="48">
                  <c:v>13188</c:v>
                </c:pt>
                <c:pt idx="49">
                  <c:v>11077</c:v>
                </c:pt>
                <c:pt idx="50">
                  <c:v>13937</c:v>
                </c:pt>
                <c:pt idx="51">
                  <c:v>13920</c:v>
                </c:pt>
                <c:pt idx="52">
                  <c:v>29850</c:v>
                </c:pt>
                <c:pt idx="53">
                  <c:v>17799</c:v>
                </c:pt>
                <c:pt idx="54">
                  <c:v>16263</c:v>
                </c:pt>
                <c:pt idx="55">
                  <c:v>16638</c:v>
                </c:pt>
                <c:pt idx="56">
                  <c:v>17837</c:v>
                </c:pt>
                <c:pt idx="57">
                  <c:v>16872</c:v>
                </c:pt>
                <c:pt idx="58">
                  <c:v>17873</c:v>
                </c:pt>
                <c:pt idx="59">
                  <c:v>15493</c:v>
                </c:pt>
                <c:pt idx="60">
                  <c:v>17629</c:v>
                </c:pt>
                <c:pt idx="61">
                  <c:v>14484</c:v>
                </c:pt>
                <c:pt idx="62">
                  <c:v>15693</c:v>
                </c:pt>
                <c:pt idx="63">
                  <c:v>16502</c:v>
                </c:pt>
                <c:pt idx="64">
                  <c:v>18095</c:v>
                </c:pt>
                <c:pt idx="65">
                  <c:v>12899</c:v>
                </c:pt>
                <c:pt idx="66">
                  <c:v>23305</c:v>
                </c:pt>
                <c:pt idx="67">
                  <c:v>18359</c:v>
                </c:pt>
                <c:pt idx="68">
                  <c:v>17570</c:v>
                </c:pt>
                <c:pt idx="69">
                  <c:v>14069</c:v>
                </c:pt>
                <c:pt idx="70">
                  <c:v>16329</c:v>
                </c:pt>
                <c:pt idx="71">
                  <c:v>21735</c:v>
                </c:pt>
                <c:pt idx="72">
                  <c:v>27280</c:v>
                </c:pt>
                <c:pt idx="73">
                  <c:v>17111</c:v>
                </c:pt>
                <c:pt idx="74">
                  <c:v>16407</c:v>
                </c:pt>
                <c:pt idx="75">
                  <c:v>16945</c:v>
                </c:pt>
                <c:pt idx="76">
                  <c:v>17523</c:v>
                </c:pt>
                <c:pt idx="77">
                  <c:v>17469</c:v>
                </c:pt>
                <c:pt idx="78">
                  <c:v>19641</c:v>
                </c:pt>
                <c:pt idx="79">
                  <c:v>17442</c:v>
                </c:pt>
                <c:pt idx="80">
                  <c:v>22781</c:v>
                </c:pt>
                <c:pt idx="81">
                  <c:v>15417</c:v>
                </c:pt>
                <c:pt idx="82">
                  <c:v>18848</c:v>
                </c:pt>
                <c:pt idx="83">
                  <c:v>16096</c:v>
                </c:pt>
                <c:pt idx="84">
                  <c:v>17805</c:v>
                </c:pt>
                <c:pt idx="85">
                  <c:v>13855</c:v>
                </c:pt>
                <c:pt idx="86">
                  <c:v>17630</c:v>
                </c:pt>
                <c:pt idx="87">
                  <c:v>16674</c:v>
                </c:pt>
                <c:pt idx="88">
                  <c:v>15151</c:v>
                </c:pt>
                <c:pt idx="89">
                  <c:v>14855</c:v>
                </c:pt>
                <c:pt idx="90">
                  <c:v>13014</c:v>
                </c:pt>
                <c:pt idx="91">
                  <c:v>22745</c:v>
                </c:pt>
                <c:pt idx="92">
                  <c:v>18196</c:v>
                </c:pt>
                <c:pt idx="93">
                  <c:v>13943</c:v>
                </c:pt>
                <c:pt idx="94">
                  <c:v>13690</c:v>
                </c:pt>
                <c:pt idx="95">
                  <c:v>16682</c:v>
                </c:pt>
                <c:pt idx="96">
                  <c:v>18623</c:v>
                </c:pt>
                <c:pt idx="97">
                  <c:v>15831</c:v>
                </c:pt>
                <c:pt idx="98">
                  <c:v>18428</c:v>
                </c:pt>
                <c:pt idx="99">
                  <c:v>15870</c:v>
                </c:pt>
                <c:pt idx="100">
                  <c:v>17004</c:v>
                </c:pt>
                <c:pt idx="101">
                  <c:v>14987</c:v>
                </c:pt>
                <c:pt idx="102">
                  <c:v>19290</c:v>
                </c:pt>
                <c:pt idx="103">
                  <c:v>16976</c:v>
                </c:pt>
                <c:pt idx="104">
                  <c:v>18865</c:v>
                </c:pt>
                <c:pt idx="105">
                  <c:v>14610</c:v>
                </c:pt>
                <c:pt idx="106">
                  <c:v>19220</c:v>
                </c:pt>
                <c:pt idx="107">
                  <c:v>16838</c:v>
                </c:pt>
                <c:pt idx="108">
                  <c:v>40484.70904761905</c:v>
                </c:pt>
                <c:pt idx="109">
                  <c:v>20633.79583333333</c:v>
                </c:pt>
                <c:pt idx="110">
                  <c:v>19149.335833333338</c:v>
                </c:pt>
                <c:pt idx="111">
                  <c:v>22322.361666666664</c:v>
                </c:pt>
                <c:pt idx="112">
                  <c:v>26141.662648809524</c:v>
                </c:pt>
                <c:pt idx="113">
                  <c:v>18851.951101190472</c:v>
                </c:pt>
                <c:pt idx="114">
                  <c:v>24107.386250000007</c:v>
                </c:pt>
                <c:pt idx="115">
                  <c:v>18022.572976190484</c:v>
                </c:pt>
                <c:pt idx="116">
                  <c:v>18517.39324404762</c:v>
                </c:pt>
                <c:pt idx="117">
                  <c:v>14087.60675595238</c:v>
                </c:pt>
                <c:pt idx="118" formatCode="0">
                  <c:v>20999.460714285713</c:v>
                </c:pt>
                <c:pt idx="119" formatCode="0">
                  <c:v>17946.539285714287</c:v>
                </c:pt>
                <c:pt idx="120" formatCode="0">
                  <c:v>21974.571815476189</c:v>
                </c:pt>
                <c:pt idx="121" formatCode="0">
                  <c:v>23960.428184523811</c:v>
                </c:pt>
                <c:pt idx="122" formatCode="0">
                  <c:v>18388.581422924897</c:v>
                </c:pt>
                <c:pt idx="123" formatCode="0">
                  <c:v>18420.418577075106</c:v>
                </c:pt>
                <c:pt idx="124" formatCode="0">
                  <c:v>19713</c:v>
                </c:pt>
                <c:pt idx="125" formatCode="0">
                  <c:v>16691</c:v>
                </c:pt>
                <c:pt idx="126" formatCode="0">
                  <c:v>21817</c:v>
                </c:pt>
                <c:pt idx="127" formatCode="0">
                  <c:v>20183</c:v>
                </c:pt>
                <c:pt idx="128" formatCode="0">
                  <c:v>19630</c:v>
                </c:pt>
                <c:pt idx="129" formatCode="0">
                  <c:v>15703.949675889351</c:v>
                </c:pt>
                <c:pt idx="130" formatCode="0">
                  <c:v>22728.974837944646</c:v>
                </c:pt>
                <c:pt idx="131" formatCode="0">
                  <c:v>17661.404213438705</c:v>
                </c:pt>
                <c:pt idx="132" formatCode="0">
                  <c:v>20668.165818181998</c:v>
                </c:pt>
                <c:pt idx="133" formatCode="0">
                  <c:v>19039.287573122998</c:v>
                </c:pt>
                <c:pt idx="134" formatCode="0">
                  <c:v>25325.005330874006</c:v>
                </c:pt>
                <c:pt idx="135" formatCode="0">
                  <c:v>18369.446222722992</c:v>
                </c:pt>
                <c:pt idx="136" formatCode="0">
                  <c:v>20188.970584052</c:v>
                </c:pt>
                <c:pt idx="137" formatCode="0">
                  <c:v>16357.538075795001</c:v>
                </c:pt>
                <c:pt idx="138" formatCode="0">
                  <c:v>19399</c:v>
                </c:pt>
                <c:pt idx="139" formatCode="0">
                  <c:v>23333</c:v>
                </c:pt>
                <c:pt idx="140" formatCode="0">
                  <c:v>25111</c:v>
                </c:pt>
                <c:pt idx="141" formatCode="0">
                  <c:v>20973.437462450995</c:v>
                </c:pt>
                <c:pt idx="142" formatCode="0">
                  <c:v>22635.655438734771</c:v>
                </c:pt>
                <c:pt idx="143" formatCode="0">
                  <c:v>22335.438371541502</c:v>
                </c:pt>
                <c:pt idx="144" formatCode="0">
                  <c:v>22394.924612648225</c:v>
                </c:pt>
                <c:pt idx="145" formatCode="0">
                  <c:v>19703.243703557309</c:v>
                </c:pt>
                <c:pt idx="146" formatCode="0">
                  <c:v>26165.077849802379</c:v>
                </c:pt>
                <c:pt idx="147" formatCode="0">
                  <c:v>22621.988837944664</c:v>
                </c:pt>
                <c:pt idx="148" formatCode="0">
                  <c:v>22417.308750988144</c:v>
                </c:pt>
                <c:pt idx="149" formatCode="0">
                  <c:v>20318.697663474304</c:v>
                </c:pt>
                <c:pt idx="150" formatCode="0">
                  <c:v>23115.129949173919</c:v>
                </c:pt>
                <c:pt idx="151" formatCode="0">
                  <c:v>24544.608407612643</c:v>
                </c:pt>
                <c:pt idx="152" formatCode="0">
                  <c:v>34994.274094861663</c:v>
                </c:pt>
                <c:pt idx="153" formatCode="0">
                  <c:v>20425.734197628459</c:v>
                </c:pt>
                <c:pt idx="154" formatCode="0">
                  <c:v>24805.341992094851</c:v>
                </c:pt>
                <c:pt idx="155" formatCode="0">
                  <c:v>23357.504896820246</c:v>
                </c:pt>
                <c:pt idx="156" formatCode="0">
                  <c:v>24505.067470355731</c:v>
                </c:pt>
                <c:pt idx="157" formatCode="0">
                  <c:v>18109.505441201181</c:v>
                </c:pt>
                <c:pt idx="158" formatCode="0">
                  <c:v>22326.885249827203</c:v>
                </c:pt>
                <c:pt idx="159" formatCode="0">
                  <c:v>24565.831590744419</c:v>
                </c:pt>
                <c:pt idx="160" formatCode="0">
                  <c:v>26844.315237154147</c:v>
                </c:pt>
                <c:pt idx="161" formatCode="0">
                  <c:v>22123.086754773376</c:v>
                </c:pt>
                <c:pt idx="162" formatCode="0">
                  <c:v>33547.567308467726</c:v>
                </c:pt>
                <c:pt idx="163" formatCode="0">
                  <c:v>27405.288644268774</c:v>
                </c:pt>
              </c:numCache>
            </c:numRef>
          </c:val>
          <c:smooth val="0"/>
          <c:extLst>
            <c:ext xmlns:c16="http://schemas.microsoft.com/office/drawing/2014/chart" uri="{C3380CC4-5D6E-409C-BE32-E72D297353CC}">
              <c16:uniqueId val="{00000001-DEC7-4D76-8CFA-CE137D68656F}"/>
            </c:ext>
          </c:extLst>
        </c:ser>
        <c:dLbls>
          <c:showLegendKey val="0"/>
          <c:showVal val="0"/>
          <c:showCatName val="0"/>
          <c:showSerName val="0"/>
          <c:showPercent val="0"/>
          <c:showBubbleSize val="0"/>
        </c:dLbls>
        <c:upDownBars>
          <c:gapWidth val="150"/>
          <c:upBars/>
          <c:downBars/>
        </c:upDownBars>
        <c:marker val="1"/>
        <c:smooth val="0"/>
        <c:axId val="270667776"/>
        <c:axId val="270665600"/>
      </c:lineChart>
      <c:catAx>
        <c:axId val="270792576"/>
        <c:scaling>
          <c:orientation val="minMax"/>
        </c:scaling>
        <c:delete val="0"/>
        <c:axPos val="b"/>
        <c:majorGridlines>
          <c:spPr>
            <a:ln>
              <a:solidFill>
                <a:srgbClr val="4F81BD">
                  <a:alpha val="25000"/>
                </a:srgbClr>
              </a:solidFill>
            </a:ln>
          </c:spPr>
        </c:majorGridlines>
        <c:title>
          <c:tx>
            <c:rich>
              <a:bodyPr/>
              <a:lstStyle/>
              <a:p>
                <a:pPr>
                  <a:defRPr sz="1200"/>
                </a:pPr>
                <a:r>
                  <a:rPr lang="en-US" sz="1200"/>
                  <a:t>År</a:t>
                </a:r>
              </a:p>
            </c:rich>
          </c:tx>
          <c:layout>
            <c:manualLayout>
              <c:xMode val="edge"/>
              <c:yMode val="edge"/>
              <c:x val="0.48913710180525038"/>
              <c:y val="0.92512795900512435"/>
            </c:manualLayout>
          </c:layout>
          <c:overlay val="0"/>
        </c:title>
        <c:numFmt formatCode="General" sourceLinked="1"/>
        <c:majorTickMark val="out"/>
        <c:minorTickMark val="out"/>
        <c:tickLblPos val="nextTo"/>
        <c:txPr>
          <a:bodyPr rot="-3000000" vert="horz"/>
          <a:lstStyle/>
          <a:p>
            <a:pPr>
              <a:defRPr/>
            </a:pPr>
            <a:endParaRPr lang="nb-NO"/>
          </a:p>
        </c:txPr>
        <c:crossAx val="270663680"/>
        <c:crosses val="autoZero"/>
        <c:auto val="1"/>
        <c:lblAlgn val="ctr"/>
        <c:lblOffset val="100"/>
        <c:tickLblSkip val="1"/>
        <c:tickMarkSkip val="4"/>
        <c:noMultiLvlLbl val="0"/>
      </c:catAx>
      <c:valAx>
        <c:axId val="270663680"/>
        <c:scaling>
          <c:orientation val="minMax"/>
        </c:scaling>
        <c:delete val="0"/>
        <c:axPos val="l"/>
        <c:majorGridlines/>
        <c:title>
          <c:tx>
            <c:rich>
              <a:bodyPr rot="-5400000" vert="horz" anchor="ctr" anchorCtr="1"/>
              <a:lstStyle/>
              <a:p>
                <a:pPr>
                  <a:defRPr/>
                </a:pPr>
                <a:r>
                  <a:rPr lang="en-US"/>
                  <a:t>KPI-justert erstatning (millioner kroner)</a:t>
                </a:r>
              </a:p>
            </c:rich>
          </c:tx>
          <c:layout>
            <c:manualLayout>
              <c:xMode val="edge"/>
              <c:yMode val="edge"/>
              <c:x val="1.5657612176468372E-2"/>
              <c:y val="0.13385355900279908"/>
            </c:manualLayout>
          </c:layout>
          <c:overlay val="0"/>
        </c:title>
        <c:numFmt formatCode="#,##0" sourceLinked="0"/>
        <c:majorTickMark val="out"/>
        <c:minorTickMark val="none"/>
        <c:tickLblPos val="nextTo"/>
        <c:crossAx val="270792576"/>
        <c:crosses val="autoZero"/>
        <c:crossBetween val="between"/>
      </c:valAx>
      <c:valAx>
        <c:axId val="270665600"/>
        <c:scaling>
          <c:orientation val="minMax"/>
        </c:scaling>
        <c:delete val="0"/>
        <c:axPos val="r"/>
        <c:title>
          <c:tx>
            <c:rich>
              <a:bodyPr rot="-5400000" vert="horz"/>
              <a:lstStyle/>
              <a:p>
                <a:pPr>
                  <a:defRPr/>
                </a:pPr>
                <a:r>
                  <a:rPr lang="en-US"/>
                  <a:t>Antall meldte vannskader</a:t>
                </a:r>
              </a:p>
            </c:rich>
          </c:tx>
          <c:overlay val="0"/>
        </c:title>
        <c:numFmt formatCode="#,##0" sourceLinked="1"/>
        <c:majorTickMark val="out"/>
        <c:minorTickMark val="none"/>
        <c:tickLblPos val="nextTo"/>
        <c:crossAx val="270667776"/>
        <c:crosses val="max"/>
        <c:crossBetween val="between"/>
      </c:valAx>
      <c:catAx>
        <c:axId val="270667776"/>
        <c:scaling>
          <c:orientation val="minMax"/>
        </c:scaling>
        <c:delete val="1"/>
        <c:axPos val="b"/>
        <c:numFmt formatCode="General" sourceLinked="1"/>
        <c:majorTickMark val="out"/>
        <c:minorTickMark val="none"/>
        <c:tickLblPos val="none"/>
        <c:crossAx val="270665600"/>
        <c:crosses val="autoZero"/>
        <c:auto val="0"/>
        <c:lblAlgn val="ctr"/>
        <c:lblOffset val="100"/>
        <c:noMultiLvlLbl val="0"/>
      </c:catAx>
    </c:plotArea>
    <c:legend>
      <c:legendPos val="r"/>
      <c:layout>
        <c:manualLayout>
          <c:xMode val="edge"/>
          <c:yMode val="edge"/>
          <c:x val="0.17254097125419141"/>
          <c:y val="8.1243623616814989E-2"/>
          <c:w val="0.2317650782352112"/>
          <c:h val="0.10148035666735998"/>
        </c:manualLayout>
      </c:layou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72566614958665"/>
          <c:y val="4.7126376644779866E-2"/>
          <c:w val="0.72887760912680721"/>
          <c:h val="0.80035630261243251"/>
        </c:manualLayout>
      </c:layout>
      <c:lineChart>
        <c:grouping val="standard"/>
        <c:varyColors val="0"/>
        <c:ser>
          <c:idx val="0"/>
          <c:order val="0"/>
          <c:tx>
            <c:strRef>
              <c:f>'Tab2'!$M$70</c:f>
              <c:strCache>
                <c:ptCount val="1"/>
                <c:pt idx="0">
                  <c:v>Erstatning</c:v>
                </c:pt>
              </c:strCache>
            </c:strRef>
          </c:tx>
          <c:spPr>
            <a:ln w="25400"/>
          </c:spPr>
          <c:marker>
            <c:symbol val="none"/>
          </c:marker>
          <c:cat>
            <c:numRef>
              <c:f>'Tab2'!$K$103:$K$234</c:f>
              <c:numCache>
                <c:formatCode>General</c:formatCode>
                <c:ptCount val="132"/>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numCache>
            </c:numRef>
          </c:cat>
          <c:val>
            <c:numRef>
              <c:f>'Tab2'!$Q$103:$Q$234</c:f>
              <c:numCache>
                <c:formatCode>#\ ##0.0</c:formatCode>
                <c:ptCount val="132"/>
                <c:pt idx="0">
                  <c:v>798.77085575048704</c:v>
                </c:pt>
                <c:pt idx="1">
                  <c:v>772.72258083140855</c:v>
                </c:pt>
                <c:pt idx="2">
                  <c:v>901.61429753656637</c:v>
                </c:pt>
                <c:pt idx="3">
                  <c:v>886.28993890798051</c:v>
                </c:pt>
                <c:pt idx="4">
                  <c:v>848.02379999999971</c:v>
                </c:pt>
                <c:pt idx="5">
                  <c:v>842.60820165537984</c:v>
                </c:pt>
                <c:pt idx="6">
                  <c:v>899.67546786922208</c:v>
                </c:pt>
                <c:pt idx="7">
                  <c:v>863.59943262411309</c:v>
                </c:pt>
                <c:pt idx="8">
                  <c:v>906.81546770601312</c:v>
                </c:pt>
                <c:pt idx="9">
                  <c:v>704.2518520558001</c:v>
                </c:pt>
                <c:pt idx="10">
                  <c:v>777.00714679911732</c:v>
                </c:pt>
                <c:pt idx="11">
                  <c:v>929.90305860805802</c:v>
                </c:pt>
                <c:pt idx="12">
                  <c:v>851.44871062271045</c:v>
                </c:pt>
                <c:pt idx="13">
                  <c:v>976.75009632860758</c:v>
                </c:pt>
                <c:pt idx="14">
                  <c:v>837.14776511038724</c:v>
                </c:pt>
                <c:pt idx="15">
                  <c:v>764.33446004319626</c:v>
                </c:pt>
                <c:pt idx="16">
                  <c:v>1053.4529443254814</c:v>
                </c:pt>
                <c:pt idx="17">
                  <c:v>890.41074034714848</c:v>
                </c:pt>
                <c:pt idx="18">
                  <c:v>939.51427382217446</c:v>
                </c:pt>
                <c:pt idx="19">
                  <c:v>708.52533298097217</c:v>
                </c:pt>
                <c:pt idx="20">
                  <c:v>923.12823602264666</c:v>
                </c:pt>
                <c:pt idx="21">
                  <c:v>1115.2190904311251</c:v>
                </c:pt>
                <c:pt idx="22">
                  <c:v>1104.0968568935423</c:v>
                </c:pt>
                <c:pt idx="23">
                  <c:v>1252.7940775354796</c:v>
                </c:pt>
                <c:pt idx="24">
                  <c:v>1165.2403168893454</c:v>
                </c:pt>
                <c:pt idx="25">
                  <c:v>1232.2455203002382</c:v>
                </c:pt>
                <c:pt idx="26">
                  <c:v>1335.9218065506652</c:v>
                </c:pt>
                <c:pt idx="27">
                  <c:v>1038.5949186991868</c:v>
                </c:pt>
                <c:pt idx="28">
                  <c:v>1094.1442027526014</c:v>
                </c:pt>
                <c:pt idx="29">
                  <c:v>1048.4979087261784</c:v>
                </c:pt>
                <c:pt idx="30">
                  <c:v>785.81243820975305</c:v>
                </c:pt>
                <c:pt idx="31">
                  <c:v>1329.0521449851028</c:v>
                </c:pt>
                <c:pt idx="32">
                  <c:v>1231.4207938856014</c:v>
                </c:pt>
                <c:pt idx="33">
                  <c:v>1550.6749282452704</c:v>
                </c:pt>
                <c:pt idx="34">
                  <c:v>1010.2393805309728</c:v>
                </c:pt>
                <c:pt idx="35">
                  <c:v>1637.8179629629626</c:v>
                </c:pt>
                <c:pt idx="36">
                  <c:v>1420.3369646271508</c:v>
                </c:pt>
                <c:pt idx="37">
                  <c:v>1162.3802442118615</c:v>
                </c:pt>
                <c:pt idx="38">
                  <c:v>1215.2385280151948</c:v>
                </c:pt>
                <c:pt idx="39">
                  <c:v>1254.1598501872654</c:v>
                </c:pt>
                <c:pt idx="40">
                  <c:v>1465.9950338253377</c:v>
                </c:pt>
                <c:pt idx="41">
                  <c:v>1525.995787712895</c:v>
                </c:pt>
                <c:pt idx="42">
                  <c:v>1964.8898581560277</c:v>
                </c:pt>
                <c:pt idx="43">
                  <c:v>1339.0919855872432</c:v>
                </c:pt>
                <c:pt idx="44">
                  <c:v>1360.0900945410185</c:v>
                </c:pt>
                <c:pt idx="45">
                  <c:v>1135.1460772727269</c:v>
                </c:pt>
                <c:pt idx="46">
                  <c:v>1481.1913610097322</c:v>
                </c:pt>
                <c:pt idx="47">
                  <c:v>1532.051929429429</c:v>
                </c:pt>
                <c:pt idx="48">
                  <c:v>1719.0440837696333</c:v>
                </c:pt>
                <c:pt idx="49">
                  <c:v>1319.5612021371323</c:v>
                </c:pt>
                <c:pt idx="50">
                  <c:v>1392.9372088173959</c:v>
                </c:pt>
                <c:pt idx="51">
                  <c:v>1226.7320648312611</c:v>
                </c:pt>
                <c:pt idx="52">
                  <c:v>1183.1213617525161</c:v>
                </c:pt>
                <c:pt idx="53">
                  <c:v>1131.7913624338621</c:v>
                </c:pt>
                <c:pt idx="54">
                  <c:v>1046.6400693215335</c:v>
                </c:pt>
                <c:pt idx="55">
                  <c:v>1127.5830029239773</c:v>
                </c:pt>
                <c:pt idx="56">
                  <c:v>1139.8015127528581</c:v>
                </c:pt>
                <c:pt idx="57">
                  <c:v>1172.6201605902775</c:v>
                </c:pt>
                <c:pt idx="58">
                  <c:v>1309.9731262670143</c:v>
                </c:pt>
                <c:pt idx="59">
                  <c:v>1243.105916666666</c:v>
                </c:pt>
                <c:pt idx="60">
                  <c:v>1471.9915837621497</c:v>
                </c:pt>
                <c:pt idx="61">
                  <c:v>1246.741238337574</c:v>
                </c:pt>
                <c:pt idx="62">
                  <c:v>1322.1697058823529</c:v>
                </c:pt>
                <c:pt idx="63">
                  <c:v>1257.752745098039</c:v>
                </c:pt>
                <c:pt idx="64">
                  <c:v>1684.3273219858152</c:v>
                </c:pt>
                <c:pt idx="65">
                  <c:v>1595.585597351366</c:v>
                </c:pt>
                <c:pt idx="66">
                  <c:v>1045.3705659309567</c:v>
                </c:pt>
                <c:pt idx="67">
                  <c:v>1367.5625786423836</c:v>
                </c:pt>
                <c:pt idx="68">
                  <c:v>1432.3701886792451</c:v>
                </c:pt>
                <c:pt idx="69">
                  <c:v>1713.6924836065575</c:v>
                </c:pt>
                <c:pt idx="70">
                  <c:v>2188.1094841592189</c:v>
                </c:pt>
                <c:pt idx="71">
                  <c:v>1685.5968992248058</c:v>
                </c:pt>
                <c:pt idx="72">
                  <c:v>1521.9490386666664</c:v>
                </c:pt>
                <c:pt idx="73">
                  <c:v>1553.8367263325374</c:v>
                </c:pt>
                <c:pt idx="74">
                  <c:v>1846.8409104199886</c:v>
                </c:pt>
                <c:pt idx="75">
                  <c:v>1706.3872590837284</c:v>
                </c:pt>
                <c:pt idx="76">
                  <c:v>2320.9863830613826</c:v>
                </c:pt>
                <c:pt idx="77">
                  <c:v>1942.3300452547187</c:v>
                </c:pt>
                <c:pt idx="78">
                  <c:v>1823.6430646844021</c:v>
                </c:pt>
                <c:pt idx="79">
                  <c:v>1841.2336795865644</c:v>
                </c:pt>
                <c:pt idx="80">
                  <c:v>2364.1111456733229</c:v>
                </c:pt>
                <c:pt idx="81">
                  <c:v>2121.0277531806614</c:v>
                </c:pt>
                <c:pt idx="82">
                  <c:v>1799.9738974755271</c:v>
                </c:pt>
                <c:pt idx="83">
                  <c:v>1786.8326862720819</c:v>
                </c:pt>
                <c:pt idx="84">
                  <c:v>1582.6790005475282</c:v>
                </c:pt>
                <c:pt idx="85">
                  <c:v>1427.8706006823063</c:v>
                </c:pt>
                <c:pt idx="86">
                  <c:v>1577.9332747636959</c:v>
                </c:pt>
                <c:pt idx="87">
                  <c:v>1470.2207093844388</c:v>
                </c:pt>
                <c:pt idx="88">
                  <c:v>1564.3072857965683</c:v>
                </c:pt>
                <c:pt idx="89">
                  <c:v>1529.6315016279182</c:v>
                </c:pt>
                <c:pt idx="90">
                  <c:v>1786.8873643291081</c:v>
                </c:pt>
                <c:pt idx="91">
                  <c:v>1624.0692103944837</c:v>
                </c:pt>
                <c:pt idx="92">
                  <c:v>1981.3628739444187</c:v>
                </c:pt>
                <c:pt idx="93">
                  <c:v>1535.9959737309453</c:v>
                </c:pt>
                <c:pt idx="94">
                  <c:v>1666.3596897020154</c:v>
                </c:pt>
                <c:pt idx="95">
                  <c:v>1454.4104627213296</c:v>
                </c:pt>
                <c:pt idx="96">
                  <c:v>1675.6388577578928</c:v>
                </c:pt>
                <c:pt idx="97">
                  <c:v>1566.3571068403246</c:v>
                </c:pt>
                <c:pt idx="98">
                  <c:v>1739.5165092972627</c:v>
                </c:pt>
                <c:pt idx="99">
                  <c:v>1822.678598887652</c:v>
                </c:pt>
                <c:pt idx="100">
                  <c:v>1609.0719539054189</c:v>
                </c:pt>
                <c:pt idx="101">
                  <c:v>1245.0781656089216</c:v>
                </c:pt>
                <c:pt idx="102">
                  <c:v>1861.2184004834107</c:v>
                </c:pt>
                <c:pt idx="103">
                  <c:v>1509.5382860902821</c:v>
                </c:pt>
                <c:pt idx="104">
                  <c:v>1604.6334364717318</c:v>
                </c:pt>
                <c:pt idx="105">
                  <c:v>2067.4926189381385</c:v>
                </c:pt>
                <c:pt idx="106">
                  <c:v>1173.5668024439915</c:v>
                </c:pt>
                <c:pt idx="107">
                  <c:v>1471.3477650494156</c:v>
                </c:pt>
                <c:pt idx="108">
                  <c:v>1527.5651525272767</c:v>
                </c:pt>
                <c:pt idx="109">
                  <c:v>1768.7182158173557</c:v>
                </c:pt>
                <c:pt idx="110">
                  <c:v>2168.2947269287752</c:v>
                </c:pt>
                <c:pt idx="111">
                  <c:v>1713.0170124254539</c:v>
                </c:pt>
                <c:pt idx="112">
                  <c:v>1627.9965094170479</c:v>
                </c:pt>
                <c:pt idx="113">
                  <c:v>1578.4732868025474</c:v>
                </c:pt>
                <c:pt idx="114">
                  <c:v>1739.3707651375646</c:v>
                </c:pt>
                <c:pt idx="115">
                  <c:v>1425.1657533126931</c:v>
                </c:pt>
                <c:pt idx="116">
                  <c:v>2066.2439453161364</c:v>
                </c:pt>
                <c:pt idx="117">
                  <c:v>1384.008561715568</c:v>
                </c:pt>
                <c:pt idx="118">
                  <c:v>1203.2897708845683</c:v>
                </c:pt>
                <c:pt idx="119">
                  <c:v>1383.9198782350475</c:v>
                </c:pt>
                <c:pt idx="120">
                  <c:v>1705.9866509304172</c:v>
                </c:pt>
                <c:pt idx="121">
                  <c:v>1659.9219201006711</c:v>
                </c:pt>
                <c:pt idx="122">
                  <c:v>1546.1562927939506</c:v>
                </c:pt>
                <c:pt idx="123">
                  <c:v>1411.9846072648436</c:v>
                </c:pt>
                <c:pt idx="124">
                  <c:v>1722.6811418532648</c:v>
                </c:pt>
                <c:pt idx="125">
                  <c:v>1474.2176522984732</c:v>
                </c:pt>
                <c:pt idx="126">
                  <c:v>2097.6464917945359</c:v>
                </c:pt>
                <c:pt idx="127">
                  <c:v>2039.1818842635284</c:v>
                </c:pt>
                <c:pt idx="128">
                  <c:v>1723.03247902777</c:v>
                </c:pt>
                <c:pt idx="129">
                  <c:v>1941.3423996000831</c:v>
                </c:pt>
                <c:pt idx="130">
                  <c:v>1368.9548073003812</c:v>
                </c:pt>
                <c:pt idx="131">
                  <c:v>1990.0835598019094</c:v>
                </c:pt>
              </c:numCache>
            </c:numRef>
          </c:val>
          <c:smooth val="0"/>
          <c:extLst>
            <c:ext xmlns:c16="http://schemas.microsoft.com/office/drawing/2014/chart" uri="{C3380CC4-5D6E-409C-BE32-E72D297353CC}">
              <c16:uniqueId val="{00000000-E0D7-4248-80EF-997285299449}"/>
            </c:ext>
          </c:extLst>
        </c:ser>
        <c:dLbls>
          <c:showLegendKey val="0"/>
          <c:showVal val="0"/>
          <c:showCatName val="0"/>
          <c:showSerName val="0"/>
          <c:showPercent val="0"/>
          <c:showBubbleSize val="0"/>
        </c:dLbls>
        <c:marker val="1"/>
        <c:smooth val="0"/>
        <c:axId val="270702464"/>
        <c:axId val="270704000"/>
      </c:lineChart>
      <c:lineChart>
        <c:grouping val="standard"/>
        <c:varyColors val="0"/>
        <c:ser>
          <c:idx val="1"/>
          <c:order val="1"/>
          <c:tx>
            <c:strRef>
              <c:f>'Tab2'!$L$70</c:f>
              <c:strCache>
                <c:ptCount val="1"/>
                <c:pt idx="0">
                  <c:v>Antall</c:v>
                </c:pt>
              </c:strCache>
            </c:strRef>
          </c:tx>
          <c:spPr>
            <a:ln w="25400"/>
          </c:spPr>
          <c:marker>
            <c:symbol val="none"/>
          </c:marker>
          <c:cat>
            <c:numRef>
              <c:f>'Tab2'!$K$103:$K$234</c:f>
              <c:numCache>
                <c:formatCode>General</c:formatCode>
                <c:ptCount val="132"/>
                <c:pt idx="0">
                  <c:v>1991</c:v>
                </c:pt>
                <c:pt idx="4">
                  <c:v>1992</c:v>
                </c:pt>
                <c:pt idx="8">
                  <c:v>1993</c:v>
                </c:pt>
                <c:pt idx="12">
                  <c:v>1994</c:v>
                </c:pt>
                <c:pt idx="16">
                  <c:v>1995</c:v>
                </c:pt>
                <c:pt idx="20">
                  <c:v>1996</c:v>
                </c:pt>
                <c:pt idx="24">
                  <c:v>1997</c:v>
                </c:pt>
                <c:pt idx="28">
                  <c:v>1998</c:v>
                </c:pt>
                <c:pt idx="32">
                  <c:v>1999</c:v>
                </c:pt>
                <c:pt idx="36">
                  <c:v>2000</c:v>
                </c:pt>
                <c:pt idx="40">
                  <c:v>2001</c:v>
                </c:pt>
                <c:pt idx="44">
                  <c:v>2002</c:v>
                </c:pt>
                <c:pt idx="48">
                  <c:v>2003</c:v>
                </c:pt>
                <c:pt idx="52">
                  <c:v>2004</c:v>
                </c:pt>
                <c:pt idx="56">
                  <c:v>2005</c:v>
                </c:pt>
                <c:pt idx="60">
                  <c:v>2006</c:v>
                </c:pt>
                <c:pt idx="64">
                  <c:v>2007</c:v>
                </c:pt>
                <c:pt idx="68">
                  <c:v>2008</c:v>
                </c:pt>
                <c:pt idx="72">
                  <c:v>2009</c:v>
                </c:pt>
                <c:pt idx="76">
                  <c:v>2010</c:v>
                </c:pt>
                <c:pt idx="80">
                  <c:v>2011</c:v>
                </c:pt>
                <c:pt idx="84">
                  <c:v>2012</c:v>
                </c:pt>
                <c:pt idx="88">
                  <c:v>2013</c:v>
                </c:pt>
                <c:pt idx="92">
                  <c:v>2014</c:v>
                </c:pt>
                <c:pt idx="96">
                  <c:v>2015</c:v>
                </c:pt>
                <c:pt idx="100">
                  <c:v>2016</c:v>
                </c:pt>
                <c:pt idx="104">
                  <c:v>2017</c:v>
                </c:pt>
                <c:pt idx="108">
                  <c:v>2018</c:v>
                </c:pt>
                <c:pt idx="112">
                  <c:v>2019</c:v>
                </c:pt>
                <c:pt idx="116">
                  <c:v>2020</c:v>
                </c:pt>
                <c:pt idx="120">
                  <c:v>2021</c:v>
                </c:pt>
                <c:pt idx="124">
                  <c:v>2022</c:v>
                </c:pt>
                <c:pt idx="128">
                  <c:v>2023</c:v>
                </c:pt>
              </c:numCache>
            </c:numRef>
          </c:cat>
          <c:val>
            <c:numRef>
              <c:f>'Tab2'!$O$103:$O$234</c:f>
              <c:numCache>
                <c:formatCode>#,##0</c:formatCode>
                <c:ptCount val="132"/>
                <c:pt idx="0">
                  <c:v>6727</c:v>
                </c:pt>
                <c:pt idx="1">
                  <c:v>5864</c:v>
                </c:pt>
                <c:pt idx="2">
                  <c:v>7951</c:v>
                </c:pt>
                <c:pt idx="3">
                  <c:v>13048</c:v>
                </c:pt>
                <c:pt idx="4">
                  <c:v>6509</c:v>
                </c:pt>
                <c:pt idx="5">
                  <c:v>5632</c:v>
                </c:pt>
                <c:pt idx="6">
                  <c:v>8642</c:v>
                </c:pt>
                <c:pt idx="7">
                  <c:v>7139</c:v>
                </c:pt>
                <c:pt idx="8">
                  <c:v>6982</c:v>
                </c:pt>
                <c:pt idx="9">
                  <c:v>6332</c:v>
                </c:pt>
                <c:pt idx="10">
                  <c:v>6675</c:v>
                </c:pt>
                <c:pt idx="11">
                  <c:v>6319</c:v>
                </c:pt>
                <c:pt idx="12">
                  <c:v>6291</c:v>
                </c:pt>
                <c:pt idx="13">
                  <c:v>5517</c:v>
                </c:pt>
                <c:pt idx="14">
                  <c:v>8952</c:v>
                </c:pt>
                <c:pt idx="15">
                  <c:v>8189</c:v>
                </c:pt>
                <c:pt idx="16">
                  <c:v>7699</c:v>
                </c:pt>
                <c:pt idx="17">
                  <c:v>5465</c:v>
                </c:pt>
                <c:pt idx="18">
                  <c:v>9139</c:v>
                </c:pt>
                <c:pt idx="19">
                  <c:v>7500</c:v>
                </c:pt>
                <c:pt idx="20">
                  <c:v>7239</c:v>
                </c:pt>
                <c:pt idx="21">
                  <c:v>6503</c:v>
                </c:pt>
                <c:pt idx="22">
                  <c:v>8934</c:v>
                </c:pt>
                <c:pt idx="23">
                  <c:v>7966</c:v>
                </c:pt>
                <c:pt idx="24">
                  <c:v>7574</c:v>
                </c:pt>
                <c:pt idx="25">
                  <c:v>7284</c:v>
                </c:pt>
                <c:pt idx="26">
                  <c:v>14581</c:v>
                </c:pt>
                <c:pt idx="27">
                  <c:v>9445</c:v>
                </c:pt>
                <c:pt idx="28">
                  <c:v>7614</c:v>
                </c:pt>
                <c:pt idx="29">
                  <c:v>6009</c:v>
                </c:pt>
                <c:pt idx="30">
                  <c:v>8328</c:v>
                </c:pt>
                <c:pt idx="31">
                  <c:v>7526</c:v>
                </c:pt>
                <c:pt idx="32">
                  <c:v>8863</c:v>
                </c:pt>
                <c:pt idx="33">
                  <c:v>5920</c:v>
                </c:pt>
                <c:pt idx="34">
                  <c:v>11181</c:v>
                </c:pt>
                <c:pt idx="35">
                  <c:v>9544</c:v>
                </c:pt>
                <c:pt idx="36">
                  <c:v>9154</c:v>
                </c:pt>
                <c:pt idx="37">
                  <c:v>10238</c:v>
                </c:pt>
                <c:pt idx="38">
                  <c:v>13877</c:v>
                </c:pt>
                <c:pt idx="39">
                  <c:v>9978</c:v>
                </c:pt>
                <c:pt idx="40">
                  <c:v>7776</c:v>
                </c:pt>
                <c:pt idx="41">
                  <c:v>5711</c:v>
                </c:pt>
                <c:pt idx="42">
                  <c:v>15359</c:v>
                </c:pt>
                <c:pt idx="43">
                  <c:v>9601</c:v>
                </c:pt>
                <c:pt idx="44">
                  <c:v>6856</c:v>
                </c:pt>
                <c:pt idx="45">
                  <c:v>9323</c:v>
                </c:pt>
                <c:pt idx="46">
                  <c:v>17422</c:v>
                </c:pt>
                <c:pt idx="47">
                  <c:v>8123</c:v>
                </c:pt>
                <c:pt idx="48">
                  <c:v>6823</c:v>
                </c:pt>
                <c:pt idx="49">
                  <c:v>5618</c:v>
                </c:pt>
                <c:pt idx="50">
                  <c:v>16056</c:v>
                </c:pt>
                <c:pt idx="51">
                  <c:v>7652</c:v>
                </c:pt>
                <c:pt idx="52">
                  <c:v>7033</c:v>
                </c:pt>
                <c:pt idx="53">
                  <c:v>6436</c:v>
                </c:pt>
                <c:pt idx="54">
                  <c:v>11805</c:v>
                </c:pt>
                <c:pt idx="55">
                  <c:v>10088</c:v>
                </c:pt>
                <c:pt idx="56">
                  <c:v>7287</c:v>
                </c:pt>
                <c:pt idx="57">
                  <c:v>6172</c:v>
                </c:pt>
                <c:pt idx="58">
                  <c:v>6734</c:v>
                </c:pt>
                <c:pt idx="59">
                  <c:v>8144</c:v>
                </c:pt>
                <c:pt idx="60">
                  <c:v>6106</c:v>
                </c:pt>
                <c:pt idx="61">
                  <c:v>5246</c:v>
                </c:pt>
                <c:pt idx="62">
                  <c:v>9450</c:v>
                </c:pt>
                <c:pt idx="63">
                  <c:v>10233</c:v>
                </c:pt>
                <c:pt idx="64">
                  <c:v>7737</c:v>
                </c:pt>
                <c:pt idx="65">
                  <c:v>5067</c:v>
                </c:pt>
                <c:pt idx="66">
                  <c:v>6417</c:v>
                </c:pt>
                <c:pt idx="67">
                  <c:v>5114</c:v>
                </c:pt>
                <c:pt idx="68">
                  <c:v>6274</c:v>
                </c:pt>
                <c:pt idx="69">
                  <c:v>5831</c:v>
                </c:pt>
                <c:pt idx="70">
                  <c:v>12252</c:v>
                </c:pt>
                <c:pt idx="71">
                  <c:v>7247</c:v>
                </c:pt>
                <c:pt idx="72">
                  <c:v>6194</c:v>
                </c:pt>
                <c:pt idx="73">
                  <c:v>5486</c:v>
                </c:pt>
                <c:pt idx="74">
                  <c:v>13278</c:v>
                </c:pt>
                <c:pt idx="75">
                  <c:v>6227</c:v>
                </c:pt>
                <c:pt idx="76">
                  <c:v>6690</c:v>
                </c:pt>
                <c:pt idx="77">
                  <c:v>5716</c:v>
                </c:pt>
                <c:pt idx="78">
                  <c:v>9089</c:v>
                </c:pt>
                <c:pt idx="79">
                  <c:v>5858</c:v>
                </c:pt>
                <c:pt idx="80">
                  <c:v>5959</c:v>
                </c:pt>
                <c:pt idx="81">
                  <c:v>7524</c:v>
                </c:pt>
                <c:pt idx="82">
                  <c:v>10171</c:v>
                </c:pt>
                <c:pt idx="83">
                  <c:v>8775.7956028314002</c:v>
                </c:pt>
                <c:pt idx="84">
                  <c:v>6822.44890070785</c:v>
                </c:pt>
                <c:pt idx="85">
                  <c:v>4838.55109929215</c:v>
                </c:pt>
                <c:pt idx="86" formatCode="0">
                  <c:v>6828.0536397386386</c:v>
                </c:pt>
                <c:pt idx="87" formatCode="0">
                  <c:v>5621.9463602613596</c:v>
                </c:pt>
                <c:pt idx="88" formatCode="0">
                  <c:v>5520.4451678348678</c:v>
                </c:pt>
                <c:pt idx="89" formatCode="0">
                  <c:v>6388.5548321651322</c:v>
                </c:pt>
                <c:pt idx="90" formatCode="0">
                  <c:v>11492.955434782609</c:v>
                </c:pt>
                <c:pt idx="91" formatCode="0">
                  <c:v>7745.0445652173912</c:v>
                </c:pt>
                <c:pt idx="92" formatCode="0">
                  <c:v>7032</c:v>
                </c:pt>
                <c:pt idx="93" formatCode="0">
                  <c:v>6228</c:v>
                </c:pt>
                <c:pt idx="94" formatCode="0">
                  <c:v>20407</c:v>
                </c:pt>
                <c:pt idx="95" formatCode="0">
                  <c:v>12863</c:v>
                </c:pt>
                <c:pt idx="96" formatCode="0">
                  <c:v>9848</c:v>
                </c:pt>
                <c:pt idx="97" formatCode="0">
                  <c:v>5422.7168724637304</c:v>
                </c:pt>
                <c:pt idx="98" formatCode="0">
                  <c:v>8619.8584362319707</c:v>
                </c:pt>
                <c:pt idx="99" formatCode="0">
                  <c:v>7193.856491304301</c:v>
                </c:pt>
                <c:pt idx="100" formatCode="0">
                  <c:v>6682.5362000000005</c:v>
                </c:pt>
                <c:pt idx="101" formatCode="0">
                  <c:v>5385.3991579709982</c:v>
                </c:pt>
                <c:pt idx="102" formatCode="0">
                  <c:v>9666.7747891530034</c:v>
                </c:pt>
                <c:pt idx="103" formatCode="0">
                  <c:v>6575.4640743699983</c:v>
                </c:pt>
                <c:pt idx="104" formatCode="0">
                  <c:v>7124.2571060979999</c:v>
                </c:pt>
                <c:pt idx="105" formatCode="0">
                  <c:v>5007.3623026510004</c:v>
                </c:pt>
                <c:pt idx="106" formatCode="0">
                  <c:v>8892</c:v>
                </c:pt>
                <c:pt idx="107" formatCode="0">
                  <c:v>6366</c:v>
                </c:pt>
                <c:pt idx="108" formatCode="0">
                  <c:v>6317</c:v>
                </c:pt>
                <c:pt idx="109" formatCode="0">
                  <c:v>5869.5992710140017</c:v>
                </c:pt>
                <c:pt idx="110" formatCode="0">
                  <c:v>10333.380031159912</c:v>
                </c:pt>
                <c:pt idx="111" formatCode="0">
                  <c:v>7362.2217963768126</c:v>
                </c:pt>
                <c:pt idx="112" formatCode="0">
                  <c:v>6179.0660115942028</c:v>
                </c:pt>
                <c:pt idx="113" formatCode="0">
                  <c:v>8628.701004347824</c:v>
                </c:pt>
                <c:pt idx="114" formatCode="0">
                  <c:v>13748.462299275363</c:v>
                </c:pt>
                <c:pt idx="115" formatCode="0">
                  <c:v>7776.9221253623255</c:v>
                </c:pt>
                <c:pt idx="116" formatCode="0">
                  <c:v>7817.2878601449283</c:v>
                </c:pt>
                <c:pt idx="117" formatCode="0">
                  <c:v>6698.4276256020294</c:v>
                </c:pt>
                <c:pt idx="118" formatCode="0">
                  <c:v>9381.5569490356484</c:v>
                </c:pt>
                <c:pt idx="119" formatCode="0">
                  <c:v>8299.8127776884066</c:v>
                </c:pt>
                <c:pt idx="120" formatCode="0">
                  <c:v>8185.2405021739132</c:v>
                </c:pt>
                <c:pt idx="121" formatCode="0">
                  <c:v>6967.5044210144924</c:v>
                </c:pt>
                <c:pt idx="122" formatCode="0">
                  <c:v>11835.432255072465</c:v>
                </c:pt>
                <c:pt idx="123" formatCode="0">
                  <c:v>7240.0729996128648</c:v>
                </c:pt>
                <c:pt idx="124" formatCode="0">
                  <c:v>6900.0468369565224</c:v>
                </c:pt>
                <c:pt idx="125" formatCode="0">
                  <c:v>6398.5711338452893</c:v>
                </c:pt>
                <c:pt idx="126" formatCode="0">
                  <c:v>9773.5265829437976</c:v>
                </c:pt>
                <c:pt idx="127" formatCode="0">
                  <c:v>7886.590696433057</c:v>
                </c:pt>
                <c:pt idx="128" formatCode="0">
                  <c:v>6557.2362137681157</c:v>
                </c:pt>
                <c:pt idx="129" formatCode="0">
                  <c:v>6814.816473074854</c:v>
                </c:pt>
                <c:pt idx="130" formatCode="0">
                  <c:v>7564.7841240265989</c:v>
                </c:pt>
                <c:pt idx="131" formatCode="0">
                  <c:v>10671.830522463766</c:v>
                </c:pt>
              </c:numCache>
            </c:numRef>
          </c:val>
          <c:smooth val="0"/>
          <c:extLst>
            <c:ext xmlns:c16="http://schemas.microsoft.com/office/drawing/2014/chart" uri="{C3380CC4-5D6E-409C-BE32-E72D297353CC}">
              <c16:uniqueId val="{00000001-E0D7-4248-80EF-997285299449}"/>
            </c:ext>
          </c:extLst>
        </c:ser>
        <c:dLbls>
          <c:showLegendKey val="0"/>
          <c:showVal val="0"/>
          <c:showCatName val="0"/>
          <c:showSerName val="0"/>
          <c:showPercent val="0"/>
          <c:showBubbleSize val="0"/>
        </c:dLbls>
        <c:upDownBars>
          <c:gapWidth val="150"/>
          <c:upBars/>
          <c:downBars/>
        </c:upDownBars>
        <c:marker val="1"/>
        <c:smooth val="0"/>
        <c:axId val="270716288"/>
        <c:axId val="270714368"/>
      </c:lineChart>
      <c:catAx>
        <c:axId val="270702464"/>
        <c:scaling>
          <c:orientation val="minMax"/>
        </c:scaling>
        <c:delete val="0"/>
        <c:axPos val="b"/>
        <c:majorGridlines>
          <c:spPr>
            <a:ln>
              <a:solidFill>
                <a:srgbClr val="4F81BD">
                  <a:alpha val="25000"/>
                </a:srgbClr>
              </a:solidFill>
            </a:ln>
          </c:spPr>
        </c:majorGridlines>
        <c:numFmt formatCode="General" sourceLinked="1"/>
        <c:majorTickMark val="out"/>
        <c:minorTickMark val="out"/>
        <c:tickLblPos val="nextTo"/>
        <c:txPr>
          <a:bodyPr rot="-3000000" vert="horz"/>
          <a:lstStyle/>
          <a:p>
            <a:pPr>
              <a:defRPr/>
            </a:pPr>
            <a:endParaRPr lang="nb-NO"/>
          </a:p>
        </c:txPr>
        <c:crossAx val="270704000"/>
        <c:crosses val="autoZero"/>
        <c:auto val="1"/>
        <c:lblAlgn val="ctr"/>
        <c:lblOffset val="100"/>
        <c:tickLblSkip val="1"/>
        <c:tickMarkSkip val="4"/>
        <c:noMultiLvlLbl val="0"/>
      </c:catAx>
      <c:valAx>
        <c:axId val="270704000"/>
        <c:scaling>
          <c:orientation val="minMax"/>
        </c:scaling>
        <c:delete val="0"/>
        <c:axPos val="l"/>
        <c:majorGridlines/>
        <c:title>
          <c:tx>
            <c:rich>
              <a:bodyPr rot="-5400000" vert="horz" anchor="ctr" anchorCtr="1"/>
              <a:lstStyle/>
              <a:p>
                <a:pPr>
                  <a:defRPr/>
                </a:pPr>
                <a:r>
                  <a:rPr lang="en-US"/>
                  <a:t>KPI-justert erstatning (millioner kroner)</a:t>
                </a:r>
              </a:p>
            </c:rich>
          </c:tx>
          <c:layout>
            <c:manualLayout>
              <c:xMode val="edge"/>
              <c:yMode val="edge"/>
              <c:x val="1.5657612176468372E-2"/>
              <c:y val="0.13385355900279908"/>
            </c:manualLayout>
          </c:layout>
          <c:overlay val="0"/>
        </c:title>
        <c:numFmt formatCode="#,##0" sourceLinked="0"/>
        <c:majorTickMark val="out"/>
        <c:minorTickMark val="none"/>
        <c:tickLblPos val="nextTo"/>
        <c:crossAx val="270702464"/>
        <c:crosses val="autoZero"/>
        <c:crossBetween val="between"/>
      </c:valAx>
      <c:valAx>
        <c:axId val="270714368"/>
        <c:scaling>
          <c:orientation val="minMax"/>
        </c:scaling>
        <c:delete val="0"/>
        <c:axPos val="r"/>
        <c:title>
          <c:tx>
            <c:rich>
              <a:bodyPr rot="-5400000" vert="horz"/>
              <a:lstStyle/>
              <a:p>
                <a:pPr>
                  <a:defRPr/>
                </a:pPr>
                <a:r>
                  <a:rPr lang="en-US"/>
                  <a:t>Antall meldte brannskader</a:t>
                </a:r>
              </a:p>
            </c:rich>
          </c:tx>
          <c:overlay val="0"/>
        </c:title>
        <c:numFmt formatCode="#,##0" sourceLinked="1"/>
        <c:majorTickMark val="out"/>
        <c:minorTickMark val="none"/>
        <c:tickLblPos val="nextTo"/>
        <c:crossAx val="270716288"/>
        <c:crosses val="max"/>
        <c:crossBetween val="between"/>
      </c:valAx>
      <c:catAx>
        <c:axId val="270716288"/>
        <c:scaling>
          <c:orientation val="minMax"/>
        </c:scaling>
        <c:delete val="1"/>
        <c:axPos val="b"/>
        <c:numFmt formatCode="General" sourceLinked="1"/>
        <c:majorTickMark val="out"/>
        <c:minorTickMark val="none"/>
        <c:tickLblPos val="none"/>
        <c:crossAx val="270714368"/>
        <c:crosses val="autoZero"/>
        <c:auto val="0"/>
        <c:lblAlgn val="ctr"/>
        <c:lblOffset val="100"/>
        <c:noMultiLvlLbl val="0"/>
      </c:catAx>
    </c:plotArea>
    <c:legend>
      <c:legendPos val="r"/>
      <c:layout>
        <c:manualLayout>
          <c:xMode val="edge"/>
          <c:yMode val="edge"/>
          <c:x val="0.17254097125419141"/>
          <c:y val="8.1243623616814989E-2"/>
          <c:w val="0.2317650782352112"/>
          <c:h val="0.10148035666735998"/>
        </c:manualLayout>
      </c:layout>
      <c:overlay val="0"/>
    </c:legend>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304067</xdr:colOff>
      <xdr:row>18</xdr:row>
      <xdr:rowOff>58370</xdr:rowOff>
    </xdr:from>
    <xdr:to>
      <xdr:col>4</xdr:col>
      <xdr:colOff>424734</xdr:colOff>
      <xdr:row>21</xdr:row>
      <xdr:rowOff>20270</xdr:rowOff>
    </xdr:to>
    <xdr:sp macro="" textlink="">
      <xdr:nvSpPr>
        <xdr:cNvPr id="8" name="Text Box 6">
          <a:extLst>
            <a:ext uri="{FF2B5EF4-FFF2-40B4-BE49-F238E27FC236}">
              <a16:creationId xmlns:a16="http://schemas.microsoft.com/office/drawing/2014/main" id="{6C236B56-5657-47C8-989C-E211142F3FE7}"/>
            </a:ext>
          </a:extLst>
        </xdr:cNvPr>
        <xdr:cNvSpPr txBox="1"/>
      </xdr:nvSpPr>
      <xdr:spPr>
        <a:xfrm>
          <a:off x="304067" y="4281120"/>
          <a:ext cx="3486167" cy="517525"/>
        </a:xfrm>
        <a:prstGeom prst="rect">
          <a:avLst/>
        </a:prstGeom>
        <a:noFill/>
        <a:ln>
          <a:noFill/>
        </a:ln>
        <a:effectLst/>
        <a:extLst>
          <a:ext uri="{C572A759-6A51-4108-AA02-DFA0A04FC94B}">
            <ma14:wrappingTextBoxFlag xmlns:ma14="http://schemas.microsoft.com/office/mac/drawingml/2011/main" xmln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1600" b="1">
              <a:effectLst/>
              <a:latin typeface="Arial"/>
              <a:ea typeface="ＭＳ 明朝"/>
              <a:cs typeface="Times New Roman"/>
            </a:rPr>
            <a:t>4. KVARTAL 2023 </a:t>
          </a:r>
          <a:r>
            <a:rPr lang="nb-NO" sz="1000">
              <a:effectLst/>
              <a:latin typeface="Arial"/>
              <a:ea typeface="ＭＳ 明朝"/>
              <a:cs typeface="Times New Roman"/>
            </a:rPr>
            <a:t>(</a:t>
          </a:r>
          <a:r>
            <a:rPr lang="nb-NO" sz="1000">
              <a:solidFill>
                <a:schemeClr val="dk1"/>
              </a:solidFill>
              <a:effectLst/>
              <a:latin typeface="Arial"/>
              <a:ea typeface="ＭＳ 明朝"/>
              <a:cs typeface="Times New Roman"/>
            </a:rPr>
            <a:t>22. februar 2024</a:t>
          </a:r>
          <a:r>
            <a:rPr lang="nb-NO" sz="1000">
              <a:effectLst/>
              <a:latin typeface="Arial"/>
              <a:ea typeface="ＭＳ 明朝"/>
              <a:cs typeface="Times New Roman"/>
            </a:rPr>
            <a:t>)</a:t>
          </a:r>
          <a:endParaRPr lang="nb-NO" sz="1200">
            <a:effectLst/>
            <a:ea typeface="ＭＳ 明朝"/>
            <a:cs typeface="Times New Roman"/>
          </a:endParaRPr>
        </a:p>
      </xdr:txBody>
    </xdr:sp>
    <xdr:clientData/>
  </xdr:twoCellAnchor>
  <xdr:twoCellAnchor>
    <xdr:from>
      <xdr:col>0</xdr:col>
      <xdr:colOff>295275</xdr:colOff>
      <xdr:row>13</xdr:row>
      <xdr:rowOff>117231</xdr:rowOff>
    </xdr:from>
    <xdr:to>
      <xdr:col>7</xdr:col>
      <xdr:colOff>95250</xdr:colOff>
      <xdr:row>17</xdr:row>
      <xdr:rowOff>101600</xdr:rowOff>
    </xdr:to>
    <xdr:sp macro="" textlink="">
      <xdr:nvSpPr>
        <xdr:cNvPr id="9" name="Text Box 4">
          <a:extLst>
            <a:ext uri="{FF2B5EF4-FFF2-40B4-BE49-F238E27FC236}">
              <a16:creationId xmlns:a16="http://schemas.microsoft.com/office/drawing/2014/main" id="{5856D3A2-E0F3-4AD9-A702-028D7F73472C}"/>
            </a:ext>
          </a:extLst>
        </xdr:cNvPr>
        <xdr:cNvSpPr txBox="1"/>
      </xdr:nvSpPr>
      <xdr:spPr>
        <a:xfrm>
          <a:off x="295275" y="2755656"/>
          <a:ext cx="5638800" cy="1165469"/>
        </a:xfrm>
        <a:prstGeom prst="rect">
          <a:avLst/>
        </a:prstGeom>
        <a:noFill/>
        <a:ln>
          <a:noFill/>
        </a:ln>
        <a:effectLst/>
        <a:extLst>
          <a:ext uri="{C572A759-6A51-4108-AA02-DFA0A04FC94B}">
            <ma14:wrappingTextBoxFlag xmlns:ma14="http://schemas.microsoft.com/office/mac/drawingml/2011/main" xmln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nb-NO" sz="2800" b="1">
              <a:solidFill>
                <a:srgbClr val="005670"/>
              </a:solidFill>
              <a:effectLst/>
              <a:latin typeface="Arial"/>
              <a:ea typeface="ＭＳ 明朝"/>
              <a:cs typeface="Times New Roman"/>
            </a:rPr>
            <a:t>SKADESTATISTIKK	</a:t>
          </a:r>
          <a:endParaRPr lang="nb-NO" sz="1200">
            <a:solidFill>
              <a:srgbClr val="005670"/>
            </a:solidFill>
            <a:effectLst/>
            <a:ea typeface="ＭＳ 明朝"/>
            <a:cs typeface="Times New Roman"/>
          </a:endParaRPr>
        </a:p>
        <a:p>
          <a:pPr>
            <a:lnSpc>
              <a:spcPct val="120000"/>
            </a:lnSpc>
            <a:spcAft>
              <a:spcPts val="0"/>
            </a:spcAft>
          </a:pPr>
          <a:r>
            <a:rPr lang="en-GB" sz="2600">
              <a:solidFill>
                <a:srgbClr val="005670"/>
              </a:solidFill>
              <a:effectLst/>
              <a:latin typeface="Arial"/>
              <a:ea typeface="ＭＳ 明朝"/>
              <a:cs typeface="MinionPro-Regular"/>
            </a:rPr>
            <a:t>landbasert</a:t>
          </a:r>
          <a:r>
            <a:rPr lang="en-GB" sz="2600" baseline="0">
              <a:solidFill>
                <a:srgbClr val="005670"/>
              </a:solidFill>
              <a:effectLst/>
              <a:latin typeface="Arial"/>
              <a:ea typeface="ＭＳ 明朝"/>
              <a:cs typeface="MinionPro-Regular"/>
            </a:rPr>
            <a:t> skadeforsikring</a:t>
          </a:r>
          <a:r>
            <a:rPr lang="nb-NO" sz="1200">
              <a:effectLst/>
              <a:ea typeface="ＭＳ 明朝"/>
              <a:cs typeface="Times New Roman"/>
            </a:rPr>
            <a:t> </a:t>
          </a:r>
        </a:p>
      </xdr:txBody>
    </xdr:sp>
    <xdr:clientData/>
  </xdr:twoCellAnchor>
  <xdr:twoCellAnchor>
    <xdr:from>
      <xdr:col>0</xdr:col>
      <xdr:colOff>292100</xdr:colOff>
      <xdr:row>16</xdr:row>
      <xdr:rowOff>410309</xdr:rowOff>
    </xdr:from>
    <xdr:to>
      <xdr:col>6</xdr:col>
      <xdr:colOff>695353</xdr:colOff>
      <xdr:row>18</xdr:row>
      <xdr:rowOff>43961</xdr:rowOff>
    </xdr:to>
    <xdr:sp macro="" textlink="">
      <xdr:nvSpPr>
        <xdr:cNvPr id="10" name="Text Box 5">
          <a:extLst>
            <a:ext uri="{FF2B5EF4-FFF2-40B4-BE49-F238E27FC236}">
              <a16:creationId xmlns:a16="http://schemas.microsoft.com/office/drawing/2014/main" id="{C65A56DF-C6C9-4ACE-81B2-6DDF0692C997}"/>
            </a:ext>
          </a:extLst>
        </xdr:cNvPr>
        <xdr:cNvSpPr txBox="1"/>
      </xdr:nvSpPr>
      <xdr:spPr>
        <a:xfrm>
          <a:off x="292100" y="3810734"/>
          <a:ext cx="5480078" cy="471852"/>
        </a:xfrm>
        <a:prstGeom prst="rect">
          <a:avLst/>
        </a:prstGeom>
        <a:noFill/>
        <a:ln>
          <a:noFill/>
        </a:ln>
        <a:effectLst/>
        <a:extLst>
          <a:ext uri="{C572A759-6A51-4108-AA02-DFA0A04FC94B}">
            <ma14:wrappingTextBoxFlag xmlns:ma14="http://schemas.microsoft.com/office/mac/drawingml/2011/main" xmln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20000"/>
            </a:lnSpc>
            <a:spcAft>
              <a:spcPts val="0"/>
            </a:spcAft>
          </a:pPr>
          <a:r>
            <a:rPr lang="en-GB" sz="1400">
              <a:solidFill>
                <a:srgbClr val="000000"/>
              </a:solidFill>
              <a:effectLst/>
              <a:latin typeface="Arial"/>
              <a:ea typeface="ＭＳ 明朝"/>
              <a:cs typeface="MinionPro-Regular"/>
            </a:rPr>
            <a:t>Statistikk over antall meldte skader og totalt anslåtte erstatninger</a:t>
          </a:r>
        </a:p>
        <a:p>
          <a:pPr>
            <a:spcAft>
              <a:spcPts val="0"/>
            </a:spcAft>
          </a:pPr>
          <a:r>
            <a:rPr lang="nb-NO" sz="1200">
              <a:effectLst/>
              <a:ea typeface="ＭＳ 明朝"/>
              <a:cs typeface="Times New Roman"/>
            </a:rPr>
            <a:t> </a:t>
          </a:r>
        </a:p>
      </xdr:txBody>
    </xdr:sp>
    <xdr:clientData/>
  </xdr:twoCellAnchor>
  <xdr:twoCellAnchor editAs="oneCell">
    <xdr:from>
      <xdr:col>0</xdr:col>
      <xdr:colOff>281354</xdr:colOff>
      <xdr:row>5</xdr:row>
      <xdr:rowOff>14653</xdr:rowOff>
    </xdr:from>
    <xdr:to>
      <xdr:col>9</xdr:col>
      <xdr:colOff>591039</xdr:colOff>
      <xdr:row>12</xdr:row>
      <xdr:rowOff>222182</xdr:rowOff>
    </xdr:to>
    <xdr:pic>
      <xdr:nvPicPr>
        <xdr:cNvPr id="11" name="Bilde 7">
          <a:extLst>
            <a:ext uri="{FF2B5EF4-FFF2-40B4-BE49-F238E27FC236}">
              <a16:creationId xmlns:a16="http://schemas.microsoft.com/office/drawing/2014/main" id="{35ED7BBA-853A-4832-B8DE-6AEB5DF8F3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354" y="824278"/>
          <a:ext cx="7805860" cy="1788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109</xdr:row>
      <xdr:rowOff>7908</xdr:rowOff>
    </xdr:from>
    <xdr:to>
      <xdr:col>7</xdr:col>
      <xdr:colOff>342900</xdr:colOff>
      <xdr:row>120</xdr:row>
      <xdr:rowOff>95249</xdr:rowOff>
    </xdr:to>
    <xdr:sp macro="" textlink="">
      <xdr:nvSpPr>
        <xdr:cNvPr id="3310" name="Text Box 4">
          <a:extLst>
            <a:ext uri="{FF2B5EF4-FFF2-40B4-BE49-F238E27FC236}">
              <a16:creationId xmlns:a16="http://schemas.microsoft.com/office/drawing/2014/main" id="{00000000-0008-0000-0100-0000EE0C0000}"/>
            </a:ext>
          </a:extLst>
        </xdr:cNvPr>
        <xdr:cNvSpPr txBox="1">
          <a:spLocks noChangeArrowheads="1"/>
        </xdr:cNvSpPr>
      </xdr:nvSpPr>
      <xdr:spPr bwMode="auto">
        <a:xfrm>
          <a:off x="3552825" y="17657733"/>
          <a:ext cx="2524125" cy="1868516"/>
        </a:xfrm>
        <a:prstGeom prst="rect">
          <a:avLst/>
        </a:prstGeom>
        <a:solidFill>
          <a:srgbClr val="FFFFFF"/>
        </a:solidFill>
        <a:ln w="9525">
          <a:noFill/>
          <a:miter lim="800000"/>
          <a:headEnd/>
          <a:tailEnd/>
        </a:ln>
      </xdr:spPr>
      <xdr:txBody>
        <a:bodyPr/>
        <a:lstStyle/>
        <a:p>
          <a:endParaRPr lang="nb-NO" sz="1100" b="0" i="0" baseline="0">
            <a:solidFill>
              <a:schemeClr val="dk1"/>
            </a:solidFill>
            <a:latin typeface="Times New Roman" pitchFamily="18" charset="0"/>
            <a:ea typeface="+mn-ea"/>
            <a:cs typeface="Times New Roman"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23811</xdr:colOff>
      <xdr:row>2</xdr:row>
      <xdr:rowOff>11907</xdr:rowOff>
    </xdr:from>
    <xdr:to>
      <xdr:col>6</xdr:col>
      <xdr:colOff>506014</xdr:colOff>
      <xdr:row>46</xdr:row>
      <xdr:rowOff>178594</xdr:rowOff>
    </xdr:to>
    <xdr:sp macro="" textlink="">
      <xdr:nvSpPr>
        <xdr:cNvPr id="5121" name="Text Box 1">
          <a:extLst>
            <a:ext uri="{FF2B5EF4-FFF2-40B4-BE49-F238E27FC236}">
              <a16:creationId xmlns:a16="http://schemas.microsoft.com/office/drawing/2014/main" id="{00000000-0008-0000-0200-000001140000}"/>
            </a:ext>
          </a:extLst>
        </xdr:cNvPr>
        <xdr:cNvSpPr txBox="1">
          <a:spLocks noChangeArrowheads="1"/>
        </xdr:cNvSpPr>
      </xdr:nvSpPr>
      <xdr:spPr bwMode="auto">
        <a:xfrm>
          <a:off x="23811" y="279798"/>
          <a:ext cx="5411391" cy="8435577"/>
        </a:xfrm>
        <a:prstGeom prst="rect">
          <a:avLst/>
        </a:prstGeom>
        <a:solidFill>
          <a:srgbClr val="FFFFFF"/>
        </a:solidFill>
        <a:ln w="9525">
          <a:noFill/>
          <a:miter lim="800000"/>
          <a:headEnd/>
          <a:tailEnd/>
        </a:ln>
      </xdr:spPr>
      <xdr:txBody>
        <a:bodyPr vertOverflow="clip" wrap="square" lIns="27432" tIns="27432" rIns="0" bIns="0" anchor="t" upright="1"/>
        <a:lstStyle/>
        <a:p>
          <a:pPr rtl="0"/>
          <a:r>
            <a:rPr lang="nb-NO" sz="900" b="1" i="0" baseline="0">
              <a:effectLst/>
              <a:latin typeface="Times New Roman" panose="02020603050405020304" pitchFamily="18" charset="0"/>
              <a:ea typeface="+mn-ea"/>
              <a:cs typeface="Times New Roman" panose="02020603050405020304" pitchFamily="18" charset="0"/>
            </a:rPr>
            <a:t>HOVEDTREKK – vanskelige kjøreforhold 1. og 4.kvartal, ekstremvær i august og frost i desember  </a:t>
          </a:r>
          <a:endParaRPr lang="nb-NO" sz="900">
            <a:effectLst/>
            <a:latin typeface="Times New Roman" panose="02020603050405020304" pitchFamily="18" charset="0"/>
            <a:cs typeface="Times New Roman" panose="02020603050405020304" pitchFamily="18" charset="0"/>
          </a:endParaRPr>
        </a:p>
        <a:p>
          <a:pPr rtl="0"/>
          <a:r>
            <a:rPr lang="nb-NO" sz="900" b="0" i="1" baseline="0">
              <a:effectLst/>
              <a:latin typeface="Times New Roman" panose="02020603050405020304" pitchFamily="18" charset="0"/>
              <a:ea typeface="+mn-ea"/>
              <a:cs typeface="Times New Roman" panose="02020603050405020304" pitchFamily="18" charset="0"/>
            </a:rPr>
            <a:t>Merk at korona-begrensninger gjaldt mye av 2021, mens de utover i 2022 ble lempet på. I 2023 var det ingen koronarestriksjoner, men andre eksterne faktorer kan innvirke på skadeutviklingen, slik som svak kronekurs og økte renter og generell prisstigning. Strømprisene i 2023 var noe gunstigere enn i 2022. </a:t>
          </a:r>
        </a:p>
        <a:p>
          <a:pPr rtl="0"/>
          <a:r>
            <a:rPr lang="nb-NO" sz="900" b="0" i="0" baseline="0">
              <a:effectLst/>
              <a:latin typeface="Times New Roman" panose="02020603050405020304" pitchFamily="18" charset="0"/>
              <a:ea typeface="+mn-ea"/>
              <a:cs typeface="Times New Roman" panose="02020603050405020304" pitchFamily="18" charset="0"/>
            </a:rPr>
            <a:t>Erstatningene for landbasert forsikring hittil i år ble på 62,3 mrd.kr, mot 51,7 mrd. i 2022; en økning på 10,6 mrd.kr. Økningen fra 2022 skyldes stor erstatningsvekst på motor med rundt 3,6 mrd.kr, på bygning-/innbo-skader privat med 2,8 mrd.kr, og bygningsskader næring som økte med 2,6 mrd.kr. Økningen på bygning skyldes i stor grad vannskader som har trengt inn i bygningene etter ekstremværet «Hans» i august 2023, og en del frostskader på slutten av året. I august 2023 var det 4 ganger så mye vannskadeerstatninger som en normal august-måned (snitt 2008-2023). Totale vannskader på bygning og løsøre i 2023 er på 7,7 mrd.kr som er en økning på nesten 2,4 milliarder fra 2022. På motor skyldes økningen mye vanskelig kjøreforhold både i starten og slutten av 2023.  </a:t>
          </a:r>
        </a:p>
        <a:p>
          <a:pPr rtl="0"/>
          <a:r>
            <a:rPr lang="nb-NO" sz="500" b="0" i="0" baseline="0">
              <a:effectLst/>
              <a:latin typeface="Times New Roman" panose="02020603050405020304" pitchFamily="18" charset="0"/>
              <a:ea typeface="+mn-ea"/>
              <a:cs typeface="Times New Roman" panose="02020603050405020304" pitchFamily="18" charset="0"/>
            </a:rPr>
            <a:t> </a:t>
          </a:r>
          <a:endParaRPr lang="nb-NO" sz="500">
            <a:effectLst/>
            <a:latin typeface="Times New Roman" panose="02020603050405020304" pitchFamily="18" charset="0"/>
            <a:cs typeface="Times New Roman" panose="02020603050405020304" pitchFamily="18" charset="0"/>
          </a:endParaRPr>
        </a:p>
        <a:p>
          <a:pPr rtl="0"/>
          <a:r>
            <a:rPr lang="nb-NO" sz="900" b="1" i="0" baseline="0">
              <a:effectLst/>
              <a:latin typeface="Times New Roman" panose="02020603050405020304" pitchFamily="18" charset="0"/>
              <a:ea typeface="+mn-ea"/>
              <a:cs typeface="Times New Roman" panose="02020603050405020304" pitchFamily="18" charset="0"/>
            </a:rPr>
            <a:t>Motor – glatt føre i begynnelsen og slutten av året ga mange kollisjoner og personskader </a:t>
          </a:r>
        </a:p>
        <a:p>
          <a:pPr rtl="0"/>
          <a:r>
            <a:rPr lang="nb-NO" sz="900" b="0" i="0" baseline="0">
              <a:effectLst/>
              <a:latin typeface="Times New Roman" panose="02020603050405020304" pitchFamily="18" charset="0"/>
              <a:ea typeface="+mn-ea"/>
              <a:cs typeface="Times New Roman" panose="02020603050405020304" pitchFamily="18" charset="0"/>
            </a:rPr>
            <a:t>På motorkjøretøy samlet er det økning i antall meldte skader fra 2022 på ca. 8%, og hvor antall kaskoskader økte med ca. 11% og personskadene økte med ca. 16%. Erstatningene i 2023 er på drøye 22 mrd.kr som er en økning på ca. 19% fra 2022. Mye av økningen i ansvar og kasko har sammenheng med krevende kjøreforhold – både i 1.kvartal i fjor og i 4.kvartal. Men noe av økningen i kaskoskader kan skyldes en del skader etter ekstremnedbør i august.</a:t>
          </a:r>
        </a:p>
        <a:p>
          <a:pPr rtl="0"/>
          <a:r>
            <a:rPr lang="nb-NO" sz="900" b="0" i="0" baseline="0">
              <a:effectLst/>
              <a:latin typeface="Times New Roman" panose="02020603050405020304" pitchFamily="18" charset="0"/>
              <a:ea typeface="+mn-ea"/>
              <a:cs typeface="Times New Roman" panose="02020603050405020304" pitchFamily="18" charset="0"/>
            </a:rPr>
            <a:t>Erstatning etter tyveri fra kjøretøy, økte med hele 57% fra 2022, mens antallet ‘bare’ økte med 17%. I 2023 er det erstatning etter tyveri fra kjøretøy for nesten 197 mill.kr mot 125 mill.kr i 2022. Erstatning av glasskader på motorkjøretøy passerte 2 mrd.kr i 2023, med en økning på nesten 20% fra 2022. Antall glasskader økte med 13% fra 2022.    </a:t>
          </a:r>
        </a:p>
        <a:p>
          <a:pPr rtl="0"/>
          <a:r>
            <a:rPr lang="nb-NO" sz="500" b="0" i="0" baseline="0">
              <a:effectLst/>
              <a:latin typeface="Times New Roman" panose="02020603050405020304" pitchFamily="18" charset="0"/>
              <a:ea typeface="+mn-ea"/>
              <a:cs typeface="Times New Roman" panose="02020603050405020304" pitchFamily="18" charset="0"/>
            </a:rPr>
            <a:t> </a:t>
          </a:r>
          <a:endParaRPr lang="nb-NO" sz="500">
            <a:effectLst/>
            <a:latin typeface="Times New Roman" panose="02020603050405020304" pitchFamily="18" charset="0"/>
            <a:cs typeface="Times New Roman" panose="02020603050405020304" pitchFamily="18" charset="0"/>
          </a:endParaRPr>
        </a:p>
        <a:p>
          <a:pPr rtl="0"/>
          <a:r>
            <a:rPr lang="nb-NO" sz="900" b="1" i="0" baseline="0">
              <a:effectLst/>
              <a:latin typeface="Times New Roman" panose="02020603050405020304" pitchFamily="18" charset="0"/>
              <a:ea typeface="+mn-ea"/>
              <a:cs typeface="Times New Roman" panose="02020603050405020304" pitchFamily="18" charset="0"/>
            </a:rPr>
            <a:t>Hus, hjem, hytte – mye vannskader etter ekstremvær i august og frost i slutten av året</a:t>
          </a:r>
        </a:p>
        <a:p>
          <a:pPr rtl="0"/>
          <a:r>
            <a:rPr lang="nb-NO" sz="900" b="0" i="0" baseline="0">
              <a:effectLst/>
              <a:latin typeface="Times New Roman" panose="02020603050405020304" pitchFamily="18" charset="0"/>
              <a:ea typeface="+mn-ea"/>
              <a:cs typeface="Times New Roman" panose="02020603050405020304" pitchFamily="18" charset="0"/>
            </a:rPr>
            <a:t>Erstatninger på private bygninger og innbo i 2023 er på 12,6 mrd.kr, hvor brannskadene utgjør 3,5 mrd.kr (8% høyere enn i 2022), mens vannskadene økte med hele 51% og endte på 5,1 mrd.kr. I 2022 var det en mer gunstig/mild vinter, mens det i 2023 var frost og mye snø; snøsmeltingen ga også økte overvannskader. Men det er særlig augustnedbøren i form av «Hans» og helgen 26.-27.august på østlandsområdet, som ga mye overvannsskader.</a:t>
          </a:r>
        </a:p>
        <a:p>
          <a:pPr rtl="0"/>
          <a:r>
            <a:rPr lang="nb-NO" sz="900" b="0" i="0" baseline="0">
              <a:effectLst/>
              <a:latin typeface="Times New Roman" panose="02020603050405020304" pitchFamily="18" charset="0"/>
              <a:ea typeface="+mn-ea"/>
              <a:cs typeface="Times New Roman" panose="02020603050405020304" pitchFamily="18" charset="0"/>
            </a:rPr>
            <a:t>Antall skader etter tyveri/innbrudd økte gjennom 2022 etter et foreløpig bunnår i 2021; i 2021 var det koronatiltak i form av blant annet nedstengte grenser, noe som opphørte gjennom 2022. Det er nesten 2% økning i antall og 15% i erstatning fra 2022 til 2023. Og det er stadig dyrere objekter som stjeles; i gjennomsnitt kostet et villainnbrudd 24.000 kr, et hytteinnbrudd 42.000 kr, og fra innbo/hjem er det rundt 12.000 kr.   </a:t>
          </a:r>
        </a:p>
        <a:p>
          <a:pPr rtl="0"/>
          <a:r>
            <a:rPr lang="nb-NO" sz="900" b="0" i="0" baseline="0">
              <a:effectLst/>
              <a:latin typeface="Times New Roman" panose="02020603050405020304" pitchFamily="18" charset="0"/>
              <a:ea typeface="+mn-ea"/>
              <a:cs typeface="Times New Roman" panose="02020603050405020304" pitchFamily="18" charset="0"/>
            </a:rPr>
            <a:t> </a:t>
          </a:r>
          <a:endParaRPr lang="nb-NO" sz="900">
            <a:effectLst/>
            <a:latin typeface="Times New Roman" panose="02020603050405020304" pitchFamily="18" charset="0"/>
            <a:cs typeface="Times New Roman" panose="02020603050405020304" pitchFamily="18" charset="0"/>
          </a:endParaRPr>
        </a:p>
        <a:p>
          <a:pPr rtl="0"/>
          <a:r>
            <a:rPr lang="nb-NO" sz="900" b="1" i="0" baseline="0">
              <a:effectLst/>
              <a:latin typeface="Times New Roman" panose="02020603050405020304" pitchFamily="18" charset="0"/>
              <a:ea typeface="+mn-ea"/>
              <a:cs typeface="Times New Roman" panose="02020603050405020304" pitchFamily="18" charset="0"/>
            </a:rPr>
            <a:t>Næringsbygg og landbruk – økte vannskader i august og frostskader i desember </a:t>
          </a:r>
        </a:p>
        <a:p>
          <a:pPr rtl="0"/>
          <a:r>
            <a:rPr lang="nb-NO" sz="900" b="0" i="0" baseline="0">
              <a:effectLst/>
              <a:latin typeface="Times New Roman" panose="02020603050405020304" pitchFamily="18" charset="0"/>
              <a:ea typeface="+mn-ea"/>
              <a:cs typeface="Times New Roman" panose="02020603050405020304" pitchFamily="18" charset="0"/>
            </a:rPr>
            <a:t>På næring er erstatningene på bygg, maskiner og løsøre på 9,8 mrd.kr i 2023, som er en økning på 36% fra 2022, det skyldes bl.a. følgeskader (avbrudd) etter «Hans» og avbruddstap etter steinskredet i Halden i april i år. Vannskadeerstatningene økte med 33% fra 2022 og er på 2,6 mrd.kr. Også her er augustnedbøren utslagsgivende i form av overvannsskader. Erstatning etter brann ble redusert med 5% fra 2022 til 2023, men i 2022 var det spesielt mange store branner; i 2023 ble brannerstatningene på 3,5 mrd.kr, mens de var 3,7 mrd.kr i 2022. I perioden 2019-2021 var det årlig brannerstatning for rundt 2,6 mrd.kr. Tyveri og innbrudd øker også ofr næringsbygg; det ble meldt 15% flere enn i 2022 og erstatningene økte med 43%. Høye egenandeler og gode sikringstiltak gjør antakelig mye for at det er færre forsikringsmeldte tyveri-/innbrudds-skader på næring enn fra private boliger. På næring er det erstatning etter tyveri/innbrudd for 231 mill.kr i 2023, mot 541 mill.kr fra private boliger.   </a:t>
          </a:r>
        </a:p>
        <a:p>
          <a:pPr rtl="0"/>
          <a:r>
            <a:rPr lang="nb-NO" sz="500" b="0" i="0" baseline="0">
              <a:effectLst/>
              <a:latin typeface="Times New Roman" panose="02020603050405020304" pitchFamily="18" charset="0"/>
              <a:ea typeface="+mn-ea"/>
              <a:cs typeface="Times New Roman" panose="02020603050405020304" pitchFamily="18" charset="0"/>
            </a:rPr>
            <a:t> </a:t>
          </a:r>
          <a:endParaRPr lang="nb-NO" sz="500">
            <a:effectLst/>
            <a:latin typeface="Times New Roman" panose="02020603050405020304" pitchFamily="18" charset="0"/>
            <a:cs typeface="Times New Roman" panose="02020603050405020304" pitchFamily="18" charset="0"/>
          </a:endParaRPr>
        </a:p>
        <a:p>
          <a:pPr rtl="0"/>
          <a:r>
            <a:rPr lang="nb-NO" sz="900" b="1" i="0" baseline="0">
              <a:effectLst/>
              <a:latin typeface="Times New Roman" panose="02020603050405020304" pitchFamily="18" charset="0"/>
              <a:ea typeface="+mn-ea"/>
              <a:cs typeface="Times New Roman" panose="02020603050405020304" pitchFamily="18" charset="0"/>
            </a:rPr>
            <a:t>Reise – flere reiseskader enn i 2019 – har dyrtid i 2023 innvirket på reisemønsteret?</a:t>
          </a:r>
        </a:p>
        <a:p>
          <a:pPr rtl="0"/>
          <a:r>
            <a:rPr lang="nb-NO" sz="900" b="0" i="0" baseline="0">
              <a:effectLst/>
              <a:latin typeface="Times New Roman" panose="02020603050405020304" pitchFamily="18" charset="0"/>
              <a:ea typeface="+mn-ea"/>
              <a:cs typeface="Times New Roman" panose="02020603050405020304" pitchFamily="18" charset="0"/>
            </a:rPr>
            <a:t>I starten av 2022 var det fortsatt noe effekt av koronatiltak. For 2023 er antall meldte reiseskader godt over 2019-nivå med en økning på 10%; reisesykdom økte med 3% fra 2019. Det tok kanskje litt tid før eldre dro på utenlandsreise igjen etter korona-tiden, noe som kan gjenspeiles i skadebildet. Kronekursen har vært ugunstig i 2023, slik at det også innvirker på erstatningskostnaden. I 2023 er det erstatninger på 2,6 mrd.kr som er en økning på 24% fra 2022; hvor erstatning etter reisesyke økte mest med 56%. I 2022 økte særlig tyveriskadene, men gjennom 2023 ser det ut til å ha stabilisert seg og de er nå 4% færre enn i 2022 (som igjen kan ha sammenheng med hvilke grupper som reiser – kanskje noe færre ungdommer). </a:t>
          </a:r>
        </a:p>
        <a:p>
          <a:pPr rtl="0"/>
          <a:r>
            <a:rPr lang="nb-NO" sz="500" b="0" i="0" baseline="0">
              <a:effectLst/>
              <a:latin typeface="Times New Roman" panose="02020603050405020304" pitchFamily="18" charset="0"/>
              <a:ea typeface="+mn-ea"/>
              <a:cs typeface="Times New Roman" panose="02020603050405020304" pitchFamily="18" charset="0"/>
            </a:rPr>
            <a:t> </a:t>
          </a:r>
          <a:endParaRPr lang="nb-NO" sz="500">
            <a:effectLst/>
            <a:latin typeface="Times New Roman" panose="02020603050405020304" pitchFamily="18" charset="0"/>
            <a:cs typeface="Times New Roman" panose="02020603050405020304" pitchFamily="18" charset="0"/>
          </a:endParaRPr>
        </a:p>
        <a:p>
          <a:pPr rtl="0"/>
          <a:r>
            <a:rPr lang="nb-NO" sz="900" b="1" i="0" baseline="0">
              <a:effectLst/>
              <a:latin typeface="Times New Roman" panose="02020603050405020304" pitchFamily="18" charset="0"/>
              <a:ea typeface="+mn-ea"/>
              <a:cs typeface="Times New Roman" panose="02020603050405020304" pitchFamily="18" charset="0"/>
            </a:rPr>
            <a:t>Fritidsbåt – varmt og tørt vær i juni 2023, dårlig vær i juli og august </a:t>
          </a:r>
        </a:p>
        <a:p>
          <a:pPr rtl="0"/>
          <a:r>
            <a:rPr lang="nb-NO" sz="900" b="0" i="0" baseline="0">
              <a:effectLst/>
              <a:latin typeface="Times New Roman" panose="02020603050405020304" pitchFamily="18" charset="0"/>
              <a:ea typeface="+mn-ea"/>
              <a:cs typeface="Times New Roman" panose="02020603050405020304" pitchFamily="18" charset="0"/>
            </a:rPr>
            <a:t>Båtskadene varierer med sesong og det var svært gunstig vær i juni 2023 i Sør-Norge. Mens juli og august var mer mistrøstig, særlig i sør. I 2023 ble det meldt 6% flere båtskader og 10% mer i erstatning enn i 2022. Det er økning på tyverierstatning med nesten 27%; men tyverierstatning utgjør bare 89 mill.kr av totalt 662 mill.kr i år. Havari og andre typer båtskader utgjør 531 mill.kr, mot 482 mill.kr i fjor. Uvær i juli og august kan ha forårsaket en del skader på båter, selv om de ikke ble brukt på sjøen. Dyrere reparasjonskostnad kan også innvirke. </a:t>
          </a:r>
        </a:p>
        <a:p>
          <a:pPr rtl="0"/>
          <a:r>
            <a:rPr lang="nb-NO" sz="900" b="0" i="0" baseline="0">
              <a:effectLst/>
              <a:latin typeface="Times New Roman" panose="02020603050405020304" pitchFamily="18" charset="0"/>
              <a:ea typeface="+mn-ea"/>
              <a:cs typeface="Times New Roman" panose="02020603050405020304" pitchFamily="18" charset="0"/>
            </a:rPr>
            <a:t> </a:t>
          </a:r>
          <a:endParaRPr lang="nb-NO" sz="500">
            <a:effectLst/>
            <a:latin typeface="Times New Roman" panose="02020603050405020304" pitchFamily="18" charset="0"/>
            <a:cs typeface="Times New Roman" panose="02020603050405020304" pitchFamily="18" charset="0"/>
          </a:endParaRPr>
        </a:p>
        <a:p>
          <a:pPr rtl="0"/>
          <a:r>
            <a:rPr lang="nb-NO" sz="900" b="1" i="0" baseline="0">
              <a:effectLst/>
              <a:latin typeface="Times New Roman" panose="02020603050405020304" pitchFamily="18" charset="0"/>
              <a:ea typeface="+mn-ea"/>
              <a:cs typeface="Times New Roman" panose="02020603050405020304" pitchFamily="18" charset="0"/>
            </a:rPr>
            <a:t>Behandlingsforsikring – økt bruk/behov som følge av hjemmekontor?</a:t>
          </a:r>
          <a:endParaRPr lang="nb-NO" sz="900">
            <a:effectLst/>
            <a:latin typeface="Times New Roman" panose="02020603050405020304" pitchFamily="18" charset="0"/>
            <a:cs typeface="Times New Roman" panose="02020603050405020304" pitchFamily="18" charset="0"/>
          </a:endParaRPr>
        </a:p>
        <a:p>
          <a:pPr rtl="0"/>
          <a:r>
            <a:rPr lang="nb-NO" sz="900" b="0" i="0" baseline="0">
              <a:effectLst/>
              <a:latin typeface="Times New Roman" panose="02020603050405020304" pitchFamily="18" charset="0"/>
              <a:ea typeface="+mn-ea"/>
              <a:cs typeface="Times New Roman" panose="02020603050405020304" pitchFamily="18" charset="0"/>
            </a:rPr>
            <a:t>Behandlingsforsikring har økende portefølje, så dermed øker naturlig nok bruken. Antall saker har økt med 19% fra 2022; en del mer enn porteføljeveksten som var på 9%. Det er stor økning i bruk av psykologtjenester som kan ha sammenheng med at flere har dette inkludert i forsikringsavtalen. Hovedposten av totale erstatninger på 2,4 mrd.kr i 2023, er spesialist/diagnostikk med 717 mill.kr og operasjoner med 715 mill.kr. Men det er også sterk vekst i både bruk (+24%) og kostnad til fysioterapi/kiropraktikk, 511 mill.kr i 2023 som er økning på nesten 31% fra 2022.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27214</xdr:colOff>
      <xdr:row>6</xdr:row>
      <xdr:rowOff>201386</xdr:rowOff>
    </xdr:from>
    <xdr:to>
      <xdr:col>22</xdr:col>
      <xdr:colOff>57151</xdr:colOff>
      <xdr:row>30</xdr:row>
      <xdr:rowOff>76201</xdr:rowOff>
    </xdr:to>
    <xdr:graphicFrame macro="">
      <xdr:nvGraphicFramePr>
        <xdr:cNvPr id="1953" name="Chart 1">
          <a:extLst>
            <a:ext uri="{FF2B5EF4-FFF2-40B4-BE49-F238E27FC236}">
              <a16:creationId xmlns:a16="http://schemas.microsoft.com/office/drawing/2014/main" id="{00000000-0008-0000-03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639535</xdr:colOff>
      <xdr:row>33</xdr:row>
      <xdr:rowOff>136071</xdr:rowOff>
    </xdr:from>
    <xdr:to>
      <xdr:col>21</xdr:col>
      <xdr:colOff>951139</xdr:colOff>
      <xdr:row>56</xdr:row>
      <xdr:rowOff>1361</xdr:rowOff>
    </xdr:to>
    <xdr:graphicFrame macro="">
      <xdr:nvGraphicFramePr>
        <xdr:cNvPr id="1954" name="Chart 2">
          <a:extLst>
            <a:ext uri="{FF2B5EF4-FFF2-40B4-BE49-F238E27FC236}">
              <a16:creationId xmlns:a16="http://schemas.microsoft.com/office/drawing/2014/main" id="{00000000-0008-0000-03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63501</xdr:colOff>
      <xdr:row>6</xdr:row>
      <xdr:rowOff>127000</xdr:rowOff>
    </xdr:from>
    <xdr:to>
      <xdr:col>14</xdr:col>
      <xdr:colOff>609600</xdr:colOff>
      <xdr:row>28</xdr:row>
      <xdr:rowOff>127000</xdr:rowOff>
    </xdr:to>
    <xdr:graphicFrame macro="">
      <xdr:nvGraphicFramePr>
        <xdr:cNvPr id="1956" name="Chart 4">
          <a:extLst>
            <a:ext uri="{FF2B5EF4-FFF2-40B4-BE49-F238E27FC236}">
              <a16:creationId xmlns:a16="http://schemas.microsoft.com/office/drawing/2014/main" id="{00000000-0008-0000-0300-0000A4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54430</xdr:colOff>
      <xdr:row>7</xdr:row>
      <xdr:rowOff>40821</xdr:rowOff>
    </xdr:from>
    <xdr:to>
      <xdr:col>29</xdr:col>
      <xdr:colOff>6805</xdr:colOff>
      <xdr:row>26</xdr:row>
      <xdr:rowOff>1360</xdr:rowOff>
    </xdr:to>
    <xdr:graphicFrame macro="">
      <xdr:nvGraphicFramePr>
        <xdr:cNvPr id="1957" name="Chart 5">
          <a:extLst>
            <a:ext uri="{FF2B5EF4-FFF2-40B4-BE49-F238E27FC236}">
              <a16:creationId xmlns:a16="http://schemas.microsoft.com/office/drawing/2014/main" id="{00000000-0008-0000-0300-0000A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27215</xdr:colOff>
      <xdr:row>34</xdr:row>
      <xdr:rowOff>0</xdr:rowOff>
    </xdr:from>
    <xdr:to>
      <xdr:col>29</xdr:col>
      <xdr:colOff>55790</xdr:colOff>
      <xdr:row>56</xdr:row>
      <xdr:rowOff>47625</xdr:rowOff>
    </xdr:to>
    <xdr:graphicFrame macro="">
      <xdr:nvGraphicFramePr>
        <xdr:cNvPr id="1958" name="Chart 6">
          <a:extLst>
            <a:ext uri="{FF2B5EF4-FFF2-40B4-BE49-F238E27FC236}">
              <a16:creationId xmlns:a16="http://schemas.microsoft.com/office/drawing/2014/main" id="{00000000-0008-0000-0300-0000A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95250</xdr:colOff>
      <xdr:row>7</xdr:row>
      <xdr:rowOff>40821</xdr:rowOff>
    </xdr:from>
    <xdr:to>
      <xdr:col>7</xdr:col>
      <xdr:colOff>168729</xdr:colOff>
      <xdr:row>29</xdr:row>
      <xdr:rowOff>29935</xdr:rowOff>
    </xdr:to>
    <xdr:graphicFrame macro="">
      <xdr:nvGraphicFramePr>
        <xdr:cNvPr id="1959" name="Chart 7">
          <a:extLst>
            <a:ext uri="{FF2B5EF4-FFF2-40B4-BE49-F238E27FC236}">
              <a16:creationId xmlns:a16="http://schemas.microsoft.com/office/drawing/2014/main" id="{00000000-0008-0000-0300-0000A7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16328</xdr:rowOff>
    </xdr:from>
    <xdr:to>
      <xdr:col>7</xdr:col>
      <xdr:colOff>92529</xdr:colOff>
      <xdr:row>58</xdr:row>
      <xdr:rowOff>122464</xdr:rowOff>
    </xdr:to>
    <xdr:graphicFrame macro="">
      <xdr:nvGraphicFramePr>
        <xdr:cNvPr id="1960" name="Chart 8">
          <a:extLst>
            <a:ext uri="{FF2B5EF4-FFF2-40B4-BE49-F238E27FC236}">
              <a16:creationId xmlns:a16="http://schemas.microsoft.com/office/drawing/2014/main" id="{00000000-0008-0000-0300-0000A8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38100</xdr:colOff>
      <xdr:row>32</xdr:row>
      <xdr:rowOff>127000</xdr:rowOff>
    </xdr:from>
    <xdr:to>
      <xdr:col>15</xdr:col>
      <xdr:colOff>12700</xdr:colOff>
      <xdr:row>55</xdr:row>
      <xdr:rowOff>152400</xdr:rowOff>
    </xdr:to>
    <xdr:graphicFrame macro="">
      <xdr:nvGraphicFramePr>
        <xdr:cNvPr id="10" name="Chart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29</xdr:col>
      <xdr:colOff>0</xdr:colOff>
      <xdr:row>7</xdr:row>
      <xdr:rowOff>0</xdr:rowOff>
    </xdr:from>
    <xdr:to>
      <xdr:col>35</xdr:col>
      <xdr:colOff>736600</xdr:colOff>
      <xdr:row>29</xdr:row>
      <xdr:rowOff>71438</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29</xdr:col>
      <xdr:colOff>0</xdr:colOff>
      <xdr:row>34</xdr:row>
      <xdr:rowOff>0</xdr:rowOff>
    </xdr:from>
    <xdr:to>
      <xdr:col>35</xdr:col>
      <xdr:colOff>736600</xdr:colOff>
      <xdr:row>56</xdr:row>
      <xdr:rowOff>47625</xdr:rowOff>
    </xdr:to>
    <xdr:graphicFrame macro="">
      <xdr:nvGraphicFramePr>
        <xdr:cNvPr id="15" name="Chart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104775</xdr:rowOff>
    </xdr:from>
    <xdr:to>
      <xdr:col>2</xdr:col>
      <xdr:colOff>381000</xdr:colOff>
      <xdr:row>51</xdr:row>
      <xdr:rowOff>0</xdr:rowOff>
    </xdr:to>
    <xdr:sp macro="" textlink="">
      <xdr:nvSpPr>
        <xdr:cNvPr id="6145" name="Text Box 1">
          <a:extLst>
            <a:ext uri="{FF2B5EF4-FFF2-40B4-BE49-F238E27FC236}">
              <a16:creationId xmlns:a16="http://schemas.microsoft.com/office/drawing/2014/main" id="{00000000-0008-0000-1600-000001180000}"/>
            </a:ext>
          </a:extLst>
        </xdr:cNvPr>
        <xdr:cNvSpPr txBox="1">
          <a:spLocks noChangeArrowheads="1"/>
        </xdr:cNvSpPr>
      </xdr:nvSpPr>
      <xdr:spPr bwMode="auto">
        <a:xfrm>
          <a:off x="0" y="612775"/>
          <a:ext cx="2889250" cy="95472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200" b="1" i="0" strike="noStrike">
              <a:solidFill>
                <a:srgbClr val="000000"/>
              </a:solidFill>
              <a:latin typeface="Times New Roman"/>
              <a:cs typeface="Times New Roman"/>
            </a:rPr>
            <a:t>Formål</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Hovedformålet med statistikken er å skaffe en oversikt over utviklingen av antall skader og erstatningsnivå over tid innen de forskjellige bransjene i landbasert skadeforsikring, fordelt på skadetyper. </a:t>
          </a:r>
        </a:p>
        <a:p>
          <a:pPr algn="l" rtl="0">
            <a:defRPr sz="1000"/>
          </a:pPr>
          <a:endParaRPr lang="en-US" sz="1200" b="0" i="0" strike="noStrike">
            <a:solidFill>
              <a:srgbClr val="000000"/>
            </a:solidFill>
            <a:latin typeface="Times New Roman"/>
            <a:cs typeface="Times New Roman"/>
          </a:endParaRPr>
        </a:p>
        <a:p>
          <a:pPr algn="l" rtl="0">
            <a:defRPr sz="1000"/>
          </a:pPr>
          <a:r>
            <a:rPr lang="en-US" sz="1200" b="1" i="0" strike="noStrike">
              <a:solidFill>
                <a:srgbClr val="000000"/>
              </a:solidFill>
              <a:latin typeface="Times New Roman"/>
              <a:cs typeface="Times New Roman"/>
            </a:rPr>
            <a:t>Datagrunnlag</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Følgende selskaper inngår i statistikken:</a:t>
          </a:r>
        </a:p>
        <a:p>
          <a:pPr algn="l" rtl="0">
            <a:defRPr sz="1000"/>
          </a:pPr>
          <a:r>
            <a:rPr lang="en-US" sz="1050" b="0" i="0" strike="noStrike">
              <a:solidFill>
                <a:srgbClr val="000000"/>
              </a:solidFill>
              <a:latin typeface="Times New Roman" pitchFamily="18" charset="0"/>
              <a:ea typeface="+mn-ea"/>
              <a:cs typeface="Times New Roman" pitchFamily="18" charset="0"/>
            </a:rPr>
            <a:t>   Codan Forsikring</a:t>
          </a:r>
        </a:p>
        <a:p>
          <a:pPr algn="l" rtl="0">
            <a:defRPr sz="1000"/>
          </a:pPr>
          <a:r>
            <a:rPr lang="en-US" sz="1050" b="0" i="0" strike="noStrike">
              <a:solidFill>
                <a:srgbClr val="000000"/>
              </a:solidFill>
              <a:latin typeface="Times New Roman" pitchFamily="18" charset="0"/>
              <a:ea typeface="+mn-ea"/>
              <a:cs typeface="Times New Roman" pitchFamily="18" charset="0"/>
            </a:rPr>
            <a:t>   Danica Pensjonsforsikring        </a:t>
          </a:r>
        </a:p>
        <a:p>
          <a:pPr algn="l" rtl="0">
            <a:defRPr sz="1000"/>
          </a:pPr>
          <a:r>
            <a:rPr lang="en-US" sz="1050" b="0" i="0" strike="noStrike">
              <a:solidFill>
                <a:srgbClr val="000000"/>
              </a:solidFill>
              <a:latin typeface="Times New Roman" pitchFamily="18" charset="0"/>
              <a:ea typeface="+mn-ea"/>
              <a:cs typeface="Times New Roman" pitchFamily="18" charset="0"/>
            </a:rPr>
            <a:t>   DNB Livsforsikring        </a:t>
          </a:r>
        </a:p>
        <a:p>
          <a:pPr algn="l" rtl="0">
            <a:defRPr sz="1000"/>
          </a:pPr>
          <a:r>
            <a:rPr lang="en-US" sz="1050" b="0" i="0" strike="noStrike">
              <a:solidFill>
                <a:srgbClr val="000000"/>
              </a:solidFill>
              <a:latin typeface="Times New Roman" pitchFamily="18" charset="0"/>
              <a:ea typeface="+mn-ea"/>
              <a:cs typeface="Times New Roman" pitchFamily="18" charset="0"/>
            </a:rPr>
            <a:t>   Eika Forsikring         </a:t>
          </a:r>
        </a:p>
        <a:p>
          <a:pPr algn="l" rtl="0">
            <a:defRPr sz="1000"/>
          </a:pPr>
          <a:r>
            <a:rPr lang="en-US" sz="1050" b="0" i="0" strike="noStrike">
              <a:solidFill>
                <a:srgbClr val="000000"/>
              </a:solidFill>
              <a:latin typeface="Times New Roman" pitchFamily="18" charset="0"/>
              <a:ea typeface="+mn-ea"/>
              <a:cs typeface="Times New Roman" pitchFamily="18" charset="0"/>
            </a:rPr>
            <a:t>   Eir Försäkring AB    </a:t>
          </a:r>
        </a:p>
        <a:p>
          <a:pPr algn="l" rtl="0">
            <a:defRPr sz="1000"/>
          </a:pPr>
          <a:r>
            <a:rPr lang="en-US" sz="1050" b="0" i="0" strike="noStrike">
              <a:solidFill>
                <a:srgbClr val="000000"/>
              </a:solidFill>
              <a:latin typeface="Times New Roman" pitchFamily="18" charset="0"/>
              <a:ea typeface="+mn-ea"/>
              <a:cs typeface="Times New Roman" pitchFamily="18" charset="0"/>
            </a:rPr>
            <a:t>   Euro Accident    </a:t>
          </a:r>
        </a:p>
        <a:p>
          <a:pPr algn="l" rtl="0">
            <a:defRPr sz="1000"/>
          </a:pPr>
          <a:r>
            <a:rPr lang="en-US" sz="1050" b="0" i="0" strike="noStrike">
              <a:solidFill>
                <a:srgbClr val="000000"/>
              </a:solidFill>
              <a:latin typeface="Times New Roman" pitchFamily="18" charset="0"/>
              <a:ea typeface="+mn-ea"/>
              <a:cs typeface="Times New Roman" pitchFamily="18" charset="0"/>
            </a:rPr>
            <a:t>   Euro Insurance LTD         </a:t>
          </a:r>
        </a:p>
        <a:p>
          <a:pPr algn="l" rtl="0">
            <a:defRPr sz="1000"/>
          </a:pPr>
          <a:r>
            <a:rPr lang="en-US" sz="1050" b="0" i="0" strike="noStrike">
              <a:solidFill>
                <a:srgbClr val="000000"/>
              </a:solidFill>
              <a:latin typeface="Times New Roman" pitchFamily="18" charset="0"/>
              <a:ea typeface="+mn-ea"/>
              <a:cs typeface="Times New Roman" pitchFamily="18" charset="0"/>
            </a:rPr>
            <a:t>   Fremtind         </a:t>
          </a:r>
        </a:p>
        <a:p>
          <a:pPr algn="l" rtl="0">
            <a:defRPr sz="1000"/>
          </a:pPr>
          <a:r>
            <a:rPr lang="en-US" sz="1050" b="0" i="0" strike="noStrike">
              <a:solidFill>
                <a:srgbClr val="000000"/>
              </a:solidFill>
              <a:latin typeface="Times New Roman" pitchFamily="18" charset="0"/>
              <a:ea typeface="+mn-ea"/>
              <a:cs typeface="Times New Roman" pitchFamily="18" charset="0"/>
            </a:rPr>
            <a:t>   Frende Forsikring         </a:t>
          </a:r>
        </a:p>
        <a:p>
          <a:pPr algn="l" rtl="0">
            <a:defRPr sz="1000"/>
          </a:pPr>
          <a:r>
            <a:rPr lang="en-US" sz="1050" b="0" i="0" strike="noStrike">
              <a:solidFill>
                <a:srgbClr val="000000"/>
              </a:solidFill>
              <a:latin typeface="Times New Roman" pitchFamily="18" charset="0"/>
              <a:ea typeface="+mn-ea"/>
              <a:cs typeface="Times New Roman" pitchFamily="18" charset="0"/>
            </a:rPr>
            <a:t>   Gjensidige    </a:t>
          </a:r>
        </a:p>
        <a:p>
          <a:pPr algn="l" rtl="0">
            <a:defRPr sz="1000"/>
          </a:pPr>
          <a:r>
            <a:rPr lang="en-US" sz="1050" b="0" i="0" strike="noStrike">
              <a:solidFill>
                <a:srgbClr val="000000"/>
              </a:solidFill>
              <a:latin typeface="Times New Roman" pitchFamily="18" charset="0"/>
              <a:ea typeface="+mn-ea"/>
              <a:cs typeface="Times New Roman" pitchFamily="18" charset="0"/>
            </a:rPr>
            <a:t>   Granne forsikring    </a:t>
          </a:r>
        </a:p>
        <a:p>
          <a:pPr algn="l" rtl="0">
            <a:defRPr sz="1000"/>
          </a:pPr>
          <a:r>
            <a:rPr lang="en-US" sz="1050" b="0" i="0" strike="noStrike">
              <a:solidFill>
                <a:srgbClr val="000000"/>
              </a:solidFill>
              <a:latin typeface="Times New Roman" pitchFamily="18" charset="0"/>
              <a:ea typeface="+mn-ea"/>
              <a:cs typeface="Times New Roman" pitchFamily="18" charset="0"/>
            </a:rPr>
            <a:t>   HDI Global Specialty SE     </a:t>
          </a:r>
        </a:p>
        <a:p>
          <a:pPr algn="l" rtl="0">
            <a:defRPr sz="1000"/>
          </a:pPr>
          <a:r>
            <a:rPr lang="en-US" sz="1050" b="0" i="0" strike="noStrike">
              <a:solidFill>
                <a:srgbClr val="000000"/>
              </a:solidFill>
              <a:latin typeface="Times New Roman" pitchFamily="18" charset="0"/>
              <a:ea typeface="+mn-ea"/>
              <a:cs typeface="Times New Roman" pitchFamily="18" charset="0"/>
            </a:rPr>
            <a:t>   If    </a:t>
          </a:r>
        </a:p>
        <a:p>
          <a:pPr algn="l" rtl="0">
            <a:defRPr sz="1000"/>
          </a:pPr>
          <a:r>
            <a:rPr lang="en-US" sz="1050" b="0" i="0" strike="noStrike">
              <a:solidFill>
                <a:srgbClr val="000000"/>
              </a:solidFill>
              <a:latin typeface="Times New Roman" pitchFamily="18" charset="0"/>
              <a:ea typeface="+mn-ea"/>
              <a:cs typeface="Times New Roman" pitchFamily="18" charset="0"/>
            </a:rPr>
            <a:t>   Jernbanepersonalets bank og forsikring    </a:t>
          </a:r>
        </a:p>
        <a:p>
          <a:pPr algn="l" rtl="0">
            <a:defRPr sz="1000"/>
          </a:pPr>
          <a:r>
            <a:rPr lang="en-US" sz="1050" b="0" i="0" strike="noStrike">
              <a:solidFill>
                <a:srgbClr val="000000"/>
              </a:solidFill>
              <a:latin typeface="Times New Roman" pitchFamily="18" charset="0"/>
              <a:ea typeface="+mn-ea"/>
              <a:cs typeface="Times New Roman" pitchFamily="18" charset="0"/>
            </a:rPr>
            <a:t>   KLP skadeforsikring         </a:t>
          </a:r>
        </a:p>
        <a:p>
          <a:pPr algn="l" rtl="0">
            <a:defRPr sz="1000"/>
          </a:pPr>
          <a:r>
            <a:rPr lang="en-US" sz="1050" b="0" i="0" strike="noStrike">
              <a:solidFill>
                <a:srgbClr val="000000"/>
              </a:solidFill>
              <a:latin typeface="Times New Roman" pitchFamily="18" charset="0"/>
              <a:ea typeface="+mn-ea"/>
              <a:cs typeface="Times New Roman" pitchFamily="18" charset="0"/>
            </a:rPr>
            <a:t>   KNIF Trygghet Forsikring AS    </a:t>
          </a:r>
        </a:p>
        <a:p>
          <a:pPr algn="l" rtl="0">
            <a:defRPr sz="1000"/>
          </a:pPr>
          <a:r>
            <a:rPr lang="en-US" sz="1050" b="0" i="0" strike="noStrike">
              <a:solidFill>
                <a:srgbClr val="000000"/>
              </a:solidFill>
              <a:latin typeface="Times New Roman" pitchFamily="18" charset="0"/>
              <a:ea typeface="+mn-ea"/>
              <a:cs typeface="Times New Roman" pitchFamily="18" charset="0"/>
            </a:rPr>
            <a:t>   Landkreditt Forsikring    </a:t>
          </a:r>
        </a:p>
        <a:p>
          <a:pPr algn="l" rtl="0">
            <a:defRPr sz="1000"/>
          </a:pPr>
          <a:r>
            <a:rPr lang="en-US" sz="1050" b="0" i="0" strike="noStrike">
              <a:solidFill>
                <a:srgbClr val="000000"/>
              </a:solidFill>
              <a:latin typeface="Times New Roman" pitchFamily="18" charset="0"/>
              <a:ea typeface="+mn-ea"/>
              <a:cs typeface="Times New Roman" pitchFamily="18" charset="0"/>
            </a:rPr>
            <a:t>   Ly Forsikring    </a:t>
          </a:r>
        </a:p>
        <a:p>
          <a:pPr algn="l" rtl="0">
            <a:defRPr sz="1000"/>
          </a:pPr>
          <a:r>
            <a:rPr lang="en-US" sz="1050" b="0" i="0" strike="noStrike">
              <a:solidFill>
                <a:srgbClr val="000000"/>
              </a:solidFill>
              <a:latin typeface="Times New Roman" pitchFamily="18" charset="0"/>
              <a:ea typeface="+mn-ea"/>
              <a:cs typeface="Times New Roman" pitchFamily="18" charset="0"/>
            </a:rPr>
            <a:t>   Nordea    </a:t>
          </a:r>
        </a:p>
        <a:p>
          <a:pPr algn="l" rtl="0">
            <a:defRPr sz="1000"/>
          </a:pPr>
          <a:r>
            <a:rPr lang="en-US" sz="1050" b="0" i="0" strike="noStrike">
              <a:solidFill>
                <a:srgbClr val="000000"/>
              </a:solidFill>
              <a:latin typeface="Times New Roman" pitchFamily="18" charset="0"/>
              <a:ea typeface="+mn-ea"/>
              <a:cs typeface="Times New Roman" pitchFamily="18" charset="0"/>
            </a:rPr>
            <a:t>   Oslo Forsikring    </a:t>
          </a:r>
        </a:p>
        <a:p>
          <a:pPr algn="l" rtl="0">
            <a:defRPr sz="1000"/>
          </a:pPr>
          <a:r>
            <a:rPr lang="en-US" sz="1050" b="0" i="0" strike="noStrike">
              <a:solidFill>
                <a:srgbClr val="000000"/>
              </a:solidFill>
              <a:latin typeface="Times New Roman" pitchFamily="18" charset="0"/>
              <a:ea typeface="+mn-ea"/>
              <a:cs typeface="Times New Roman" pitchFamily="18" charset="0"/>
            </a:rPr>
            <a:t>   Oslo Pensjonsforsikring    </a:t>
          </a:r>
        </a:p>
        <a:p>
          <a:pPr algn="l" rtl="0">
            <a:defRPr sz="1000"/>
          </a:pPr>
          <a:r>
            <a:rPr lang="en-US" sz="1050" b="0" i="0" strike="noStrike">
              <a:solidFill>
                <a:srgbClr val="000000"/>
              </a:solidFill>
              <a:latin typeface="Times New Roman" pitchFamily="18" charset="0"/>
              <a:ea typeface="+mn-ea"/>
              <a:cs typeface="Times New Roman" pitchFamily="18" charset="0"/>
            </a:rPr>
            <a:t>   Protector Forsikring         </a:t>
          </a:r>
        </a:p>
        <a:p>
          <a:pPr algn="l" rtl="0">
            <a:defRPr sz="1000"/>
          </a:pPr>
          <a:r>
            <a:rPr lang="en-US" sz="1050" b="0" i="0" strike="noStrike">
              <a:solidFill>
                <a:srgbClr val="000000"/>
              </a:solidFill>
              <a:latin typeface="Times New Roman" pitchFamily="18" charset="0"/>
              <a:ea typeface="+mn-ea"/>
              <a:cs typeface="Times New Roman" pitchFamily="18" charset="0"/>
            </a:rPr>
            <a:t>   Skogbrand    </a:t>
          </a:r>
        </a:p>
        <a:p>
          <a:pPr algn="l" rtl="0">
            <a:defRPr sz="1000"/>
          </a:pPr>
          <a:r>
            <a:rPr lang="en-US" sz="1050" b="0" i="0" strike="noStrike">
              <a:solidFill>
                <a:srgbClr val="000000"/>
              </a:solidFill>
              <a:latin typeface="Times New Roman" pitchFamily="18" charset="0"/>
              <a:ea typeface="+mn-ea"/>
              <a:cs typeface="Times New Roman" pitchFamily="18" charset="0"/>
            </a:rPr>
            <a:t>   Storebrand    </a:t>
          </a:r>
        </a:p>
        <a:p>
          <a:pPr algn="l" rtl="0">
            <a:defRPr sz="1000"/>
          </a:pPr>
          <a:r>
            <a:rPr lang="en-US" sz="1050" b="0" i="0" strike="noStrike">
              <a:solidFill>
                <a:srgbClr val="000000"/>
              </a:solidFill>
              <a:latin typeface="Times New Roman" pitchFamily="18" charset="0"/>
              <a:ea typeface="+mn-ea"/>
              <a:cs typeface="Times New Roman" pitchFamily="18" charset="0"/>
            </a:rPr>
            <a:t>   Telenor Forsikring         </a:t>
          </a:r>
        </a:p>
        <a:p>
          <a:pPr algn="l" rtl="0">
            <a:defRPr sz="1000"/>
          </a:pPr>
          <a:r>
            <a:rPr lang="en-US" sz="1050" b="0" i="0" strike="noStrike">
              <a:solidFill>
                <a:srgbClr val="000000"/>
              </a:solidFill>
              <a:latin typeface="Times New Roman" pitchFamily="18" charset="0"/>
              <a:ea typeface="+mn-ea"/>
              <a:cs typeface="Times New Roman" pitchFamily="18" charset="0"/>
            </a:rPr>
            <a:t>   Tryg    </a:t>
          </a:r>
        </a:p>
        <a:p>
          <a:pPr algn="l" rtl="0">
            <a:defRPr sz="1000"/>
          </a:pPr>
          <a:r>
            <a:rPr lang="en-US" sz="1050" b="0" i="0" strike="noStrike">
              <a:solidFill>
                <a:srgbClr val="000000"/>
              </a:solidFill>
              <a:latin typeface="Times New Roman" pitchFamily="18" charset="0"/>
              <a:ea typeface="+mn-ea"/>
              <a:cs typeface="Times New Roman" pitchFamily="18" charset="0"/>
            </a:rPr>
            <a:t>   W. R. Berkley    </a:t>
          </a:r>
        </a:p>
        <a:p>
          <a:pPr algn="l" rtl="0">
            <a:defRPr sz="1000"/>
          </a:pPr>
          <a:r>
            <a:rPr lang="en-US" sz="1050" b="0" i="0" strike="noStrike">
              <a:solidFill>
                <a:srgbClr val="000000"/>
              </a:solidFill>
              <a:latin typeface="Times New Roman" pitchFamily="18" charset="0"/>
              <a:ea typeface="+mn-ea"/>
              <a:cs typeface="Times New Roman" pitchFamily="18" charset="0"/>
            </a:rPr>
            <a:t>   WaterCircles Forsikring     </a:t>
          </a:r>
        </a:p>
        <a:p>
          <a:pPr algn="l" rtl="0">
            <a:defRPr sz="1000"/>
          </a:pPr>
          <a:r>
            <a:rPr lang="en-US" sz="1050" b="0" i="0" strike="noStrike">
              <a:solidFill>
                <a:srgbClr val="000000"/>
              </a:solidFill>
              <a:latin typeface="Times New Roman" pitchFamily="18" charset="0"/>
              <a:ea typeface="+mn-ea"/>
              <a:cs typeface="Times New Roman" pitchFamily="18" charset="0"/>
            </a:rPr>
            <a:t>   YouPlus Livsforsikring  </a:t>
          </a:r>
        </a:p>
        <a:p>
          <a:pPr algn="l" rtl="0">
            <a:defRPr sz="1000"/>
          </a:pPr>
          <a:r>
            <a:rPr lang="en-US" sz="1200" b="0" i="0" strike="noStrike">
              <a:solidFill>
                <a:srgbClr val="000000"/>
              </a:solidFill>
              <a:latin typeface="Times New Roman"/>
              <a:cs typeface="Times New Roman"/>
            </a:rPr>
            <a:t>Disse selskapene utgjør hovedtyngden av det norske markedet for landbasert skadeforsikring, men vi gjør oppmerksom på at dette varierer fra bransje til bransje. F.eks. vil disse selskapene utgjøre så å si hele motorvognmarkedet, mens for industriforsikring eksisterer det en rekke andre aktører (captives og utenlandske selskaper) som ikke rapporterer til denne statistikken.</a:t>
          </a:r>
        </a:p>
        <a:p>
          <a:pPr algn="l" rtl="0">
            <a:defRPr sz="1000"/>
          </a:pPr>
          <a:endParaRPr lang="en-US" sz="1200" b="0" i="0" strike="noStrike">
            <a:solidFill>
              <a:srgbClr val="000000"/>
            </a:solidFill>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200" b="0" i="1">
              <a:effectLst/>
              <a:latin typeface="Times New Roman" panose="02020603050405020304" pitchFamily="18" charset="0"/>
              <a:ea typeface="+mn-ea"/>
              <a:cs typeface="Times New Roman" panose="02020603050405020304" pitchFamily="18" charset="0"/>
            </a:rPr>
            <a:t>Naturskadeutbetalingene</a:t>
          </a:r>
          <a:r>
            <a:rPr lang="en-US" sz="1200" b="0" i="0">
              <a:effectLst/>
              <a:latin typeface="Times New Roman" panose="02020603050405020304" pitchFamily="18" charset="0"/>
              <a:ea typeface="+mn-ea"/>
              <a:cs typeface="Times New Roman" panose="02020603050405020304" pitchFamily="18" charset="0"/>
            </a:rPr>
            <a:t> er holdt utenfor statistikken. Det samme gjelder </a:t>
          </a:r>
          <a:r>
            <a:rPr lang="en-US" sz="1200" b="0" i="1">
              <a:effectLst/>
              <a:latin typeface="Times New Roman" panose="02020603050405020304" pitchFamily="18" charset="0"/>
              <a:ea typeface="+mn-ea"/>
              <a:cs typeface="Times New Roman" panose="02020603050405020304" pitchFamily="18" charset="0"/>
            </a:rPr>
            <a:t>kreditt</a:t>
          </a:r>
          <a:r>
            <a:rPr lang="en-US" sz="1200" b="0" i="0">
              <a:effectLst/>
              <a:latin typeface="Times New Roman" panose="02020603050405020304" pitchFamily="18" charset="0"/>
              <a:ea typeface="+mn-ea"/>
              <a:cs typeface="Times New Roman" panose="02020603050405020304" pitchFamily="18" charset="0"/>
            </a:rPr>
            <a:t>- og </a:t>
          </a:r>
          <a:r>
            <a:rPr lang="en-US" sz="1200" b="0" i="1">
              <a:effectLst/>
              <a:latin typeface="Times New Roman" panose="02020603050405020304" pitchFamily="18" charset="0"/>
              <a:ea typeface="+mn-ea"/>
              <a:cs typeface="Times New Roman" panose="02020603050405020304" pitchFamily="18" charset="0"/>
            </a:rPr>
            <a:t>sjøforsikring.</a:t>
          </a:r>
          <a:endParaRPr lang="nb-NO" sz="1200">
            <a:effectLst/>
            <a:latin typeface="Times New Roman" panose="02020603050405020304" pitchFamily="18" charset="0"/>
            <a:cs typeface="Times New Roman" panose="02020603050405020304" pitchFamily="18" charset="0"/>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2</xdr:col>
      <xdr:colOff>460375</xdr:colOff>
      <xdr:row>4</xdr:row>
      <xdr:rowOff>96537</xdr:rowOff>
    </xdr:from>
    <xdr:to>
      <xdr:col>7</xdr:col>
      <xdr:colOff>0</xdr:colOff>
      <xdr:row>50</xdr:row>
      <xdr:rowOff>142874</xdr:rowOff>
    </xdr:to>
    <xdr:sp macro="" textlink="">
      <xdr:nvSpPr>
        <xdr:cNvPr id="6146" name="Text Box 2">
          <a:extLst>
            <a:ext uri="{FF2B5EF4-FFF2-40B4-BE49-F238E27FC236}">
              <a16:creationId xmlns:a16="http://schemas.microsoft.com/office/drawing/2014/main" id="{00000000-0008-0000-1600-000002180000}"/>
            </a:ext>
          </a:extLst>
        </xdr:cNvPr>
        <xdr:cNvSpPr txBox="1">
          <a:spLocks noChangeArrowheads="1"/>
        </xdr:cNvSpPr>
      </xdr:nvSpPr>
      <xdr:spPr bwMode="auto">
        <a:xfrm>
          <a:off x="2968625" y="604537"/>
          <a:ext cx="2492375" cy="9539587"/>
        </a:xfrm>
        <a:prstGeom prst="rect">
          <a:avLst/>
        </a:prstGeom>
        <a:solidFill>
          <a:srgbClr val="FFFFFF"/>
        </a:solidFill>
        <a:ln w="9525">
          <a:noFill/>
          <a:miter lim="800000"/>
          <a:headEnd/>
          <a:tailEnd/>
        </a:ln>
      </xdr:spPr>
      <xdr:txBody>
        <a:bodyPr vertOverflow="clip" wrap="square" lIns="27432" tIns="27432" rIns="0" bIns="0" anchor="t" upright="1"/>
        <a:lstStyle/>
        <a:p>
          <a:pPr rtl="0"/>
          <a:r>
            <a:rPr lang="en-US" sz="1200" b="1" i="0">
              <a:latin typeface="Times New Roman" pitchFamily="18" charset="0"/>
              <a:ea typeface="+mn-ea"/>
              <a:cs typeface="Times New Roman" pitchFamily="18" charset="0"/>
            </a:rPr>
            <a:t>Prinsipper</a:t>
          </a:r>
          <a:endParaRPr lang="en-US" sz="1200" b="0" i="0">
            <a:latin typeface="Times New Roman" pitchFamily="18" charset="0"/>
            <a:ea typeface="+mn-ea"/>
            <a:cs typeface="Times New Roman" pitchFamily="18" charset="0"/>
          </a:endParaRPr>
        </a:p>
        <a:p>
          <a:pPr rtl="0"/>
          <a:r>
            <a:rPr lang="en-US" sz="1200" b="0" i="0">
              <a:latin typeface="Times New Roman" pitchFamily="18" charset="0"/>
              <a:ea typeface="+mn-ea"/>
              <a:cs typeface="Times New Roman" pitchFamily="18" charset="0"/>
            </a:rPr>
            <a:t>Det er lagt vekt på å kunne presentere så aktuelle tall som mulig. Tidligere tall oppdateres ikke, men presenteres for å vise hva man trodde på tilsvarende tidspunkt for de to foregående år. </a:t>
          </a:r>
          <a:endParaRPr lang="nb-NO" sz="1200">
            <a:latin typeface="Times New Roman" pitchFamily="18" charset="0"/>
            <a:cs typeface="Times New Roman" pitchFamily="18" charset="0"/>
          </a:endParaRPr>
        </a:p>
        <a:p>
          <a:pPr rtl="0"/>
          <a:endParaRPr lang="en-US" sz="1200" b="0" i="0">
            <a:latin typeface="Times New Roman" pitchFamily="18" charset="0"/>
            <a:ea typeface="+mn-ea"/>
            <a:cs typeface="Times New Roman" pitchFamily="18" charset="0"/>
          </a:endParaRPr>
        </a:p>
        <a:p>
          <a:pPr algn="l" rtl="0">
            <a:defRPr sz="1000"/>
          </a:pPr>
          <a:r>
            <a:rPr lang="en-US" sz="1200" b="1" i="0" strike="noStrike">
              <a:solidFill>
                <a:srgbClr val="000000"/>
              </a:solidFill>
              <a:latin typeface="Times New Roman"/>
              <a:cs typeface="Times New Roman"/>
            </a:rPr>
            <a:t>Begreper </a:t>
          </a:r>
        </a:p>
        <a:p>
          <a:pPr algn="l" rtl="0">
            <a:defRPr sz="1000"/>
          </a:pPr>
          <a:r>
            <a:rPr lang="en-US" sz="1200" b="0" i="1" strike="noStrike">
              <a:solidFill>
                <a:srgbClr val="000000"/>
              </a:solidFill>
              <a:latin typeface="Times New Roman"/>
              <a:cs typeface="Times New Roman"/>
            </a:rPr>
            <a:t>Bransjene</a:t>
          </a:r>
          <a:r>
            <a:rPr lang="en-US" sz="1200" b="0" i="0" strike="noStrike">
              <a:solidFill>
                <a:srgbClr val="000000"/>
              </a:solidFill>
              <a:latin typeface="Times New Roman"/>
              <a:cs typeface="Times New Roman"/>
            </a:rPr>
            <a:t> angir hovedforretnings-områdene i henhold til bransjeinndeling utarbeidet i samarbeid med Finanstilsynet.</a:t>
          </a:r>
        </a:p>
        <a:p>
          <a:pPr algn="l" rtl="0">
            <a:defRPr sz="1000"/>
          </a:pP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Hver bransje er så gruppert etter </a:t>
          </a:r>
          <a:r>
            <a:rPr lang="en-US" sz="1200" b="0" i="1" strike="noStrike">
              <a:solidFill>
                <a:srgbClr val="000000"/>
              </a:solidFill>
              <a:latin typeface="Times New Roman"/>
              <a:cs typeface="Times New Roman"/>
            </a:rPr>
            <a:t>skadetype. </a:t>
          </a:r>
          <a:r>
            <a:rPr lang="en-US" sz="1200" b="0" i="0" strike="noStrike">
              <a:solidFill>
                <a:srgbClr val="000000"/>
              </a:solidFill>
              <a:latin typeface="Times New Roman"/>
              <a:cs typeface="Times New Roman"/>
            </a:rPr>
            <a:t>Det gjøres oppmerksom på at antall skader for de ulike skadetypene under en bransje ikke nødvendigvis er lik totalen, siden en skade kan fordele seg på flere skadetyper.</a:t>
          </a:r>
        </a:p>
        <a:p>
          <a:pPr algn="l" rtl="0">
            <a:defRPr sz="1000"/>
          </a:pPr>
          <a:endParaRPr lang="en-US" sz="1200" b="0" i="0" strike="noStrike">
            <a:solidFill>
              <a:srgbClr val="000000"/>
            </a:solidFill>
            <a:latin typeface="Times New Roman"/>
            <a:cs typeface="Times New Roman"/>
          </a:endParaRPr>
        </a:p>
        <a:p>
          <a:pPr algn="l" rtl="0">
            <a:defRPr sz="1000"/>
          </a:pPr>
          <a:r>
            <a:rPr lang="en-US" sz="1200" b="0" i="1" strike="noStrike">
              <a:solidFill>
                <a:srgbClr val="000000"/>
              </a:solidFill>
              <a:latin typeface="Times New Roman"/>
              <a:cs typeface="Times New Roman"/>
            </a:rPr>
            <a:t>Anslått erstatning</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Med anslått erstatning menes betalte erstatninger pluss erstatningsavsetninger for de skader som har skjedd i den tidsperioden statistikken omfatter (tall hittil i år). Dette omfatter også skader som ennå ikke er meldt til selskapene. </a:t>
          </a:r>
        </a:p>
        <a:p>
          <a:pPr algn="l" rtl="0">
            <a:defRPr sz="1000"/>
          </a:pPr>
          <a:endParaRPr lang="en-US" sz="1200" b="0" i="0" strike="noStrike">
            <a:solidFill>
              <a:srgbClr val="000000"/>
            </a:solidFill>
            <a:latin typeface="Times New Roman"/>
            <a:cs typeface="Times New Roman"/>
          </a:endParaRPr>
        </a:p>
        <a:p>
          <a:pPr algn="l" rtl="0">
            <a:defRPr sz="1000"/>
          </a:pPr>
          <a:r>
            <a:rPr lang="en-US" sz="1200" b="0" i="1" strike="noStrike">
              <a:solidFill>
                <a:srgbClr val="000000"/>
              </a:solidFill>
              <a:latin typeface="Times New Roman"/>
              <a:cs typeface="Times New Roman"/>
            </a:rPr>
            <a:t>Meldt skade</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Med meldt skade menes skade på en forsikring </a:t>
          </a:r>
          <a:r>
            <a:rPr lang="en-US" sz="1200" b="0" i="1" strike="noStrike">
              <a:solidFill>
                <a:srgbClr val="000000"/>
              </a:solidFill>
              <a:latin typeface="Times New Roman"/>
              <a:cs typeface="Times New Roman"/>
            </a:rPr>
            <a:t>meldt</a:t>
          </a:r>
          <a:r>
            <a:rPr lang="en-US" sz="1200" b="0" i="0" strike="noStrike">
              <a:solidFill>
                <a:srgbClr val="000000"/>
              </a:solidFill>
              <a:latin typeface="Times New Roman"/>
              <a:cs typeface="Times New Roman"/>
            </a:rPr>
            <a:t> til selskapet i den </a:t>
          </a:r>
          <a:r>
            <a:rPr lang="en-US" sz="1200" b="0" i="0" strike="noStrike">
              <a:solidFill>
                <a:srgbClr val="000000"/>
              </a:solidFill>
              <a:latin typeface="Times New Roman"/>
              <a:ea typeface="+mn-ea"/>
              <a:cs typeface="Times New Roman"/>
            </a:rPr>
            <a:t>tidsperiode statistikken omfatter (tall hittil i år). I </a:t>
          </a:r>
          <a:r>
            <a:rPr lang="en-US" sz="1200" b="0" i="0" strike="noStrike">
              <a:solidFill>
                <a:srgbClr val="000000"/>
              </a:solidFill>
              <a:latin typeface="Times New Roman"/>
              <a:cs typeface="Times New Roman"/>
            </a:rPr>
            <a:t>dette begrepet inngår </a:t>
          </a:r>
          <a:r>
            <a:rPr lang="en-US" sz="1200" b="0" i="1" strike="noStrike">
              <a:solidFill>
                <a:srgbClr val="000000"/>
              </a:solidFill>
              <a:latin typeface="Times New Roman"/>
              <a:cs typeface="Times New Roman"/>
            </a:rPr>
            <a:t>ikke</a:t>
          </a:r>
          <a:r>
            <a:rPr lang="en-US" sz="1200" b="0" i="0" strike="noStrike">
              <a:solidFill>
                <a:srgbClr val="000000"/>
              </a:solidFill>
              <a:latin typeface="Times New Roman"/>
              <a:cs typeface="Times New Roman"/>
            </a:rPr>
            <a:t> de skader som ennå ikke er meldt, j.fr. definisjonen av anslått erstatning. I antall skader inngår også såkalte </a:t>
          </a:r>
          <a:r>
            <a:rPr lang="en-US" sz="1200" b="0" i="1" strike="noStrike">
              <a:solidFill>
                <a:srgbClr val="000000"/>
              </a:solidFill>
              <a:latin typeface="Times New Roman"/>
              <a:cs typeface="Times New Roman"/>
            </a:rPr>
            <a:t>nullskader.</a:t>
          </a:r>
          <a:endParaRPr lang="en-US" sz="1200" b="0" i="0" strike="noStrike">
            <a:solidFill>
              <a:srgbClr val="000000"/>
            </a:solidFill>
            <a:latin typeface="Times New Roman"/>
            <a:cs typeface="Times New Roman"/>
          </a:endParaRPr>
        </a:p>
        <a:p>
          <a:pPr algn="l" rtl="0">
            <a:defRPr sz="1000"/>
          </a:pPr>
          <a:endParaRPr lang="en-US" sz="1200" b="0" i="0" strike="noStrike">
            <a:solidFill>
              <a:srgbClr val="000000"/>
            </a:solidFill>
            <a:latin typeface="Times New Roman"/>
            <a:cs typeface="Times New Roman"/>
          </a:endParaRPr>
        </a:p>
        <a:p>
          <a:pPr algn="l" rtl="0">
            <a:defRPr sz="1000"/>
          </a:pPr>
          <a:r>
            <a:rPr lang="en-US" sz="1200" b="0" i="1" strike="noStrike">
              <a:solidFill>
                <a:srgbClr val="000000"/>
              </a:solidFill>
              <a:latin typeface="Times New Roman"/>
              <a:cs typeface="Times New Roman"/>
            </a:rPr>
            <a:t>Gjennomsnittsskade</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Vi gjør oppmerksom på at siden tallene for antall anmeldte skader og anslåtte erstatninger har ulik tidsavgrensning er de ikke direkte sammenlignbare. En nøyaktig beregning av gjennomsnittsskaden kan derfor ikke gjøres ut fra dette materialet. Spesielt gjelder dette ”langhalede” bransjer som yrkesskade og personskade motorvogn.</a:t>
          </a:r>
        </a:p>
        <a:p>
          <a:pPr algn="l" rtl="0">
            <a:defRPr sz="1000"/>
          </a:pPr>
          <a:endParaRPr lang="en-US" sz="1200" b="0" i="0" strike="noStrike">
            <a:solidFill>
              <a:srgbClr val="000000"/>
            </a:solidFill>
            <a:latin typeface="Times New Roman"/>
            <a:cs typeface="Times New Roman"/>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7</xdr:col>
      <xdr:colOff>104775</xdr:colOff>
      <xdr:row>4</xdr:row>
      <xdr:rowOff>96437</xdr:rowOff>
    </xdr:from>
    <xdr:to>
      <xdr:col>10</xdr:col>
      <xdr:colOff>371475</xdr:colOff>
      <xdr:row>50</xdr:row>
      <xdr:rowOff>152518</xdr:rowOff>
    </xdr:to>
    <xdr:sp macro="" textlink="">
      <xdr:nvSpPr>
        <xdr:cNvPr id="6151" name="Text Box 7">
          <a:extLst>
            <a:ext uri="{FF2B5EF4-FFF2-40B4-BE49-F238E27FC236}">
              <a16:creationId xmlns:a16="http://schemas.microsoft.com/office/drawing/2014/main" id="{00000000-0008-0000-1600-000007180000}"/>
            </a:ext>
          </a:extLst>
        </xdr:cNvPr>
        <xdr:cNvSpPr txBox="1">
          <a:spLocks noChangeArrowheads="1"/>
        </xdr:cNvSpPr>
      </xdr:nvSpPr>
      <xdr:spPr bwMode="auto">
        <a:xfrm>
          <a:off x="5629275" y="601262"/>
          <a:ext cx="2552700" cy="925723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200" b="0" i="1" strike="noStrike">
              <a:solidFill>
                <a:srgbClr val="000000"/>
              </a:solidFill>
              <a:latin typeface="Times New Roman"/>
              <a:cs typeface="Times New Roman"/>
            </a:rPr>
            <a:t>Framskriving</a:t>
          </a:r>
        </a:p>
        <a:p>
          <a:pPr algn="l" rtl="0">
            <a:defRPr sz="1000"/>
          </a:pPr>
          <a:r>
            <a:rPr lang="en-US" sz="1200" b="0" i="0" strike="noStrike">
              <a:solidFill>
                <a:srgbClr val="000000"/>
              </a:solidFill>
              <a:latin typeface="Times New Roman"/>
              <a:cs typeface="Times New Roman"/>
            </a:rPr>
            <a:t>I rapporten for 1., 2. og 3. kvartal gis det en framskriving av antall skader og anslått erstatning for inneværende skadeår. Alle slike tall er merket med *. Framskrivingen gir bare uttrykk for hva årsresultatet blir om den gjenværende del av året utvikler seg  på samme måte som de to foregående skadeår, gitt volumet for antall skader og anslått erstatning hittil i år. Framskrivingen blir derfor særlig sårbar hvis det er meldt storskader tidlig i året, eller ved andre spesielle hendelser som medfører uvanlige forsikringsår. Spesielt vil årene 2020 og 2021 (år med mange korona-tiltak), kunne inneholde «dårlige» framskrivings-grunnlag for hva som kan inntreffe resten av året, da disse årene sannsynligvis ikke vil følge «vanlig» utvikling, men utvikle seg i henhold til pandemiutviklingen og ulike tiltak fra Norges myndigheter. </a:t>
          </a:r>
        </a:p>
        <a:p>
          <a:pPr algn="l" rtl="0">
            <a:defRPr sz="1000"/>
          </a:pPr>
          <a:endParaRPr lang="en-US" sz="1200" b="0" i="0" strike="noStrike">
            <a:solidFill>
              <a:srgbClr val="000000"/>
            </a:solidFill>
            <a:latin typeface="Times New Roman"/>
            <a:cs typeface="Times New Roman"/>
          </a:endParaRPr>
        </a:p>
        <a:p>
          <a:pPr algn="l" rtl="0">
            <a:defRPr sz="1000"/>
          </a:pPr>
          <a:r>
            <a:rPr lang="en-US" sz="1200" b="1" i="0" strike="noStrike">
              <a:solidFill>
                <a:srgbClr val="000000"/>
              </a:solidFill>
              <a:latin typeface="Times New Roman"/>
              <a:cs typeface="Times New Roman"/>
            </a:rPr>
            <a:t>Usikkerhet i erstatningsanslagene</a:t>
          </a:r>
          <a:endParaRPr lang="en-US" sz="1200" b="0" i="0" strike="noStrike">
            <a:solidFill>
              <a:srgbClr val="000000"/>
            </a:solidFill>
            <a:latin typeface="Times New Roman"/>
            <a:cs typeface="Times New Roman"/>
          </a:endParaRPr>
        </a:p>
        <a:p>
          <a:pPr algn="l" rtl="0">
            <a:defRPr sz="1000"/>
          </a:pPr>
          <a:r>
            <a:rPr lang="en-US" sz="1200" b="0" i="0" strike="noStrike">
              <a:solidFill>
                <a:srgbClr val="000000"/>
              </a:solidFill>
              <a:latin typeface="Times New Roman"/>
              <a:cs typeface="Times New Roman"/>
            </a:rPr>
            <a:t>De anslåtte erstatningene tar høyde for skader som er inntruffet, men som ennå ikke er meldt selskapene. Videre er det usikkerhet i hva de skadesakene som ikke er ferdig oppgjort vil koste. Tidligere skadehistorikk m.m. brukes for å gjøre denne usikkerheten så liten som mulig, men spesielt for ”langhalet” forretning vil erstatningsanslagene variere over tid.</a:t>
          </a:r>
        </a:p>
        <a:p>
          <a:pPr algn="l" rtl="0">
            <a:defRPr sz="1000"/>
          </a:pPr>
          <a:endParaRPr lang="en-US" sz="1200" b="0" i="0" strike="noStrike">
            <a:solidFill>
              <a:srgbClr val="000000"/>
            </a:solidFill>
            <a:latin typeface="Times New Roman"/>
            <a:cs typeface="Times New Roman"/>
          </a:endParaRPr>
        </a:p>
        <a:p>
          <a:pPr algn="l" rtl="0">
            <a:defRPr sz="1000"/>
          </a:pPr>
          <a:r>
            <a:rPr lang="en-US" sz="1200" b="1" i="0" strike="noStrike">
              <a:solidFill>
                <a:srgbClr val="000000"/>
              </a:solidFill>
              <a:latin typeface="Times New Roman"/>
              <a:cs typeface="Times New Roman"/>
            </a:rPr>
            <a:t>Spesielle merknader</a:t>
          </a:r>
          <a:endParaRPr lang="en-US" sz="1200" b="0" i="0" strike="noStrike">
            <a:solidFill>
              <a:srgbClr val="000000"/>
            </a:solidFill>
            <a:latin typeface="Times New Roman"/>
            <a:cs typeface="Times New Roman"/>
          </a:endParaRPr>
        </a:p>
        <a:p>
          <a:pPr rtl="0"/>
          <a:r>
            <a:rPr lang="en-US" sz="1200" b="0" i="1" strike="noStrike">
              <a:solidFill>
                <a:srgbClr val="000000"/>
              </a:solidFill>
              <a:latin typeface="Times New Roman"/>
              <a:ea typeface="+mn-ea"/>
              <a:cs typeface="Times New Roman"/>
            </a:rPr>
            <a:t>Brann</a:t>
          </a:r>
        </a:p>
        <a:p>
          <a:pPr rtl="0"/>
          <a:r>
            <a:rPr lang="en-US" sz="1200" b="0" i="0" strike="noStrike">
              <a:solidFill>
                <a:srgbClr val="000000"/>
              </a:solidFill>
              <a:latin typeface="Times New Roman"/>
              <a:ea typeface="+mn-ea"/>
              <a:cs typeface="Times New Roman"/>
            </a:rPr>
            <a:t>Ved å summere brann-tallene fra de to Brann-kombinerte bransjene vil totalen bli forskjellig fra Brannstatistikken utgitt av Finans Norge (BRASK). Det henvises til den statistikken hvis totale skadetall for hele markedet skal benyttes. </a:t>
          </a:r>
          <a:endParaRPr lang="nb-NO" sz="1200" b="0" i="0" strike="noStrike">
            <a:solidFill>
              <a:srgbClr val="000000"/>
            </a:solidFill>
            <a:latin typeface="Times New Roman"/>
            <a:ea typeface="+mn-ea"/>
            <a:cs typeface="Times New Roman"/>
          </a:endParaRPr>
        </a:p>
        <a:p>
          <a:pPr rtl="0"/>
          <a:endParaRPr lang="en-US" sz="1100" b="0" i="0">
            <a:latin typeface="+mn-lt"/>
            <a:ea typeface="+mn-ea"/>
            <a:cs typeface="+mn-cs"/>
          </a:endParaRPr>
        </a:p>
        <a:p>
          <a:pPr marL="0" indent="0" rtl="0"/>
          <a:r>
            <a:rPr lang="en-US" sz="1200" b="0" i="1" strike="noStrike">
              <a:solidFill>
                <a:srgbClr val="000000"/>
              </a:solidFill>
              <a:latin typeface="Times New Roman"/>
              <a:ea typeface="+mn-ea"/>
              <a:cs typeface="Times New Roman"/>
            </a:rPr>
            <a:t>Yrkesskadeforsikring</a:t>
          </a:r>
        </a:p>
        <a:p>
          <a:pPr rtl="0"/>
          <a:r>
            <a:rPr lang="en-US" sz="1200" b="0" i="0" strike="noStrike">
              <a:solidFill>
                <a:srgbClr val="000000"/>
              </a:solidFill>
              <a:latin typeface="Times New Roman"/>
              <a:ea typeface="+mn-ea"/>
              <a:cs typeface="Times New Roman"/>
            </a:rPr>
            <a:t>Her vises yrkesskader etter lov om yrkesskadeforsikring. Tilleggsdekninger rapporteres under trygghetsforsikring.</a:t>
          </a:r>
          <a:endParaRPr lang="nb-NO" sz="1200" b="0" i="0" strike="noStrike">
            <a:solidFill>
              <a:srgbClr val="000000"/>
            </a:solidFill>
            <a:latin typeface="Times New Roman"/>
            <a:ea typeface="+mn-ea"/>
            <a:cs typeface="Times New Roman"/>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10</xdr:col>
      <xdr:colOff>454823</xdr:colOff>
      <xdr:row>4</xdr:row>
      <xdr:rowOff>66675</xdr:rowOff>
    </xdr:from>
    <xdr:to>
      <xdr:col>13</xdr:col>
      <xdr:colOff>721523</xdr:colOff>
      <xdr:row>50</xdr:row>
      <xdr:rowOff>133350</xdr:rowOff>
    </xdr:to>
    <xdr:sp macro="" textlink="">
      <xdr:nvSpPr>
        <xdr:cNvPr id="6152" name="Text Box 8">
          <a:extLst>
            <a:ext uri="{FF2B5EF4-FFF2-40B4-BE49-F238E27FC236}">
              <a16:creationId xmlns:a16="http://schemas.microsoft.com/office/drawing/2014/main" id="{00000000-0008-0000-1600-000008180000}"/>
            </a:ext>
          </a:extLst>
        </xdr:cNvPr>
        <xdr:cNvSpPr txBox="1">
          <a:spLocks noChangeArrowheads="1"/>
        </xdr:cNvSpPr>
      </xdr:nvSpPr>
      <xdr:spPr bwMode="auto">
        <a:xfrm>
          <a:off x="8205792" y="578644"/>
          <a:ext cx="2552700" cy="9377362"/>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endParaRPr lang="en-US" sz="1200" b="0" i="0" strike="noStrike">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vartalstatistikkene/Premiestatistikk/Rapport/premiestatistikk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
      <sheetName val="Innhold"/>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DATA_11"/>
      <sheetName val="DATA_12"/>
      <sheetName val="DATA_21"/>
      <sheetName val="DATA_31"/>
      <sheetName val="DATA_32"/>
      <sheetName val="DATA_41"/>
      <sheetName val="DATA_42"/>
      <sheetName val="DATA_51"/>
      <sheetName val="DATA_52"/>
      <sheetName val="DATA_61"/>
      <sheetName val="DATA_62"/>
      <sheetName val="DATA_63"/>
      <sheetName val="DATA_64"/>
      <sheetName val="DATA_71"/>
      <sheetName val="DATA_72"/>
      <sheetName val="DATA_81"/>
      <sheetName val="DATA_82"/>
      <sheetName val="DATA_91"/>
      <sheetName val="DATA_92"/>
      <sheetName val="DATA_93"/>
      <sheetName val="DATA_B1"/>
      <sheetName val="DATA_B2"/>
      <sheetName val="DATA_K1"/>
      <sheetName val="DATA_K2"/>
      <sheetName val="DATA_M1"/>
      <sheetName val="DATA_M2"/>
      <sheetName val="Forside"/>
      <sheetName val="DATA_P1"/>
      <sheetName val="DATA_P2"/>
    </sheetNames>
    <sheetDataSet>
      <sheetData sheetId="0"/>
      <sheetData sheetId="1"/>
      <sheetData sheetId="2"/>
      <sheetData sheetId="3"/>
      <sheetData sheetId="4"/>
      <sheetData sheetId="5"/>
      <sheetData sheetId="6">
        <row r="6">
          <cell r="B6" t="str">
            <v>31.12.2011</v>
          </cell>
          <cell r="C6" t="str">
            <v>31.12.2012</v>
          </cell>
          <cell r="D6" t="str">
            <v>31.12.2013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J57"/>
  <sheetViews>
    <sheetView showGridLines="0" showRowColHeaders="0" tabSelected="1" zoomScale="65" zoomScaleNormal="65" zoomScaleSheetLayoutView="100" workbookViewId="0"/>
  </sheetViews>
  <sheetFormatPr defaultColWidth="11.42578125" defaultRowHeight="12.75" x14ac:dyDescent="0.2"/>
  <cols>
    <col min="1" max="1" width="16.28515625" style="151" customWidth="1"/>
    <col min="2" max="4" width="11.42578125" style="151"/>
    <col min="5" max="5" width="14.140625" style="151" bestFit="1" customWidth="1"/>
    <col min="6" max="7" width="11.42578125" style="151"/>
    <col min="8" max="8" width="13.42578125" style="151" customWidth="1"/>
    <col min="9" max="9" width="11.42578125" style="151"/>
    <col min="10" max="10" width="13.42578125" style="151" bestFit="1" customWidth="1"/>
    <col min="11" max="256" width="11.42578125" style="151"/>
    <col min="257" max="257" width="16.28515625" style="151" customWidth="1"/>
    <col min="258" max="260" width="11.42578125" style="151"/>
    <col min="261" max="261" width="14.140625" style="151" bestFit="1" customWidth="1"/>
    <col min="262" max="263" width="11.42578125" style="151"/>
    <col min="264" max="264" width="13.42578125" style="151" customWidth="1"/>
    <col min="265" max="265" width="11.42578125" style="151"/>
    <col min="266" max="266" width="13.42578125" style="151" bestFit="1" customWidth="1"/>
    <col min="267" max="512" width="11.42578125" style="151"/>
    <col min="513" max="513" width="16.28515625" style="151" customWidth="1"/>
    <col min="514" max="516" width="11.42578125" style="151"/>
    <col min="517" max="517" width="14.140625" style="151" bestFit="1" customWidth="1"/>
    <col min="518" max="519" width="11.42578125" style="151"/>
    <col min="520" max="520" width="13.42578125" style="151" customWidth="1"/>
    <col min="521" max="521" width="11.42578125" style="151"/>
    <col min="522" max="522" width="13.42578125" style="151" bestFit="1" customWidth="1"/>
    <col min="523" max="768" width="11.42578125" style="151"/>
    <col min="769" max="769" width="16.28515625" style="151" customWidth="1"/>
    <col min="770" max="772" width="11.42578125" style="151"/>
    <col min="773" max="773" width="14.140625" style="151" bestFit="1" customWidth="1"/>
    <col min="774" max="775" width="11.42578125" style="151"/>
    <col min="776" max="776" width="13.42578125" style="151" customWidth="1"/>
    <col min="777" max="777" width="11.42578125" style="151"/>
    <col min="778" max="778" width="13.42578125" style="151" bestFit="1" customWidth="1"/>
    <col min="779" max="1024" width="11.42578125" style="151"/>
    <col min="1025" max="1025" width="16.28515625" style="151" customWidth="1"/>
    <col min="1026" max="1028" width="11.42578125" style="151"/>
    <col min="1029" max="1029" width="14.140625" style="151" bestFit="1" customWidth="1"/>
    <col min="1030" max="1031" width="11.42578125" style="151"/>
    <col min="1032" max="1032" width="13.42578125" style="151" customWidth="1"/>
    <col min="1033" max="1033" width="11.42578125" style="151"/>
    <col min="1034" max="1034" width="13.42578125" style="151" bestFit="1" customWidth="1"/>
    <col min="1035" max="1280" width="11.42578125" style="151"/>
    <col min="1281" max="1281" width="16.28515625" style="151" customWidth="1"/>
    <col min="1282" max="1284" width="11.42578125" style="151"/>
    <col min="1285" max="1285" width="14.140625" style="151" bestFit="1" customWidth="1"/>
    <col min="1286" max="1287" width="11.42578125" style="151"/>
    <col min="1288" max="1288" width="13.42578125" style="151" customWidth="1"/>
    <col min="1289" max="1289" width="11.42578125" style="151"/>
    <col min="1290" max="1290" width="13.42578125" style="151" bestFit="1" customWidth="1"/>
    <col min="1291" max="1536" width="11.42578125" style="151"/>
    <col min="1537" max="1537" width="16.28515625" style="151" customWidth="1"/>
    <col min="1538" max="1540" width="11.42578125" style="151"/>
    <col min="1541" max="1541" width="14.140625" style="151" bestFit="1" customWidth="1"/>
    <col min="1542" max="1543" width="11.42578125" style="151"/>
    <col min="1544" max="1544" width="13.42578125" style="151" customWidth="1"/>
    <col min="1545" max="1545" width="11.42578125" style="151"/>
    <col min="1546" max="1546" width="13.42578125" style="151" bestFit="1" customWidth="1"/>
    <col min="1547" max="1792" width="11.42578125" style="151"/>
    <col min="1793" max="1793" width="16.28515625" style="151" customWidth="1"/>
    <col min="1794" max="1796" width="11.42578125" style="151"/>
    <col min="1797" max="1797" width="14.140625" style="151" bestFit="1" customWidth="1"/>
    <col min="1798" max="1799" width="11.42578125" style="151"/>
    <col min="1800" max="1800" width="13.42578125" style="151" customWidth="1"/>
    <col min="1801" max="1801" width="11.42578125" style="151"/>
    <col min="1802" max="1802" width="13.42578125" style="151" bestFit="1" customWidth="1"/>
    <col min="1803" max="2048" width="11.42578125" style="151"/>
    <col min="2049" max="2049" width="16.28515625" style="151" customWidth="1"/>
    <col min="2050" max="2052" width="11.42578125" style="151"/>
    <col min="2053" max="2053" width="14.140625" style="151" bestFit="1" customWidth="1"/>
    <col min="2054" max="2055" width="11.42578125" style="151"/>
    <col min="2056" max="2056" width="13.42578125" style="151" customWidth="1"/>
    <col min="2057" max="2057" width="11.42578125" style="151"/>
    <col min="2058" max="2058" width="13.42578125" style="151" bestFit="1" customWidth="1"/>
    <col min="2059" max="2304" width="11.42578125" style="151"/>
    <col min="2305" max="2305" width="16.28515625" style="151" customWidth="1"/>
    <col min="2306" max="2308" width="11.42578125" style="151"/>
    <col min="2309" max="2309" width="14.140625" style="151" bestFit="1" customWidth="1"/>
    <col min="2310" max="2311" width="11.42578125" style="151"/>
    <col min="2312" max="2312" width="13.42578125" style="151" customWidth="1"/>
    <col min="2313" max="2313" width="11.42578125" style="151"/>
    <col min="2314" max="2314" width="13.42578125" style="151" bestFit="1" customWidth="1"/>
    <col min="2315" max="2560" width="11.42578125" style="151"/>
    <col min="2561" max="2561" width="16.28515625" style="151" customWidth="1"/>
    <col min="2562" max="2564" width="11.42578125" style="151"/>
    <col min="2565" max="2565" width="14.140625" style="151" bestFit="1" customWidth="1"/>
    <col min="2566" max="2567" width="11.42578125" style="151"/>
    <col min="2568" max="2568" width="13.42578125" style="151" customWidth="1"/>
    <col min="2569" max="2569" width="11.42578125" style="151"/>
    <col min="2570" max="2570" width="13.42578125" style="151" bestFit="1" customWidth="1"/>
    <col min="2571" max="2816" width="11.42578125" style="151"/>
    <col min="2817" max="2817" width="16.28515625" style="151" customWidth="1"/>
    <col min="2818" max="2820" width="11.42578125" style="151"/>
    <col min="2821" max="2821" width="14.140625" style="151" bestFit="1" customWidth="1"/>
    <col min="2822" max="2823" width="11.42578125" style="151"/>
    <col min="2824" max="2824" width="13.42578125" style="151" customWidth="1"/>
    <col min="2825" max="2825" width="11.42578125" style="151"/>
    <col min="2826" max="2826" width="13.42578125" style="151" bestFit="1" customWidth="1"/>
    <col min="2827" max="3072" width="11.42578125" style="151"/>
    <col min="3073" max="3073" width="16.28515625" style="151" customWidth="1"/>
    <col min="3074" max="3076" width="11.42578125" style="151"/>
    <col min="3077" max="3077" width="14.140625" style="151" bestFit="1" customWidth="1"/>
    <col min="3078" max="3079" width="11.42578125" style="151"/>
    <col min="3080" max="3080" width="13.42578125" style="151" customWidth="1"/>
    <col min="3081" max="3081" width="11.42578125" style="151"/>
    <col min="3082" max="3082" width="13.42578125" style="151" bestFit="1" customWidth="1"/>
    <col min="3083" max="3328" width="11.42578125" style="151"/>
    <col min="3329" max="3329" width="16.28515625" style="151" customWidth="1"/>
    <col min="3330" max="3332" width="11.42578125" style="151"/>
    <col min="3333" max="3333" width="14.140625" style="151" bestFit="1" customWidth="1"/>
    <col min="3334" max="3335" width="11.42578125" style="151"/>
    <col min="3336" max="3336" width="13.42578125" style="151" customWidth="1"/>
    <col min="3337" max="3337" width="11.42578125" style="151"/>
    <col min="3338" max="3338" width="13.42578125" style="151" bestFit="1" customWidth="1"/>
    <col min="3339" max="3584" width="11.42578125" style="151"/>
    <col min="3585" max="3585" width="16.28515625" style="151" customWidth="1"/>
    <col min="3586" max="3588" width="11.42578125" style="151"/>
    <col min="3589" max="3589" width="14.140625" style="151" bestFit="1" customWidth="1"/>
    <col min="3590" max="3591" width="11.42578125" style="151"/>
    <col min="3592" max="3592" width="13.42578125" style="151" customWidth="1"/>
    <col min="3593" max="3593" width="11.42578125" style="151"/>
    <col min="3594" max="3594" width="13.42578125" style="151" bestFit="1" customWidth="1"/>
    <col min="3595" max="3840" width="11.42578125" style="151"/>
    <col min="3841" max="3841" width="16.28515625" style="151" customWidth="1"/>
    <col min="3842" max="3844" width="11.42578125" style="151"/>
    <col min="3845" max="3845" width="14.140625" style="151" bestFit="1" customWidth="1"/>
    <col min="3846" max="3847" width="11.42578125" style="151"/>
    <col min="3848" max="3848" width="13.42578125" style="151" customWidth="1"/>
    <col min="3849" max="3849" width="11.42578125" style="151"/>
    <col min="3850" max="3850" width="13.42578125" style="151" bestFit="1" customWidth="1"/>
    <col min="3851" max="4096" width="11.42578125" style="151"/>
    <col min="4097" max="4097" width="16.28515625" style="151" customWidth="1"/>
    <col min="4098" max="4100" width="11.42578125" style="151"/>
    <col min="4101" max="4101" width="14.140625" style="151" bestFit="1" customWidth="1"/>
    <col min="4102" max="4103" width="11.42578125" style="151"/>
    <col min="4104" max="4104" width="13.42578125" style="151" customWidth="1"/>
    <col min="4105" max="4105" width="11.42578125" style="151"/>
    <col min="4106" max="4106" width="13.42578125" style="151" bestFit="1" customWidth="1"/>
    <col min="4107" max="4352" width="11.42578125" style="151"/>
    <col min="4353" max="4353" width="16.28515625" style="151" customWidth="1"/>
    <col min="4354" max="4356" width="11.42578125" style="151"/>
    <col min="4357" max="4357" width="14.140625" style="151" bestFit="1" customWidth="1"/>
    <col min="4358" max="4359" width="11.42578125" style="151"/>
    <col min="4360" max="4360" width="13.42578125" style="151" customWidth="1"/>
    <col min="4361" max="4361" width="11.42578125" style="151"/>
    <col min="4362" max="4362" width="13.42578125" style="151" bestFit="1" customWidth="1"/>
    <col min="4363" max="4608" width="11.42578125" style="151"/>
    <col min="4609" max="4609" width="16.28515625" style="151" customWidth="1"/>
    <col min="4610" max="4612" width="11.42578125" style="151"/>
    <col min="4613" max="4613" width="14.140625" style="151" bestFit="1" customWidth="1"/>
    <col min="4614" max="4615" width="11.42578125" style="151"/>
    <col min="4616" max="4616" width="13.42578125" style="151" customWidth="1"/>
    <col min="4617" max="4617" width="11.42578125" style="151"/>
    <col min="4618" max="4618" width="13.42578125" style="151" bestFit="1" customWidth="1"/>
    <col min="4619" max="4864" width="11.42578125" style="151"/>
    <col min="4865" max="4865" width="16.28515625" style="151" customWidth="1"/>
    <col min="4866" max="4868" width="11.42578125" style="151"/>
    <col min="4869" max="4869" width="14.140625" style="151" bestFit="1" customWidth="1"/>
    <col min="4870" max="4871" width="11.42578125" style="151"/>
    <col min="4872" max="4872" width="13.42578125" style="151" customWidth="1"/>
    <col min="4873" max="4873" width="11.42578125" style="151"/>
    <col min="4874" max="4874" width="13.42578125" style="151" bestFit="1" customWidth="1"/>
    <col min="4875" max="5120" width="11.42578125" style="151"/>
    <col min="5121" max="5121" width="16.28515625" style="151" customWidth="1"/>
    <col min="5122" max="5124" width="11.42578125" style="151"/>
    <col min="5125" max="5125" width="14.140625" style="151" bestFit="1" customWidth="1"/>
    <col min="5126" max="5127" width="11.42578125" style="151"/>
    <col min="5128" max="5128" width="13.42578125" style="151" customWidth="1"/>
    <col min="5129" max="5129" width="11.42578125" style="151"/>
    <col min="5130" max="5130" width="13.42578125" style="151" bestFit="1" customWidth="1"/>
    <col min="5131" max="5376" width="11.42578125" style="151"/>
    <col min="5377" max="5377" width="16.28515625" style="151" customWidth="1"/>
    <col min="5378" max="5380" width="11.42578125" style="151"/>
    <col min="5381" max="5381" width="14.140625" style="151" bestFit="1" customWidth="1"/>
    <col min="5382" max="5383" width="11.42578125" style="151"/>
    <col min="5384" max="5384" width="13.42578125" style="151" customWidth="1"/>
    <col min="5385" max="5385" width="11.42578125" style="151"/>
    <col min="5386" max="5386" width="13.42578125" style="151" bestFit="1" customWidth="1"/>
    <col min="5387" max="5632" width="11.42578125" style="151"/>
    <col min="5633" max="5633" width="16.28515625" style="151" customWidth="1"/>
    <col min="5634" max="5636" width="11.42578125" style="151"/>
    <col min="5637" max="5637" width="14.140625" style="151" bestFit="1" customWidth="1"/>
    <col min="5638" max="5639" width="11.42578125" style="151"/>
    <col min="5640" max="5640" width="13.42578125" style="151" customWidth="1"/>
    <col min="5641" max="5641" width="11.42578125" style="151"/>
    <col min="5642" max="5642" width="13.42578125" style="151" bestFit="1" customWidth="1"/>
    <col min="5643" max="5888" width="11.42578125" style="151"/>
    <col min="5889" max="5889" width="16.28515625" style="151" customWidth="1"/>
    <col min="5890" max="5892" width="11.42578125" style="151"/>
    <col min="5893" max="5893" width="14.140625" style="151" bestFit="1" customWidth="1"/>
    <col min="5894" max="5895" width="11.42578125" style="151"/>
    <col min="5896" max="5896" width="13.42578125" style="151" customWidth="1"/>
    <col min="5897" max="5897" width="11.42578125" style="151"/>
    <col min="5898" max="5898" width="13.42578125" style="151" bestFit="1" customWidth="1"/>
    <col min="5899" max="6144" width="11.42578125" style="151"/>
    <col min="6145" max="6145" width="16.28515625" style="151" customWidth="1"/>
    <col min="6146" max="6148" width="11.42578125" style="151"/>
    <col min="6149" max="6149" width="14.140625" style="151" bestFit="1" customWidth="1"/>
    <col min="6150" max="6151" width="11.42578125" style="151"/>
    <col min="6152" max="6152" width="13.42578125" style="151" customWidth="1"/>
    <col min="6153" max="6153" width="11.42578125" style="151"/>
    <col min="6154" max="6154" width="13.42578125" style="151" bestFit="1" customWidth="1"/>
    <col min="6155" max="6400" width="11.42578125" style="151"/>
    <col min="6401" max="6401" width="16.28515625" style="151" customWidth="1"/>
    <col min="6402" max="6404" width="11.42578125" style="151"/>
    <col min="6405" max="6405" width="14.140625" style="151" bestFit="1" customWidth="1"/>
    <col min="6406" max="6407" width="11.42578125" style="151"/>
    <col min="6408" max="6408" width="13.42578125" style="151" customWidth="1"/>
    <col min="6409" max="6409" width="11.42578125" style="151"/>
    <col min="6410" max="6410" width="13.42578125" style="151" bestFit="1" customWidth="1"/>
    <col min="6411" max="6656" width="11.42578125" style="151"/>
    <col min="6657" max="6657" width="16.28515625" style="151" customWidth="1"/>
    <col min="6658" max="6660" width="11.42578125" style="151"/>
    <col min="6661" max="6661" width="14.140625" style="151" bestFit="1" customWidth="1"/>
    <col min="6662" max="6663" width="11.42578125" style="151"/>
    <col min="6664" max="6664" width="13.42578125" style="151" customWidth="1"/>
    <col min="6665" max="6665" width="11.42578125" style="151"/>
    <col min="6666" max="6666" width="13.42578125" style="151" bestFit="1" customWidth="1"/>
    <col min="6667" max="6912" width="11.42578125" style="151"/>
    <col min="6913" max="6913" width="16.28515625" style="151" customWidth="1"/>
    <col min="6914" max="6916" width="11.42578125" style="151"/>
    <col min="6917" max="6917" width="14.140625" style="151" bestFit="1" customWidth="1"/>
    <col min="6918" max="6919" width="11.42578125" style="151"/>
    <col min="6920" max="6920" width="13.42578125" style="151" customWidth="1"/>
    <col min="6921" max="6921" width="11.42578125" style="151"/>
    <col min="6922" max="6922" width="13.42578125" style="151" bestFit="1" customWidth="1"/>
    <col min="6923" max="7168" width="11.42578125" style="151"/>
    <col min="7169" max="7169" width="16.28515625" style="151" customWidth="1"/>
    <col min="7170" max="7172" width="11.42578125" style="151"/>
    <col min="7173" max="7173" width="14.140625" style="151" bestFit="1" customWidth="1"/>
    <col min="7174" max="7175" width="11.42578125" style="151"/>
    <col min="7176" max="7176" width="13.42578125" style="151" customWidth="1"/>
    <col min="7177" max="7177" width="11.42578125" style="151"/>
    <col min="7178" max="7178" width="13.42578125" style="151" bestFit="1" customWidth="1"/>
    <col min="7179" max="7424" width="11.42578125" style="151"/>
    <col min="7425" max="7425" width="16.28515625" style="151" customWidth="1"/>
    <col min="7426" max="7428" width="11.42578125" style="151"/>
    <col min="7429" max="7429" width="14.140625" style="151" bestFit="1" customWidth="1"/>
    <col min="7430" max="7431" width="11.42578125" style="151"/>
    <col min="7432" max="7432" width="13.42578125" style="151" customWidth="1"/>
    <col min="7433" max="7433" width="11.42578125" style="151"/>
    <col min="7434" max="7434" width="13.42578125" style="151" bestFit="1" customWidth="1"/>
    <col min="7435" max="7680" width="11.42578125" style="151"/>
    <col min="7681" max="7681" width="16.28515625" style="151" customWidth="1"/>
    <col min="7682" max="7684" width="11.42578125" style="151"/>
    <col min="7685" max="7685" width="14.140625" style="151" bestFit="1" customWidth="1"/>
    <col min="7686" max="7687" width="11.42578125" style="151"/>
    <col min="7688" max="7688" width="13.42578125" style="151" customWidth="1"/>
    <col min="7689" max="7689" width="11.42578125" style="151"/>
    <col min="7690" max="7690" width="13.42578125" style="151" bestFit="1" customWidth="1"/>
    <col min="7691" max="7936" width="11.42578125" style="151"/>
    <col min="7937" max="7937" width="16.28515625" style="151" customWidth="1"/>
    <col min="7938" max="7940" width="11.42578125" style="151"/>
    <col min="7941" max="7941" width="14.140625" style="151" bestFit="1" customWidth="1"/>
    <col min="7942" max="7943" width="11.42578125" style="151"/>
    <col min="7944" max="7944" width="13.42578125" style="151" customWidth="1"/>
    <col min="7945" max="7945" width="11.42578125" style="151"/>
    <col min="7946" max="7946" width="13.42578125" style="151" bestFit="1" customWidth="1"/>
    <col min="7947" max="8192" width="11.42578125" style="151"/>
    <col min="8193" max="8193" width="16.28515625" style="151" customWidth="1"/>
    <col min="8194" max="8196" width="11.42578125" style="151"/>
    <col min="8197" max="8197" width="14.140625" style="151" bestFit="1" customWidth="1"/>
    <col min="8198" max="8199" width="11.42578125" style="151"/>
    <col min="8200" max="8200" width="13.42578125" style="151" customWidth="1"/>
    <col min="8201" max="8201" width="11.42578125" style="151"/>
    <col min="8202" max="8202" width="13.42578125" style="151" bestFit="1" customWidth="1"/>
    <col min="8203" max="8448" width="11.42578125" style="151"/>
    <col min="8449" max="8449" width="16.28515625" style="151" customWidth="1"/>
    <col min="8450" max="8452" width="11.42578125" style="151"/>
    <col min="8453" max="8453" width="14.140625" style="151" bestFit="1" customWidth="1"/>
    <col min="8454" max="8455" width="11.42578125" style="151"/>
    <col min="8456" max="8456" width="13.42578125" style="151" customWidth="1"/>
    <col min="8457" max="8457" width="11.42578125" style="151"/>
    <col min="8458" max="8458" width="13.42578125" style="151" bestFit="1" customWidth="1"/>
    <col min="8459" max="8704" width="11.42578125" style="151"/>
    <col min="8705" max="8705" width="16.28515625" style="151" customWidth="1"/>
    <col min="8706" max="8708" width="11.42578125" style="151"/>
    <col min="8709" max="8709" width="14.140625" style="151" bestFit="1" customWidth="1"/>
    <col min="8710" max="8711" width="11.42578125" style="151"/>
    <col min="8712" max="8712" width="13.42578125" style="151" customWidth="1"/>
    <col min="8713" max="8713" width="11.42578125" style="151"/>
    <col min="8714" max="8714" width="13.42578125" style="151" bestFit="1" customWidth="1"/>
    <col min="8715" max="8960" width="11.42578125" style="151"/>
    <col min="8961" max="8961" width="16.28515625" style="151" customWidth="1"/>
    <col min="8962" max="8964" width="11.42578125" style="151"/>
    <col min="8965" max="8965" width="14.140625" style="151" bestFit="1" customWidth="1"/>
    <col min="8966" max="8967" width="11.42578125" style="151"/>
    <col min="8968" max="8968" width="13.42578125" style="151" customWidth="1"/>
    <col min="8969" max="8969" width="11.42578125" style="151"/>
    <col min="8970" max="8970" width="13.42578125" style="151" bestFit="1" customWidth="1"/>
    <col min="8971" max="9216" width="11.42578125" style="151"/>
    <col min="9217" max="9217" width="16.28515625" style="151" customWidth="1"/>
    <col min="9218" max="9220" width="11.42578125" style="151"/>
    <col min="9221" max="9221" width="14.140625" style="151" bestFit="1" customWidth="1"/>
    <col min="9222" max="9223" width="11.42578125" style="151"/>
    <col min="9224" max="9224" width="13.42578125" style="151" customWidth="1"/>
    <col min="9225" max="9225" width="11.42578125" style="151"/>
    <col min="9226" max="9226" width="13.42578125" style="151" bestFit="1" customWidth="1"/>
    <col min="9227" max="9472" width="11.42578125" style="151"/>
    <col min="9473" max="9473" width="16.28515625" style="151" customWidth="1"/>
    <col min="9474" max="9476" width="11.42578125" style="151"/>
    <col min="9477" max="9477" width="14.140625" style="151" bestFit="1" customWidth="1"/>
    <col min="9478" max="9479" width="11.42578125" style="151"/>
    <col min="9480" max="9480" width="13.42578125" style="151" customWidth="1"/>
    <col min="9481" max="9481" width="11.42578125" style="151"/>
    <col min="9482" max="9482" width="13.42578125" style="151" bestFit="1" customWidth="1"/>
    <col min="9483" max="9728" width="11.42578125" style="151"/>
    <col min="9729" max="9729" width="16.28515625" style="151" customWidth="1"/>
    <col min="9730" max="9732" width="11.42578125" style="151"/>
    <col min="9733" max="9733" width="14.140625" style="151" bestFit="1" customWidth="1"/>
    <col min="9734" max="9735" width="11.42578125" style="151"/>
    <col min="9736" max="9736" width="13.42578125" style="151" customWidth="1"/>
    <col min="9737" max="9737" width="11.42578125" style="151"/>
    <col min="9738" max="9738" width="13.42578125" style="151" bestFit="1" customWidth="1"/>
    <col min="9739" max="9984" width="11.42578125" style="151"/>
    <col min="9985" max="9985" width="16.28515625" style="151" customWidth="1"/>
    <col min="9986" max="9988" width="11.42578125" style="151"/>
    <col min="9989" max="9989" width="14.140625" style="151" bestFit="1" customWidth="1"/>
    <col min="9990" max="9991" width="11.42578125" style="151"/>
    <col min="9992" max="9992" width="13.42578125" style="151" customWidth="1"/>
    <col min="9993" max="9993" width="11.42578125" style="151"/>
    <col min="9994" max="9994" width="13.42578125" style="151" bestFit="1" customWidth="1"/>
    <col min="9995" max="10240" width="11.42578125" style="151"/>
    <col min="10241" max="10241" width="16.28515625" style="151" customWidth="1"/>
    <col min="10242" max="10244" width="11.42578125" style="151"/>
    <col min="10245" max="10245" width="14.140625" style="151" bestFit="1" customWidth="1"/>
    <col min="10246" max="10247" width="11.42578125" style="151"/>
    <col min="10248" max="10248" width="13.42578125" style="151" customWidth="1"/>
    <col min="10249" max="10249" width="11.42578125" style="151"/>
    <col min="10250" max="10250" width="13.42578125" style="151" bestFit="1" customWidth="1"/>
    <col min="10251" max="10496" width="11.42578125" style="151"/>
    <col min="10497" max="10497" width="16.28515625" style="151" customWidth="1"/>
    <col min="10498" max="10500" width="11.42578125" style="151"/>
    <col min="10501" max="10501" width="14.140625" style="151" bestFit="1" customWidth="1"/>
    <col min="10502" max="10503" width="11.42578125" style="151"/>
    <col min="10504" max="10504" width="13.42578125" style="151" customWidth="1"/>
    <col min="10505" max="10505" width="11.42578125" style="151"/>
    <col min="10506" max="10506" width="13.42578125" style="151" bestFit="1" customWidth="1"/>
    <col min="10507" max="10752" width="11.42578125" style="151"/>
    <col min="10753" max="10753" width="16.28515625" style="151" customWidth="1"/>
    <col min="10754" max="10756" width="11.42578125" style="151"/>
    <col min="10757" max="10757" width="14.140625" style="151" bestFit="1" customWidth="1"/>
    <col min="10758" max="10759" width="11.42578125" style="151"/>
    <col min="10760" max="10760" width="13.42578125" style="151" customWidth="1"/>
    <col min="10761" max="10761" width="11.42578125" style="151"/>
    <col min="10762" max="10762" width="13.42578125" style="151" bestFit="1" customWidth="1"/>
    <col min="10763" max="11008" width="11.42578125" style="151"/>
    <col min="11009" max="11009" width="16.28515625" style="151" customWidth="1"/>
    <col min="11010" max="11012" width="11.42578125" style="151"/>
    <col min="11013" max="11013" width="14.140625" style="151" bestFit="1" customWidth="1"/>
    <col min="11014" max="11015" width="11.42578125" style="151"/>
    <col min="11016" max="11016" width="13.42578125" style="151" customWidth="1"/>
    <col min="11017" max="11017" width="11.42578125" style="151"/>
    <col min="11018" max="11018" width="13.42578125" style="151" bestFit="1" customWidth="1"/>
    <col min="11019" max="11264" width="11.42578125" style="151"/>
    <col min="11265" max="11265" width="16.28515625" style="151" customWidth="1"/>
    <col min="11266" max="11268" width="11.42578125" style="151"/>
    <col min="11269" max="11269" width="14.140625" style="151" bestFit="1" customWidth="1"/>
    <col min="11270" max="11271" width="11.42578125" style="151"/>
    <col min="11272" max="11272" width="13.42578125" style="151" customWidth="1"/>
    <col min="11273" max="11273" width="11.42578125" style="151"/>
    <col min="11274" max="11274" width="13.42578125" style="151" bestFit="1" customWidth="1"/>
    <col min="11275" max="11520" width="11.42578125" style="151"/>
    <col min="11521" max="11521" width="16.28515625" style="151" customWidth="1"/>
    <col min="11522" max="11524" width="11.42578125" style="151"/>
    <col min="11525" max="11525" width="14.140625" style="151" bestFit="1" customWidth="1"/>
    <col min="11526" max="11527" width="11.42578125" style="151"/>
    <col min="11528" max="11528" width="13.42578125" style="151" customWidth="1"/>
    <col min="11529" max="11529" width="11.42578125" style="151"/>
    <col min="11530" max="11530" width="13.42578125" style="151" bestFit="1" customWidth="1"/>
    <col min="11531" max="11776" width="11.42578125" style="151"/>
    <col min="11777" max="11777" width="16.28515625" style="151" customWidth="1"/>
    <col min="11778" max="11780" width="11.42578125" style="151"/>
    <col min="11781" max="11781" width="14.140625" style="151" bestFit="1" customWidth="1"/>
    <col min="11782" max="11783" width="11.42578125" style="151"/>
    <col min="11784" max="11784" width="13.42578125" style="151" customWidth="1"/>
    <col min="11785" max="11785" width="11.42578125" style="151"/>
    <col min="11786" max="11786" width="13.42578125" style="151" bestFit="1" customWidth="1"/>
    <col min="11787" max="12032" width="11.42578125" style="151"/>
    <col min="12033" max="12033" width="16.28515625" style="151" customWidth="1"/>
    <col min="12034" max="12036" width="11.42578125" style="151"/>
    <col min="12037" max="12037" width="14.140625" style="151" bestFit="1" customWidth="1"/>
    <col min="12038" max="12039" width="11.42578125" style="151"/>
    <col min="12040" max="12040" width="13.42578125" style="151" customWidth="1"/>
    <col min="12041" max="12041" width="11.42578125" style="151"/>
    <col min="12042" max="12042" width="13.42578125" style="151" bestFit="1" customWidth="1"/>
    <col min="12043" max="12288" width="11.42578125" style="151"/>
    <col min="12289" max="12289" width="16.28515625" style="151" customWidth="1"/>
    <col min="12290" max="12292" width="11.42578125" style="151"/>
    <col min="12293" max="12293" width="14.140625" style="151" bestFit="1" customWidth="1"/>
    <col min="12294" max="12295" width="11.42578125" style="151"/>
    <col min="12296" max="12296" width="13.42578125" style="151" customWidth="1"/>
    <col min="12297" max="12297" width="11.42578125" style="151"/>
    <col min="12298" max="12298" width="13.42578125" style="151" bestFit="1" customWidth="1"/>
    <col min="12299" max="12544" width="11.42578125" style="151"/>
    <col min="12545" max="12545" width="16.28515625" style="151" customWidth="1"/>
    <col min="12546" max="12548" width="11.42578125" style="151"/>
    <col min="12549" max="12549" width="14.140625" style="151" bestFit="1" customWidth="1"/>
    <col min="12550" max="12551" width="11.42578125" style="151"/>
    <col min="12552" max="12552" width="13.42578125" style="151" customWidth="1"/>
    <col min="12553" max="12553" width="11.42578125" style="151"/>
    <col min="12554" max="12554" width="13.42578125" style="151" bestFit="1" customWidth="1"/>
    <col min="12555" max="12800" width="11.42578125" style="151"/>
    <col min="12801" max="12801" width="16.28515625" style="151" customWidth="1"/>
    <col min="12802" max="12804" width="11.42578125" style="151"/>
    <col min="12805" max="12805" width="14.140625" style="151" bestFit="1" customWidth="1"/>
    <col min="12806" max="12807" width="11.42578125" style="151"/>
    <col min="12808" max="12808" width="13.42578125" style="151" customWidth="1"/>
    <col min="12809" max="12809" width="11.42578125" style="151"/>
    <col min="12810" max="12810" width="13.42578125" style="151" bestFit="1" customWidth="1"/>
    <col min="12811" max="13056" width="11.42578125" style="151"/>
    <col min="13057" max="13057" width="16.28515625" style="151" customWidth="1"/>
    <col min="13058" max="13060" width="11.42578125" style="151"/>
    <col min="13061" max="13061" width="14.140625" style="151" bestFit="1" customWidth="1"/>
    <col min="13062" max="13063" width="11.42578125" style="151"/>
    <col min="13064" max="13064" width="13.42578125" style="151" customWidth="1"/>
    <col min="13065" max="13065" width="11.42578125" style="151"/>
    <col min="13066" max="13066" width="13.42578125" style="151" bestFit="1" customWidth="1"/>
    <col min="13067" max="13312" width="11.42578125" style="151"/>
    <col min="13313" max="13313" width="16.28515625" style="151" customWidth="1"/>
    <col min="13314" max="13316" width="11.42578125" style="151"/>
    <col min="13317" max="13317" width="14.140625" style="151" bestFit="1" customWidth="1"/>
    <col min="13318" max="13319" width="11.42578125" style="151"/>
    <col min="13320" max="13320" width="13.42578125" style="151" customWidth="1"/>
    <col min="13321" max="13321" width="11.42578125" style="151"/>
    <col min="13322" max="13322" width="13.42578125" style="151" bestFit="1" customWidth="1"/>
    <col min="13323" max="13568" width="11.42578125" style="151"/>
    <col min="13569" max="13569" width="16.28515625" style="151" customWidth="1"/>
    <col min="13570" max="13572" width="11.42578125" style="151"/>
    <col min="13573" max="13573" width="14.140625" style="151" bestFit="1" customWidth="1"/>
    <col min="13574" max="13575" width="11.42578125" style="151"/>
    <col min="13576" max="13576" width="13.42578125" style="151" customWidth="1"/>
    <col min="13577" max="13577" width="11.42578125" style="151"/>
    <col min="13578" max="13578" width="13.42578125" style="151" bestFit="1" customWidth="1"/>
    <col min="13579" max="13824" width="11.42578125" style="151"/>
    <col min="13825" max="13825" width="16.28515625" style="151" customWidth="1"/>
    <col min="13826" max="13828" width="11.42578125" style="151"/>
    <col min="13829" max="13829" width="14.140625" style="151" bestFit="1" customWidth="1"/>
    <col min="13830" max="13831" width="11.42578125" style="151"/>
    <col min="13832" max="13832" width="13.42578125" style="151" customWidth="1"/>
    <col min="13833" max="13833" width="11.42578125" style="151"/>
    <col min="13834" max="13834" width="13.42578125" style="151" bestFit="1" customWidth="1"/>
    <col min="13835" max="14080" width="11.42578125" style="151"/>
    <col min="14081" max="14081" width="16.28515625" style="151" customWidth="1"/>
    <col min="14082" max="14084" width="11.42578125" style="151"/>
    <col min="14085" max="14085" width="14.140625" style="151" bestFit="1" customWidth="1"/>
    <col min="14086" max="14087" width="11.42578125" style="151"/>
    <col min="14088" max="14088" width="13.42578125" style="151" customWidth="1"/>
    <col min="14089" max="14089" width="11.42578125" style="151"/>
    <col min="14090" max="14090" width="13.42578125" style="151" bestFit="1" customWidth="1"/>
    <col min="14091" max="14336" width="11.42578125" style="151"/>
    <col min="14337" max="14337" width="16.28515625" style="151" customWidth="1"/>
    <col min="14338" max="14340" width="11.42578125" style="151"/>
    <col min="14341" max="14341" width="14.140625" style="151" bestFit="1" customWidth="1"/>
    <col min="14342" max="14343" width="11.42578125" style="151"/>
    <col min="14344" max="14344" width="13.42578125" style="151" customWidth="1"/>
    <col min="14345" max="14345" width="11.42578125" style="151"/>
    <col min="14346" max="14346" width="13.42578125" style="151" bestFit="1" customWidth="1"/>
    <col min="14347" max="14592" width="11.42578125" style="151"/>
    <col min="14593" max="14593" width="16.28515625" style="151" customWidth="1"/>
    <col min="14594" max="14596" width="11.42578125" style="151"/>
    <col min="14597" max="14597" width="14.140625" style="151" bestFit="1" customWidth="1"/>
    <col min="14598" max="14599" width="11.42578125" style="151"/>
    <col min="14600" max="14600" width="13.42578125" style="151" customWidth="1"/>
    <col min="14601" max="14601" width="11.42578125" style="151"/>
    <col min="14602" max="14602" width="13.42578125" style="151" bestFit="1" customWidth="1"/>
    <col min="14603" max="14848" width="11.42578125" style="151"/>
    <col min="14849" max="14849" width="16.28515625" style="151" customWidth="1"/>
    <col min="14850" max="14852" width="11.42578125" style="151"/>
    <col min="14853" max="14853" width="14.140625" style="151" bestFit="1" customWidth="1"/>
    <col min="14854" max="14855" width="11.42578125" style="151"/>
    <col min="14856" max="14856" width="13.42578125" style="151" customWidth="1"/>
    <col min="14857" max="14857" width="11.42578125" style="151"/>
    <col min="14858" max="14858" width="13.42578125" style="151" bestFit="1" customWidth="1"/>
    <col min="14859" max="15104" width="11.42578125" style="151"/>
    <col min="15105" max="15105" width="16.28515625" style="151" customWidth="1"/>
    <col min="15106" max="15108" width="11.42578125" style="151"/>
    <col min="15109" max="15109" width="14.140625" style="151" bestFit="1" customWidth="1"/>
    <col min="15110" max="15111" width="11.42578125" style="151"/>
    <col min="15112" max="15112" width="13.42578125" style="151" customWidth="1"/>
    <col min="15113" max="15113" width="11.42578125" style="151"/>
    <col min="15114" max="15114" width="13.42578125" style="151" bestFit="1" customWidth="1"/>
    <col min="15115" max="15360" width="11.42578125" style="151"/>
    <col min="15361" max="15361" width="16.28515625" style="151" customWidth="1"/>
    <col min="15362" max="15364" width="11.42578125" style="151"/>
    <col min="15365" max="15365" width="14.140625" style="151" bestFit="1" customWidth="1"/>
    <col min="15366" max="15367" width="11.42578125" style="151"/>
    <col min="15368" max="15368" width="13.42578125" style="151" customWidth="1"/>
    <col min="15369" max="15369" width="11.42578125" style="151"/>
    <col min="15370" max="15370" width="13.42578125" style="151" bestFit="1" customWidth="1"/>
    <col min="15371" max="15616" width="11.42578125" style="151"/>
    <col min="15617" max="15617" width="16.28515625" style="151" customWidth="1"/>
    <col min="15618" max="15620" width="11.42578125" style="151"/>
    <col min="15621" max="15621" width="14.140625" style="151" bestFit="1" customWidth="1"/>
    <col min="15622" max="15623" width="11.42578125" style="151"/>
    <col min="15624" max="15624" width="13.42578125" style="151" customWidth="1"/>
    <col min="15625" max="15625" width="11.42578125" style="151"/>
    <col min="15626" max="15626" width="13.42578125" style="151" bestFit="1" customWidth="1"/>
    <col min="15627" max="15872" width="11.42578125" style="151"/>
    <col min="15873" max="15873" width="16.28515625" style="151" customWidth="1"/>
    <col min="15874" max="15876" width="11.42578125" style="151"/>
    <col min="15877" max="15877" width="14.140625" style="151" bestFit="1" customWidth="1"/>
    <col min="15878" max="15879" width="11.42578125" style="151"/>
    <col min="15880" max="15880" width="13.42578125" style="151" customWidth="1"/>
    <col min="15881" max="15881" width="11.42578125" style="151"/>
    <col min="15882" max="15882" width="13.42578125" style="151" bestFit="1" customWidth="1"/>
    <col min="15883" max="16128" width="11.42578125" style="151"/>
    <col min="16129" max="16129" width="16.28515625" style="151" customWidth="1"/>
    <col min="16130" max="16132" width="11.42578125" style="151"/>
    <col min="16133" max="16133" width="14.140625" style="151" bestFit="1" customWidth="1"/>
    <col min="16134" max="16135" width="11.42578125" style="151"/>
    <col min="16136" max="16136" width="13.42578125" style="151" customWidth="1"/>
    <col min="16137" max="16137" width="11.42578125" style="151"/>
    <col min="16138" max="16138" width="13.42578125" style="151" bestFit="1" customWidth="1"/>
    <col min="16139" max="16384" width="11.42578125" style="151"/>
  </cols>
  <sheetData>
    <row r="5" spans="2:9" x14ac:dyDescent="0.2">
      <c r="B5" s="150"/>
      <c r="C5" s="150"/>
      <c r="D5" s="150"/>
      <c r="E5" s="150"/>
      <c r="F5" s="150"/>
      <c r="G5" s="150"/>
      <c r="H5" s="150"/>
    </row>
    <row r="6" spans="2:9" ht="23.25" x14ac:dyDescent="0.35">
      <c r="B6" s="152"/>
      <c r="C6" s="150"/>
      <c r="D6" s="150"/>
      <c r="E6" s="150"/>
      <c r="F6" s="150"/>
      <c r="G6" s="150"/>
      <c r="H6" s="150"/>
      <c r="I6" s="153"/>
    </row>
    <row r="7" spans="2:9" x14ac:dyDescent="0.2">
      <c r="B7" s="150"/>
      <c r="C7" s="150"/>
      <c r="D7" s="150"/>
      <c r="E7" s="150"/>
      <c r="F7" s="150"/>
      <c r="G7" s="150"/>
      <c r="H7" s="150"/>
      <c r="I7" s="150"/>
    </row>
    <row r="8" spans="2:9" x14ac:dyDescent="0.2">
      <c r="B8" s="150"/>
      <c r="C8" s="150"/>
      <c r="D8" s="150"/>
      <c r="F8" s="150"/>
      <c r="G8" s="150"/>
      <c r="H8" s="150"/>
    </row>
    <row r="9" spans="2:9" x14ac:dyDescent="0.2">
      <c r="B9" s="150"/>
      <c r="C9" s="150"/>
      <c r="D9" s="150"/>
      <c r="E9" s="150"/>
      <c r="F9" s="150"/>
      <c r="G9" s="150"/>
      <c r="H9" s="150"/>
    </row>
    <row r="10" spans="2:9" ht="23.25" x14ac:dyDescent="0.35">
      <c r="B10" s="150"/>
      <c r="C10" s="150"/>
      <c r="D10" s="150"/>
      <c r="I10" s="153"/>
    </row>
    <row r="11" spans="2:9" x14ac:dyDescent="0.2">
      <c r="B11" s="150"/>
      <c r="C11" s="150"/>
      <c r="D11" s="150"/>
    </row>
    <row r="12" spans="2:9" ht="27" customHeight="1" x14ac:dyDescent="0.35">
      <c r="B12" s="150"/>
      <c r="C12" s="150"/>
      <c r="D12" s="150"/>
      <c r="E12" s="150"/>
      <c r="F12" s="150"/>
      <c r="G12" s="150"/>
      <c r="H12" s="150"/>
      <c r="I12" s="153"/>
    </row>
    <row r="13" spans="2:9" ht="19.5" customHeight="1" x14ac:dyDescent="0.35">
      <c r="B13" s="150"/>
      <c r="C13" s="154"/>
      <c r="D13" s="154"/>
      <c r="E13" s="154"/>
      <c r="F13" s="154"/>
      <c r="G13" s="154"/>
      <c r="H13" s="154"/>
      <c r="I13" s="153"/>
    </row>
    <row r="14" spans="2:9" x14ac:dyDescent="0.2">
      <c r="B14" s="150"/>
      <c r="C14" s="150"/>
      <c r="D14" s="150"/>
      <c r="F14" s="150"/>
      <c r="G14" s="150"/>
      <c r="H14" s="150"/>
    </row>
    <row r="15" spans="2:9" x14ac:dyDescent="0.2">
      <c r="B15" s="150"/>
      <c r="C15" s="150"/>
      <c r="D15" s="150"/>
      <c r="F15" s="150"/>
      <c r="G15" s="150"/>
      <c r="H15" s="150"/>
      <c r="I15" s="150"/>
    </row>
    <row r="16" spans="2:9" ht="34.5" x14ac:dyDescent="0.45">
      <c r="B16" s="150"/>
      <c r="C16" s="150"/>
      <c r="D16" s="150"/>
      <c r="E16" s="155"/>
      <c r="F16" s="150"/>
      <c r="G16" s="150"/>
      <c r="H16" s="150"/>
      <c r="I16" s="150"/>
    </row>
    <row r="17" spans="2:9" ht="33" x14ac:dyDescent="0.45">
      <c r="B17" s="150"/>
      <c r="C17" s="150"/>
      <c r="D17" s="150"/>
      <c r="E17" s="156"/>
      <c r="F17" s="150"/>
      <c r="G17" s="150"/>
      <c r="H17" s="150"/>
      <c r="I17" s="150"/>
    </row>
    <row r="18" spans="2:9" ht="33" x14ac:dyDescent="0.45">
      <c r="D18" s="156"/>
    </row>
    <row r="19" spans="2:9" ht="18.75" x14ac:dyDescent="0.3">
      <c r="E19" s="157"/>
      <c r="I19" s="158"/>
    </row>
    <row r="21" spans="2:9" x14ac:dyDescent="0.2">
      <c r="E21" s="159"/>
    </row>
    <row r="22" spans="2:9" ht="26.25" x14ac:dyDescent="0.4">
      <c r="E22" s="160"/>
    </row>
    <row r="25" spans="2:9" ht="18.75" x14ac:dyDescent="0.3">
      <c r="E25" s="161"/>
    </row>
    <row r="26" spans="2:9" ht="18.75" x14ac:dyDescent="0.3">
      <c r="E26" s="162"/>
    </row>
    <row r="28" spans="2:9" x14ac:dyDescent="0.2">
      <c r="D28" s="154"/>
      <c r="E28" s="154"/>
      <c r="F28" s="154"/>
      <c r="G28" s="154"/>
      <c r="H28" s="154"/>
    </row>
    <row r="33" spans="1:9" ht="35.25" x14ac:dyDescent="0.2">
      <c r="A33" s="163"/>
    </row>
    <row r="36" spans="1:9" ht="33" x14ac:dyDescent="0.2">
      <c r="B36" s="164"/>
    </row>
    <row r="39" spans="1:9" ht="18" x14ac:dyDescent="0.25">
      <c r="B39" s="165"/>
    </row>
    <row r="41" spans="1:9" ht="18.75" x14ac:dyDescent="0.3">
      <c r="I41" s="166"/>
    </row>
    <row r="43" spans="1:9" ht="18.75" x14ac:dyDescent="0.3">
      <c r="B43" s="168"/>
      <c r="C43" s="168"/>
      <c r="D43" s="168"/>
    </row>
    <row r="57" spans="10:10" ht="18.75" x14ac:dyDescent="0.3">
      <c r="J57" s="167"/>
    </row>
  </sheetData>
  <mergeCells count="1">
    <mergeCell ref="B43:D43"/>
  </mergeCells>
  <pageMargins left="0.78740157480314965" right="0.78740157480314965" top="0.98425196850393704" bottom="0.98425196850393704" header="0.51181102362204722" footer="0.51181102362204722"/>
  <pageSetup paperSize="9" scale="6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148</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x14ac:dyDescent="0.2">
      <c r="A7" s="174" t="s">
        <v>42</v>
      </c>
      <c r="B7" s="19" t="s">
        <v>3</v>
      </c>
      <c r="C7" s="20">
        <v>251790</v>
      </c>
      <c r="D7" s="20">
        <v>249832.07214984566</v>
      </c>
      <c r="E7" s="21">
        <v>264124.51689077239</v>
      </c>
      <c r="F7" s="22" t="s">
        <v>240</v>
      </c>
      <c r="G7" s="23">
        <v>4.8987318363606107</v>
      </c>
      <c r="H7" s="24">
        <v>5.7208206368133148</v>
      </c>
    </row>
    <row r="8" spans="1:8" x14ac:dyDescent="0.2">
      <c r="A8" s="175"/>
      <c r="B8" s="25" t="s">
        <v>240</v>
      </c>
      <c r="C8" s="26" t="s">
        <v>240</v>
      </c>
      <c r="D8" s="26" t="s">
        <v>240</v>
      </c>
      <c r="E8" s="26" t="s">
        <v>240</v>
      </c>
      <c r="F8" s="27"/>
      <c r="G8" s="28" t="s">
        <v>240</v>
      </c>
      <c r="H8" s="29" t="s">
        <v>240</v>
      </c>
    </row>
    <row r="9" spans="1:8" x14ac:dyDescent="0.2">
      <c r="A9" s="30" t="s">
        <v>18</v>
      </c>
      <c r="B9" s="31" t="s">
        <v>3</v>
      </c>
      <c r="C9" s="20">
        <v>13010</v>
      </c>
      <c r="D9" s="20">
        <v>12845.532191304348</v>
      </c>
      <c r="E9" s="21">
        <v>11937.251773913044</v>
      </c>
      <c r="F9" s="22" t="s">
        <v>240</v>
      </c>
      <c r="G9" s="32">
        <v>-8.2455666878321097</v>
      </c>
      <c r="H9" s="33">
        <v>-7.07078853460159</v>
      </c>
    </row>
    <row r="10" spans="1:8" x14ac:dyDescent="0.2">
      <c r="A10" s="34"/>
      <c r="B10" s="25" t="s">
        <v>240</v>
      </c>
      <c r="C10" s="26" t="s">
        <v>240</v>
      </c>
      <c r="D10" s="26" t="s">
        <v>240</v>
      </c>
      <c r="E10" s="26" t="s">
        <v>240</v>
      </c>
      <c r="F10" s="27"/>
      <c r="G10" s="35" t="s">
        <v>240</v>
      </c>
      <c r="H10" s="29" t="s">
        <v>240</v>
      </c>
    </row>
    <row r="11" spans="1:8" x14ac:dyDescent="0.2">
      <c r="A11" s="30" t="s">
        <v>19</v>
      </c>
      <c r="B11" s="31" t="s">
        <v>3</v>
      </c>
      <c r="C11" s="20">
        <v>8966</v>
      </c>
      <c r="D11" s="20">
        <v>10764.107304347826</v>
      </c>
      <c r="E11" s="21">
        <v>16236.505913043478</v>
      </c>
      <c r="F11" s="22" t="s">
        <v>240</v>
      </c>
      <c r="G11" s="37">
        <v>81.08973804420566</v>
      </c>
      <c r="H11" s="33">
        <v>50.839316758624733</v>
      </c>
    </row>
    <row r="12" spans="1:8" x14ac:dyDescent="0.2">
      <c r="A12" s="34"/>
      <c r="B12" s="25" t="s">
        <v>240</v>
      </c>
      <c r="C12" s="26" t="s">
        <v>240</v>
      </c>
      <c r="D12" s="26" t="s">
        <v>240</v>
      </c>
      <c r="E12" s="26" t="s">
        <v>240</v>
      </c>
      <c r="F12" s="27"/>
      <c r="G12" s="28" t="s">
        <v>240</v>
      </c>
      <c r="H12" s="29" t="s">
        <v>240</v>
      </c>
    </row>
    <row r="13" spans="1:8" x14ac:dyDescent="0.2">
      <c r="A13" s="30" t="s">
        <v>20</v>
      </c>
      <c r="B13" s="31" t="s">
        <v>3</v>
      </c>
      <c r="C13" s="20">
        <v>23780</v>
      </c>
      <c r="D13" s="20">
        <v>31657.43204968944</v>
      </c>
      <c r="E13" s="21">
        <v>32287.336149068324</v>
      </c>
      <c r="F13" s="22" t="s">
        <v>240</v>
      </c>
      <c r="G13" s="23">
        <v>35.775173040657393</v>
      </c>
      <c r="H13" s="24">
        <v>1.9897510903290794</v>
      </c>
    </row>
    <row r="14" spans="1:8" x14ac:dyDescent="0.2">
      <c r="A14" s="34"/>
      <c r="B14" s="25" t="s">
        <v>240</v>
      </c>
      <c r="C14" s="26" t="s">
        <v>240</v>
      </c>
      <c r="D14" s="26" t="s">
        <v>240</v>
      </c>
      <c r="E14" s="26" t="s">
        <v>240</v>
      </c>
      <c r="F14" s="27"/>
      <c r="G14" s="38" t="s">
        <v>240</v>
      </c>
      <c r="H14" s="24" t="s">
        <v>240</v>
      </c>
    </row>
    <row r="15" spans="1:8" x14ac:dyDescent="0.2">
      <c r="A15" s="30" t="s">
        <v>21</v>
      </c>
      <c r="B15" s="31" t="s">
        <v>3</v>
      </c>
      <c r="C15" s="20">
        <v>2400</v>
      </c>
      <c r="D15" s="20">
        <v>2829.7093478260867</v>
      </c>
      <c r="E15" s="21">
        <v>3271.4313768115944</v>
      </c>
      <c r="F15" s="22" t="s">
        <v>240</v>
      </c>
      <c r="G15" s="37">
        <v>36.309640700483101</v>
      </c>
      <c r="H15" s="33">
        <v>15.610155485575177</v>
      </c>
    </row>
    <row r="16" spans="1:8" x14ac:dyDescent="0.2">
      <c r="A16" s="34"/>
      <c r="B16" s="25" t="s">
        <v>240</v>
      </c>
      <c r="C16" s="26" t="s">
        <v>240</v>
      </c>
      <c r="D16" s="26" t="s">
        <v>240</v>
      </c>
      <c r="E16" s="26" t="s">
        <v>240</v>
      </c>
      <c r="F16" s="27"/>
      <c r="G16" s="28" t="s">
        <v>240</v>
      </c>
      <c r="H16" s="29" t="s">
        <v>240</v>
      </c>
    </row>
    <row r="17" spans="1:8" x14ac:dyDescent="0.2">
      <c r="A17" s="30" t="s">
        <v>22</v>
      </c>
      <c r="B17" s="31" t="s">
        <v>3</v>
      </c>
      <c r="C17" s="20">
        <v>7183</v>
      </c>
      <c r="D17" s="20">
        <v>7941.7093478260867</v>
      </c>
      <c r="E17" s="21">
        <v>9443.4313768115935</v>
      </c>
      <c r="F17" s="22" t="s">
        <v>240</v>
      </c>
      <c r="G17" s="37">
        <v>31.469182469881559</v>
      </c>
      <c r="H17" s="33">
        <v>18.909304826127624</v>
      </c>
    </row>
    <row r="18" spans="1:8" x14ac:dyDescent="0.2">
      <c r="A18" s="34"/>
      <c r="B18" s="25" t="s">
        <v>240</v>
      </c>
      <c r="C18" s="26" t="s">
        <v>240</v>
      </c>
      <c r="D18" s="26" t="s">
        <v>240</v>
      </c>
      <c r="E18" s="26" t="s">
        <v>240</v>
      </c>
      <c r="F18" s="27"/>
      <c r="G18" s="28" t="s">
        <v>240</v>
      </c>
      <c r="H18" s="29" t="s">
        <v>240</v>
      </c>
    </row>
    <row r="19" spans="1:8" x14ac:dyDescent="0.2">
      <c r="A19" s="30" t="s">
        <v>189</v>
      </c>
      <c r="B19" s="31" t="s">
        <v>3</v>
      </c>
      <c r="C19" s="20">
        <v>182208</v>
      </c>
      <c r="D19" s="20">
        <v>174752.0801242236</v>
      </c>
      <c r="E19" s="21">
        <v>180191.84037267079</v>
      </c>
      <c r="F19" s="22" t="s">
        <v>240</v>
      </c>
      <c r="G19" s="23">
        <v>-1.1065154259578094</v>
      </c>
      <c r="H19" s="24">
        <v>3.1128443475924854</v>
      </c>
    </row>
    <row r="20" spans="1:8" x14ac:dyDescent="0.2">
      <c r="A20" s="30"/>
      <c r="B20" s="25" t="s">
        <v>240</v>
      </c>
      <c r="C20" s="26" t="s">
        <v>240</v>
      </c>
      <c r="D20" s="26" t="s">
        <v>240</v>
      </c>
      <c r="E20" s="26" t="s">
        <v>240</v>
      </c>
      <c r="F20" s="27"/>
      <c r="G20" s="38" t="s">
        <v>240</v>
      </c>
      <c r="H20" s="24" t="s">
        <v>240</v>
      </c>
    </row>
    <row r="21" spans="1:8" x14ac:dyDescent="0.2">
      <c r="A21" s="39" t="s">
        <v>12</v>
      </c>
      <c r="B21" s="31" t="s">
        <v>3</v>
      </c>
      <c r="C21" s="20">
        <v>2004</v>
      </c>
      <c r="D21" s="20">
        <v>1887.4256086956523</v>
      </c>
      <c r="E21" s="21">
        <v>1878.4588260869566</v>
      </c>
      <c r="F21" s="22" t="s">
        <v>240</v>
      </c>
      <c r="G21" s="37">
        <v>-6.2645296363794074</v>
      </c>
      <c r="H21" s="33">
        <v>-0.47508005440766965</v>
      </c>
    </row>
    <row r="22" spans="1:8" x14ac:dyDescent="0.2">
      <c r="A22" s="34"/>
      <c r="B22" s="25" t="s">
        <v>240</v>
      </c>
      <c r="C22" s="26" t="s">
        <v>240</v>
      </c>
      <c r="D22" s="26" t="s">
        <v>240</v>
      </c>
      <c r="E22" s="26" t="s">
        <v>240</v>
      </c>
      <c r="F22" s="27"/>
      <c r="G22" s="28" t="s">
        <v>240</v>
      </c>
      <c r="H22" s="29" t="s">
        <v>240</v>
      </c>
    </row>
    <row r="23" spans="1:8" x14ac:dyDescent="0.2">
      <c r="A23" s="39" t="s">
        <v>23</v>
      </c>
      <c r="B23" s="31" t="s">
        <v>3</v>
      </c>
      <c r="C23" s="20">
        <v>5327</v>
      </c>
      <c r="D23" s="20">
        <v>5248.7093478260867</v>
      </c>
      <c r="E23" s="21">
        <v>5164.4313768115944</v>
      </c>
      <c r="F23" s="22" t="s">
        <v>240</v>
      </c>
      <c r="G23" s="23">
        <v>-3.0517856802779306</v>
      </c>
      <c r="H23" s="24">
        <v>-1.6056894262853234</v>
      </c>
    </row>
    <row r="24" spans="1:8" x14ac:dyDescent="0.2">
      <c r="A24" s="34"/>
      <c r="B24" s="25" t="s">
        <v>240</v>
      </c>
      <c r="C24" s="26" t="s">
        <v>240</v>
      </c>
      <c r="D24" s="26" t="s">
        <v>240</v>
      </c>
      <c r="E24" s="26" t="s">
        <v>240</v>
      </c>
      <c r="F24" s="27"/>
      <c r="G24" s="28" t="s">
        <v>240</v>
      </c>
      <c r="H24" s="29" t="s">
        <v>240</v>
      </c>
    </row>
    <row r="25" spans="1:8" x14ac:dyDescent="0.2">
      <c r="A25" s="30" t="s">
        <v>24</v>
      </c>
      <c r="B25" s="31" t="s">
        <v>3</v>
      </c>
      <c r="C25" s="20">
        <v>9544</v>
      </c>
      <c r="D25" s="20">
        <v>6306.4186956521735</v>
      </c>
      <c r="E25" s="21">
        <v>9164.8627536231888</v>
      </c>
      <c r="F25" s="22" t="s">
        <v>240</v>
      </c>
      <c r="G25" s="23">
        <v>-3.9725193459431125</v>
      </c>
      <c r="H25" s="24">
        <v>45.325947989176655</v>
      </c>
    </row>
    <row r="26" spans="1:8" ht="13.5" thickBot="1" x14ac:dyDescent="0.25">
      <c r="A26" s="41"/>
      <c r="B26" s="42" t="s">
        <v>240</v>
      </c>
      <c r="C26" s="43" t="s">
        <v>240</v>
      </c>
      <c r="D26" s="43" t="s">
        <v>240</v>
      </c>
      <c r="E26" s="43" t="s">
        <v>240</v>
      </c>
      <c r="F26" s="44"/>
      <c r="G26" s="45" t="s">
        <v>240</v>
      </c>
      <c r="H26" s="46" t="s">
        <v>240</v>
      </c>
    </row>
    <row r="31" spans="1:8" x14ac:dyDescent="0.2">
      <c r="A31" s="47"/>
      <c r="B31" s="48"/>
      <c r="C31" s="49"/>
      <c r="D31" s="55"/>
      <c r="E31" s="49"/>
      <c r="F31" s="49"/>
      <c r="G31" s="50"/>
      <c r="H31" s="51"/>
    </row>
    <row r="32" spans="1:8" ht="16.5" thickBot="1" x14ac:dyDescent="0.3">
      <c r="A32" s="4" t="s">
        <v>43</v>
      </c>
      <c r="B32" s="5"/>
      <c r="C32" s="5"/>
      <c r="D32" s="5"/>
      <c r="E32" s="5"/>
      <c r="F32" s="5"/>
      <c r="G32" s="5"/>
      <c r="H32" s="6"/>
    </row>
    <row r="33" spans="1:8" x14ac:dyDescent="0.2">
      <c r="A33" s="7"/>
      <c r="B33" s="8"/>
      <c r="C33" s="178" t="s">
        <v>16</v>
      </c>
      <c r="D33" s="172"/>
      <c r="E33" s="172"/>
      <c r="F33" s="179"/>
      <c r="G33" s="172" t="s">
        <v>1</v>
      </c>
      <c r="H33" s="173"/>
    </row>
    <row r="34" spans="1:8" x14ac:dyDescent="0.2">
      <c r="A34" s="12"/>
      <c r="B34" s="13"/>
      <c r="C34" s="14" t="s">
        <v>235</v>
      </c>
      <c r="D34" s="15" t="s">
        <v>236</v>
      </c>
      <c r="E34" s="15" t="s">
        <v>237</v>
      </c>
      <c r="F34" s="16"/>
      <c r="G34" s="17" t="s">
        <v>238</v>
      </c>
      <c r="H34" s="18" t="s">
        <v>239</v>
      </c>
    </row>
    <row r="35" spans="1:8" ht="12.75" customHeight="1" x14ac:dyDescent="0.2">
      <c r="A35" s="174" t="s">
        <v>42</v>
      </c>
      <c r="B35" s="19" t="s">
        <v>3</v>
      </c>
      <c r="C35" s="80">
        <v>1815.0056375781719</v>
      </c>
      <c r="D35" s="80">
        <v>1971.5021411937803</v>
      </c>
      <c r="E35" s="83">
        <v>2368.1170533942236</v>
      </c>
      <c r="F35" s="22" t="s">
        <v>240</v>
      </c>
      <c r="G35" s="23">
        <v>30.47436351515077</v>
      </c>
      <c r="H35" s="24">
        <v>20.117396979355334</v>
      </c>
    </row>
    <row r="36" spans="1:8" ht="12.75" customHeight="1" x14ac:dyDescent="0.2">
      <c r="A36" s="175"/>
      <c r="B36" s="25" t="s">
        <v>240</v>
      </c>
      <c r="C36" s="82" t="s">
        <v>240</v>
      </c>
      <c r="D36" s="82" t="s">
        <v>240</v>
      </c>
      <c r="E36" s="82" t="s">
        <v>240</v>
      </c>
      <c r="F36" s="27"/>
      <c r="G36" s="28" t="s">
        <v>240</v>
      </c>
      <c r="H36" s="29" t="s">
        <v>240</v>
      </c>
    </row>
    <row r="37" spans="1:8" x14ac:dyDescent="0.2">
      <c r="A37" s="30" t="s">
        <v>18</v>
      </c>
      <c r="B37" s="31" t="s">
        <v>3</v>
      </c>
      <c r="C37" s="80">
        <v>481.52034743058601</v>
      </c>
      <c r="D37" s="80">
        <v>566.07669651839933</v>
      </c>
      <c r="E37" s="83">
        <v>524.06085049805722</v>
      </c>
      <c r="F37" s="22" t="s">
        <v>240</v>
      </c>
      <c r="G37" s="32">
        <v>8.8346221077612199</v>
      </c>
      <c r="H37" s="33">
        <v>-7.4222885836418584</v>
      </c>
    </row>
    <row r="38" spans="1:8" x14ac:dyDescent="0.2">
      <c r="A38" s="34"/>
      <c r="B38" s="25" t="s">
        <v>240</v>
      </c>
      <c r="C38" s="82" t="s">
        <v>240</v>
      </c>
      <c r="D38" s="82" t="s">
        <v>240</v>
      </c>
      <c r="E38" s="82" t="s">
        <v>240</v>
      </c>
      <c r="F38" s="27"/>
      <c r="G38" s="35" t="s">
        <v>240</v>
      </c>
      <c r="H38" s="29" t="s">
        <v>240</v>
      </c>
    </row>
    <row r="39" spans="1:8" x14ac:dyDescent="0.2">
      <c r="A39" s="30" t="s">
        <v>19</v>
      </c>
      <c r="B39" s="31" t="s">
        <v>3</v>
      </c>
      <c r="C39" s="80">
        <v>119.49627791210958</v>
      </c>
      <c r="D39" s="80">
        <v>149.6795137442426</v>
      </c>
      <c r="E39" s="83">
        <v>409.80880028414924</v>
      </c>
      <c r="F39" s="22" t="s">
        <v>240</v>
      </c>
      <c r="G39" s="37">
        <v>242.94691637639687</v>
      </c>
      <c r="H39" s="33">
        <v>173.79084153385855</v>
      </c>
    </row>
    <row r="40" spans="1:8" x14ac:dyDescent="0.2">
      <c r="A40" s="34"/>
      <c r="B40" s="25" t="s">
        <v>240</v>
      </c>
      <c r="C40" s="82" t="s">
        <v>240</v>
      </c>
      <c r="D40" s="82" t="s">
        <v>240</v>
      </c>
      <c r="E40" s="82" t="s">
        <v>240</v>
      </c>
      <c r="F40" s="27"/>
      <c r="G40" s="28" t="s">
        <v>240</v>
      </c>
      <c r="H40" s="29" t="s">
        <v>240</v>
      </c>
    </row>
    <row r="41" spans="1:8" x14ac:dyDescent="0.2">
      <c r="A41" s="30" t="s">
        <v>20</v>
      </c>
      <c r="B41" s="31" t="s">
        <v>3</v>
      </c>
      <c r="C41" s="80">
        <v>238.26323056774183</v>
      </c>
      <c r="D41" s="80">
        <v>346.31558031625724</v>
      </c>
      <c r="E41" s="83">
        <v>396.16162419513506</v>
      </c>
      <c r="F41" s="22" t="s">
        <v>240</v>
      </c>
      <c r="G41" s="23">
        <v>66.270566906671888</v>
      </c>
      <c r="H41" s="24">
        <v>14.393243247490673</v>
      </c>
    </row>
    <row r="42" spans="1:8" x14ac:dyDescent="0.2">
      <c r="A42" s="34"/>
      <c r="B42" s="25" t="s">
        <v>240</v>
      </c>
      <c r="C42" s="82" t="s">
        <v>240</v>
      </c>
      <c r="D42" s="82" t="s">
        <v>240</v>
      </c>
      <c r="E42" s="82" t="s">
        <v>240</v>
      </c>
      <c r="F42" s="27"/>
      <c r="G42" s="38" t="s">
        <v>240</v>
      </c>
      <c r="H42" s="24" t="s">
        <v>240</v>
      </c>
    </row>
    <row r="43" spans="1:8" x14ac:dyDescent="0.2">
      <c r="A43" s="30" t="s">
        <v>21</v>
      </c>
      <c r="B43" s="31" t="s">
        <v>3</v>
      </c>
      <c r="C43" s="80">
        <v>16.42417481485889</v>
      </c>
      <c r="D43" s="80">
        <v>17.439241986789909</v>
      </c>
      <c r="E43" s="83">
        <v>20.523302093918527</v>
      </c>
      <c r="F43" s="22" t="s">
        <v>240</v>
      </c>
      <c r="G43" s="37">
        <v>24.957888754028417</v>
      </c>
      <c r="H43" s="33">
        <v>17.684599533997925</v>
      </c>
    </row>
    <row r="44" spans="1:8" x14ac:dyDescent="0.2">
      <c r="A44" s="34"/>
      <c r="B44" s="25" t="s">
        <v>240</v>
      </c>
      <c r="C44" s="82" t="s">
        <v>240</v>
      </c>
      <c r="D44" s="82" t="s">
        <v>240</v>
      </c>
      <c r="E44" s="82" t="s">
        <v>240</v>
      </c>
      <c r="F44" s="27"/>
      <c r="G44" s="28" t="s">
        <v>240</v>
      </c>
      <c r="H44" s="29" t="s">
        <v>240</v>
      </c>
    </row>
    <row r="45" spans="1:8" x14ac:dyDescent="0.2">
      <c r="A45" s="30" t="s">
        <v>22</v>
      </c>
      <c r="B45" s="31" t="s">
        <v>3</v>
      </c>
      <c r="C45" s="80">
        <v>34.15859753709514</v>
      </c>
      <c r="D45" s="80">
        <v>40.107064810112547</v>
      </c>
      <c r="E45" s="83">
        <v>77.011305541643353</v>
      </c>
      <c r="F45" s="22" t="s">
        <v>240</v>
      </c>
      <c r="G45" s="37">
        <v>125.45218801214406</v>
      </c>
      <c r="H45" s="33">
        <v>92.014314451218127</v>
      </c>
    </row>
    <row r="46" spans="1:8" x14ac:dyDescent="0.2">
      <c r="A46" s="34"/>
      <c r="B46" s="25" t="s">
        <v>240</v>
      </c>
      <c r="C46" s="82" t="s">
        <v>240</v>
      </c>
      <c r="D46" s="82" t="s">
        <v>240</v>
      </c>
      <c r="E46" s="82" t="s">
        <v>240</v>
      </c>
      <c r="F46" s="27"/>
      <c r="G46" s="28" t="s">
        <v>240</v>
      </c>
      <c r="H46" s="29" t="s">
        <v>240</v>
      </c>
    </row>
    <row r="47" spans="1:8" x14ac:dyDescent="0.2">
      <c r="A47" s="30" t="s">
        <v>189</v>
      </c>
      <c r="B47" s="31" t="s">
        <v>3</v>
      </c>
      <c r="C47" s="80">
        <v>666.41657354977121</v>
      </c>
      <c r="D47" s="80">
        <v>610.93892424519834</v>
      </c>
      <c r="E47" s="83">
        <v>682.86634119406585</v>
      </c>
      <c r="F47" s="22" t="s">
        <v>240</v>
      </c>
      <c r="G47" s="23">
        <v>2.4683911380943613</v>
      </c>
      <c r="H47" s="24">
        <v>11.773258192336058</v>
      </c>
    </row>
    <row r="48" spans="1:8" x14ac:dyDescent="0.2">
      <c r="A48" s="30"/>
      <c r="B48" s="25" t="s">
        <v>240</v>
      </c>
      <c r="C48" s="82" t="s">
        <v>240</v>
      </c>
      <c r="D48" s="82" t="s">
        <v>240</v>
      </c>
      <c r="E48" s="82" t="s">
        <v>240</v>
      </c>
      <c r="F48" s="27"/>
      <c r="G48" s="38" t="s">
        <v>240</v>
      </c>
      <c r="H48" s="24" t="s">
        <v>240</v>
      </c>
    </row>
    <row r="49" spans="1:8" x14ac:dyDescent="0.2">
      <c r="A49" s="39" t="s">
        <v>12</v>
      </c>
      <c r="B49" s="31" t="s">
        <v>3</v>
      </c>
      <c r="C49" s="80">
        <v>26.189544232373748</v>
      </c>
      <c r="D49" s="80">
        <v>19.607835616954734</v>
      </c>
      <c r="E49" s="83">
        <v>23.602823039093998</v>
      </c>
      <c r="F49" s="22" t="s">
        <v>240</v>
      </c>
      <c r="G49" s="37">
        <v>-9.8769232878906763</v>
      </c>
      <c r="H49" s="33">
        <v>20.374443667228775</v>
      </c>
    </row>
    <row r="50" spans="1:8" x14ac:dyDescent="0.2">
      <c r="A50" s="34"/>
      <c r="B50" s="25" t="s">
        <v>240</v>
      </c>
      <c r="C50" s="82" t="s">
        <v>240</v>
      </c>
      <c r="D50" s="82" t="s">
        <v>240</v>
      </c>
      <c r="E50" s="82" t="s">
        <v>240</v>
      </c>
      <c r="F50" s="27"/>
      <c r="G50" s="28" t="s">
        <v>240</v>
      </c>
      <c r="H50" s="29" t="s">
        <v>240</v>
      </c>
    </row>
    <row r="51" spans="1:8" x14ac:dyDescent="0.2">
      <c r="A51" s="39" t="s">
        <v>23</v>
      </c>
      <c r="B51" s="31" t="s">
        <v>3</v>
      </c>
      <c r="C51" s="80">
        <v>120.7193540524718</v>
      </c>
      <c r="D51" s="80">
        <v>127.51268385238706</v>
      </c>
      <c r="E51" s="83">
        <v>128.26551402071115</v>
      </c>
      <c r="F51" s="22" t="s">
        <v>240</v>
      </c>
      <c r="G51" s="23">
        <v>6.2509943227159255</v>
      </c>
      <c r="H51" s="24">
        <v>0.59039630065005611</v>
      </c>
    </row>
    <row r="52" spans="1:8" x14ac:dyDescent="0.2">
      <c r="A52" s="34"/>
      <c r="B52" s="25" t="s">
        <v>240</v>
      </c>
      <c r="C52" s="82" t="s">
        <v>240</v>
      </c>
      <c r="D52" s="82" t="s">
        <v>240</v>
      </c>
      <c r="E52" s="82" t="s">
        <v>240</v>
      </c>
      <c r="F52" s="27"/>
      <c r="G52" s="38" t="s">
        <v>240</v>
      </c>
      <c r="H52" s="24" t="s">
        <v>240</v>
      </c>
    </row>
    <row r="53" spans="1:8" x14ac:dyDescent="0.2">
      <c r="A53" s="30" t="s">
        <v>24</v>
      </c>
      <c r="B53" s="31" t="s">
        <v>3</v>
      </c>
      <c r="C53" s="80">
        <v>111.81753748116357</v>
      </c>
      <c r="D53" s="80">
        <v>93.824600103438158</v>
      </c>
      <c r="E53" s="83">
        <v>105.81649252744903</v>
      </c>
      <c r="F53" s="22" t="s">
        <v>240</v>
      </c>
      <c r="G53" s="37">
        <v>-5.3668190955515058</v>
      </c>
      <c r="H53" s="33">
        <v>12.781181492689811</v>
      </c>
    </row>
    <row r="54" spans="1:8" ht="13.5" thickBot="1" x14ac:dyDescent="0.25">
      <c r="A54" s="41"/>
      <c r="B54" s="42" t="s">
        <v>240</v>
      </c>
      <c r="C54" s="86" t="s">
        <v>240</v>
      </c>
      <c r="D54" s="86" t="s">
        <v>240</v>
      </c>
      <c r="E54" s="86" t="s">
        <v>240</v>
      </c>
      <c r="F54" s="44"/>
      <c r="G54" s="45" t="s">
        <v>240</v>
      </c>
      <c r="H54" s="46" t="s">
        <v>240</v>
      </c>
    </row>
    <row r="59" spans="1:8" x14ac:dyDescent="0.2">
      <c r="A59" s="47"/>
      <c r="B59" s="48"/>
      <c r="C59" s="49"/>
      <c r="D59" s="49"/>
      <c r="E59" s="49"/>
      <c r="F59" s="49"/>
      <c r="G59" s="50"/>
      <c r="H59" s="51"/>
    </row>
    <row r="60" spans="1:8" x14ac:dyDescent="0.2">
      <c r="A60" s="52"/>
      <c r="B60" s="52"/>
      <c r="C60" s="52"/>
      <c r="D60" s="52"/>
      <c r="E60" s="52"/>
      <c r="F60" s="52"/>
      <c r="G60" s="52"/>
      <c r="H60" s="52"/>
    </row>
    <row r="61" spans="1:8" ht="12.75" customHeight="1" x14ac:dyDescent="0.2">
      <c r="A61" s="54" t="s">
        <v>241</v>
      </c>
      <c r="H61" s="169">
        <v>14</v>
      </c>
    </row>
    <row r="62" spans="1:8" ht="12.75" customHeight="1" x14ac:dyDescent="0.2">
      <c r="A62" s="54" t="s">
        <v>242</v>
      </c>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33" display="Tilbake til innholdsfortegnelsen" xr:uid="{00000000-0004-0000-09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149</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x14ac:dyDescent="0.2">
      <c r="A7" s="174" t="s">
        <v>44</v>
      </c>
      <c r="B7" s="19" t="s">
        <v>3</v>
      </c>
      <c r="C7" s="20">
        <v>143670.22691942658</v>
      </c>
      <c r="D7" s="20">
        <v>126288.32491710703</v>
      </c>
      <c r="E7" s="21">
        <v>144387.81848305691</v>
      </c>
      <c r="F7" s="22" t="s">
        <v>240</v>
      </c>
      <c r="G7" s="23">
        <v>0.49947130941245632</v>
      </c>
      <c r="H7" s="24">
        <v>14.331881888393099</v>
      </c>
    </row>
    <row r="8" spans="1:8" x14ac:dyDescent="0.2">
      <c r="A8" s="175"/>
      <c r="B8" s="25" t="s">
        <v>240</v>
      </c>
      <c r="C8" s="26" t="s">
        <v>240</v>
      </c>
      <c r="D8" s="26" t="s">
        <v>240</v>
      </c>
      <c r="E8" s="26" t="s">
        <v>240</v>
      </c>
      <c r="F8" s="27"/>
      <c r="G8" s="28" t="s">
        <v>240</v>
      </c>
      <c r="H8" s="29" t="s">
        <v>240</v>
      </c>
    </row>
    <row r="9" spans="1:8" x14ac:dyDescent="0.2">
      <c r="A9" s="30" t="s">
        <v>18</v>
      </c>
      <c r="B9" s="31" t="s">
        <v>3</v>
      </c>
      <c r="C9" s="20">
        <v>13581.382797564696</v>
      </c>
      <c r="D9" s="20">
        <v>11472.379164660522</v>
      </c>
      <c r="E9" s="21">
        <v>12390.143165217392</v>
      </c>
      <c r="F9" s="22" t="s">
        <v>240</v>
      </c>
      <c r="G9" s="32">
        <v>-8.7711218371733679</v>
      </c>
      <c r="H9" s="33">
        <v>7.9997704694414864</v>
      </c>
    </row>
    <row r="10" spans="1:8" x14ac:dyDescent="0.2">
      <c r="A10" s="34"/>
      <c r="B10" s="25" t="s">
        <v>240</v>
      </c>
      <c r="C10" s="26" t="s">
        <v>240</v>
      </c>
      <c r="D10" s="26" t="s">
        <v>240</v>
      </c>
      <c r="E10" s="26" t="s">
        <v>240</v>
      </c>
      <c r="F10" s="27"/>
      <c r="G10" s="35" t="s">
        <v>240</v>
      </c>
      <c r="H10" s="29" t="s">
        <v>240</v>
      </c>
    </row>
    <row r="11" spans="1:8" x14ac:dyDescent="0.2">
      <c r="A11" s="30" t="s">
        <v>19</v>
      </c>
      <c r="B11" s="31" t="s">
        <v>3</v>
      </c>
      <c r="C11" s="20">
        <v>61405.60932521565</v>
      </c>
      <c r="D11" s="20">
        <v>51142.263882201732</v>
      </c>
      <c r="E11" s="21">
        <v>59537.477217391308</v>
      </c>
      <c r="F11" s="22" t="s">
        <v>240</v>
      </c>
      <c r="G11" s="37">
        <v>-3.0422825021251185</v>
      </c>
      <c r="H11" s="33">
        <v>16.415412025026214</v>
      </c>
    </row>
    <row r="12" spans="1:8" x14ac:dyDescent="0.2">
      <c r="A12" s="34"/>
      <c r="B12" s="25" t="s">
        <v>240</v>
      </c>
      <c r="C12" s="26" t="s">
        <v>240</v>
      </c>
      <c r="D12" s="26" t="s">
        <v>240</v>
      </c>
      <c r="E12" s="26" t="s">
        <v>240</v>
      </c>
      <c r="F12" s="27"/>
      <c r="G12" s="28" t="s">
        <v>240</v>
      </c>
      <c r="H12" s="29" t="s">
        <v>240</v>
      </c>
    </row>
    <row r="13" spans="1:8" x14ac:dyDescent="0.2">
      <c r="A13" s="30" t="s">
        <v>20</v>
      </c>
      <c r="B13" s="31" t="s">
        <v>3</v>
      </c>
      <c r="C13" s="20">
        <v>2890.7187262931675</v>
      </c>
      <c r="D13" s="20">
        <v>3345.4113724770186</v>
      </c>
      <c r="E13" s="21">
        <v>3466.1796273291925</v>
      </c>
      <c r="F13" s="22" t="s">
        <v>240</v>
      </c>
      <c r="G13" s="23">
        <v>19.907191101015599</v>
      </c>
      <c r="H13" s="24">
        <v>3.6099672478471518</v>
      </c>
    </row>
    <row r="14" spans="1:8" x14ac:dyDescent="0.2">
      <c r="A14" s="34"/>
      <c r="B14" s="25" t="s">
        <v>240</v>
      </c>
      <c r="C14" s="26" t="s">
        <v>240</v>
      </c>
      <c r="D14" s="26" t="s">
        <v>240</v>
      </c>
      <c r="E14" s="26" t="s">
        <v>240</v>
      </c>
      <c r="F14" s="27"/>
      <c r="G14" s="38" t="s">
        <v>240</v>
      </c>
      <c r="H14" s="24" t="s">
        <v>240</v>
      </c>
    </row>
    <row r="15" spans="1:8" x14ac:dyDescent="0.2">
      <c r="A15" s="30" t="s">
        <v>21</v>
      </c>
      <c r="B15" s="31" t="s">
        <v>3</v>
      </c>
      <c r="C15" s="20">
        <v>4815.5846285021735</v>
      </c>
      <c r="D15" s="20">
        <v>4331.2866503057976</v>
      </c>
      <c r="E15" s="21">
        <v>4772.844057971015</v>
      </c>
      <c r="F15" s="22" t="s">
        <v>240</v>
      </c>
      <c r="G15" s="37">
        <v>-0.8875468676884708</v>
      </c>
      <c r="H15" s="33">
        <v>10.194601357867697</v>
      </c>
    </row>
    <row r="16" spans="1:8" x14ac:dyDescent="0.2">
      <c r="A16" s="34"/>
      <c r="B16" s="25" t="s">
        <v>240</v>
      </c>
      <c r="C16" s="26" t="s">
        <v>240</v>
      </c>
      <c r="D16" s="26" t="s">
        <v>240</v>
      </c>
      <c r="E16" s="26" t="s">
        <v>240</v>
      </c>
      <c r="F16" s="27"/>
      <c r="G16" s="28" t="s">
        <v>240</v>
      </c>
      <c r="H16" s="29" t="s">
        <v>240</v>
      </c>
    </row>
    <row r="17" spans="1:8" x14ac:dyDescent="0.2">
      <c r="A17" s="30" t="s">
        <v>22</v>
      </c>
      <c r="B17" s="31" t="s">
        <v>3</v>
      </c>
      <c r="C17" s="20">
        <v>401.58462850217393</v>
      </c>
      <c r="D17" s="20">
        <v>413.28665030579714</v>
      </c>
      <c r="E17" s="21">
        <v>437.84405797101448</v>
      </c>
      <c r="F17" s="22" t="s">
        <v>240</v>
      </c>
      <c r="G17" s="37">
        <v>9.0290879917591838</v>
      </c>
      <c r="H17" s="33">
        <v>5.9419794099438974</v>
      </c>
    </row>
    <row r="18" spans="1:8" x14ac:dyDescent="0.2">
      <c r="A18" s="34"/>
      <c r="B18" s="25" t="s">
        <v>240</v>
      </c>
      <c r="C18" s="26" t="s">
        <v>240</v>
      </c>
      <c r="D18" s="26" t="s">
        <v>240</v>
      </c>
      <c r="E18" s="26" t="s">
        <v>240</v>
      </c>
      <c r="F18" s="27"/>
      <c r="G18" s="28" t="s">
        <v>240</v>
      </c>
      <c r="H18" s="29" t="s">
        <v>240</v>
      </c>
    </row>
    <row r="19" spans="1:8" x14ac:dyDescent="0.2">
      <c r="A19" s="30" t="s">
        <v>189</v>
      </c>
      <c r="B19" s="31" t="s">
        <v>3</v>
      </c>
      <c r="C19" s="20">
        <v>40060.296815732916</v>
      </c>
      <c r="D19" s="20">
        <v>36406.02843119255</v>
      </c>
      <c r="E19" s="21">
        <v>39801.949068322981</v>
      </c>
      <c r="F19" s="22" t="s">
        <v>240</v>
      </c>
      <c r="G19" s="23">
        <v>-0.64489723727776038</v>
      </c>
      <c r="H19" s="24">
        <v>9.3279074468359795</v>
      </c>
    </row>
    <row r="20" spans="1:8" x14ac:dyDescent="0.2">
      <c r="A20" s="30"/>
      <c r="B20" s="25" t="s">
        <v>240</v>
      </c>
      <c r="C20" s="26" t="s">
        <v>240</v>
      </c>
      <c r="D20" s="26" t="s">
        <v>240</v>
      </c>
      <c r="E20" s="26" t="s">
        <v>240</v>
      </c>
      <c r="F20" s="27"/>
      <c r="G20" s="38" t="s">
        <v>240</v>
      </c>
      <c r="H20" s="24" t="s">
        <v>240</v>
      </c>
    </row>
    <row r="21" spans="1:8" x14ac:dyDescent="0.2">
      <c r="A21" s="39" t="s">
        <v>12</v>
      </c>
      <c r="B21" s="31" t="s">
        <v>3</v>
      </c>
      <c r="C21" s="20">
        <v>458.55077710130433</v>
      </c>
      <c r="D21" s="20">
        <v>410.77199018347824</v>
      </c>
      <c r="E21" s="21">
        <v>736.70643478260877</v>
      </c>
      <c r="F21" s="22" t="s">
        <v>240</v>
      </c>
      <c r="G21" s="37">
        <v>60.659728774127331</v>
      </c>
      <c r="H21" s="33">
        <v>79.346803674112834</v>
      </c>
    </row>
    <row r="22" spans="1:8" x14ac:dyDescent="0.2">
      <c r="A22" s="34"/>
      <c r="B22" s="25" t="s">
        <v>240</v>
      </c>
      <c r="C22" s="26" t="s">
        <v>240</v>
      </c>
      <c r="D22" s="26" t="s">
        <v>240</v>
      </c>
      <c r="E22" s="26" t="s">
        <v>240</v>
      </c>
      <c r="F22" s="27"/>
      <c r="G22" s="28" t="s">
        <v>240</v>
      </c>
      <c r="H22" s="29" t="s">
        <v>240</v>
      </c>
    </row>
    <row r="23" spans="1:8" x14ac:dyDescent="0.2">
      <c r="A23" s="39" t="s">
        <v>23</v>
      </c>
      <c r="B23" s="31" t="s">
        <v>3</v>
      </c>
      <c r="C23" s="20">
        <v>6214.5846285021735</v>
      </c>
      <c r="D23" s="20">
        <v>5476.2866503057976</v>
      </c>
      <c r="E23" s="21">
        <v>5402.844057971015</v>
      </c>
      <c r="F23" s="22" t="s">
        <v>240</v>
      </c>
      <c r="G23" s="23">
        <v>-13.061863649072265</v>
      </c>
      <c r="H23" s="24">
        <v>-1.3411020464146333</v>
      </c>
    </row>
    <row r="24" spans="1:8" x14ac:dyDescent="0.2">
      <c r="A24" s="34"/>
      <c r="B24" s="25" t="s">
        <v>240</v>
      </c>
      <c r="C24" s="26" t="s">
        <v>240</v>
      </c>
      <c r="D24" s="26" t="s">
        <v>240</v>
      </c>
      <c r="E24" s="26" t="s">
        <v>240</v>
      </c>
      <c r="F24" s="27"/>
      <c r="G24" s="28" t="s">
        <v>240</v>
      </c>
      <c r="H24" s="29" t="s">
        <v>240</v>
      </c>
    </row>
    <row r="25" spans="1:8" x14ac:dyDescent="0.2">
      <c r="A25" s="30" t="s">
        <v>24</v>
      </c>
      <c r="B25" s="31" t="s">
        <v>3</v>
      </c>
      <c r="C25" s="20">
        <v>23165.169257004349</v>
      </c>
      <c r="D25" s="20">
        <v>21547.573300611595</v>
      </c>
      <c r="E25" s="21">
        <v>28158.68811594203</v>
      </c>
      <c r="F25" s="22" t="s">
        <v>240</v>
      </c>
      <c r="G25" s="23">
        <v>21.556150976223989</v>
      </c>
      <c r="H25" s="24">
        <v>30.681481961325034</v>
      </c>
    </row>
    <row r="26" spans="1:8" ht="13.5" thickBot="1" x14ac:dyDescent="0.25">
      <c r="A26" s="41"/>
      <c r="B26" s="42" t="s">
        <v>240</v>
      </c>
      <c r="C26" s="43" t="s">
        <v>240</v>
      </c>
      <c r="D26" s="43" t="s">
        <v>240</v>
      </c>
      <c r="E26" s="43" t="s">
        <v>240</v>
      </c>
      <c r="F26" s="44"/>
      <c r="G26" s="45" t="s">
        <v>240</v>
      </c>
      <c r="H26" s="46" t="s">
        <v>240</v>
      </c>
    </row>
    <row r="31" spans="1:8" x14ac:dyDescent="0.2">
      <c r="A31" s="47"/>
      <c r="B31" s="48"/>
      <c r="C31" s="49"/>
      <c r="D31" s="55"/>
      <c r="E31" s="49"/>
      <c r="F31" s="49"/>
      <c r="G31" s="50"/>
      <c r="H31" s="51"/>
    </row>
    <row r="32" spans="1:8" ht="16.5" thickBot="1" x14ac:dyDescent="0.3">
      <c r="A32" s="4" t="s">
        <v>99</v>
      </c>
      <c r="B32" s="5"/>
      <c r="C32" s="5"/>
      <c r="D32" s="5"/>
      <c r="E32" s="5"/>
      <c r="F32" s="5"/>
      <c r="G32" s="5"/>
      <c r="H32" s="6"/>
    </row>
    <row r="33" spans="1:8" x14ac:dyDescent="0.2">
      <c r="A33" s="7"/>
      <c r="B33" s="8"/>
      <c r="C33" s="178" t="s">
        <v>16</v>
      </c>
      <c r="D33" s="172"/>
      <c r="E33" s="172"/>
      <c r="F33" s="179"/>
      <c r="G33" s="172" t="s">
        <v>1</v>
      </c>
      <c r="H33" s="173"/>
    </row>
    <row r="34" spans="1:8" x14ac:dyDescent="0.2">
      <c r="A34" s="12"/>
      <c r="B34" s="13"/>
      <c r="C34" s="14" t="s">
        <v>235</v>
      </c>
      <c r="D34" s="15" t="s">
        <v>236</v>
      </c>
      <c r="E34" s="15" t="s">
        <v>237</v>
      </c>
      <c r="F34" s="16"/>
      <c r="G34" s="17" t="s">
        <v>238</v>
      </c>
      <c r="H34" s="18" t="s">
        <v>239</v>
      </c>
    </row>
    <row r="35" spans="1:8" ht="12.75" customHeight="1" x14ac:dyDescent="0.2">
      <c r="A35" s="174" t="s">
        <v>44</v>
      </c>
      <c r="B35" s="19" t="s">
        <v>3</v>
      </c>
      <c r="C35" s="80">
        <v>6314.5080110263807</v>
      </c>
      <c r="D35" s="80">
        <v>6768.6013750581606</v>
      </c>
      <c r="E35" s="83">
        <v>8792.3466529101188</v>
      </c>
      <c r="F35" s="22" t="s">
        <v>240</v>
      </c>
      <c r="G35" s="23">
        <v>39.240406973226442</v>
      </c>
      <c r="H35" s="24">
        <v>29.899017030450693</v>
      </c>
    </row>
    <row r="36" spans="1:8" ht="12.75" customHeight="1" x14ac:dyDescent="0.2">
      <c r="A36" s="175"/>
      <c r="B36" s="25" t="s">
        <v>240</v>
      </c>
      <c r="C36" s="82" t="s">
        <v>240</v>
      </c>
      <c r="D36" s="82" t="s">
        <v>240</v>
      </c>
      <c r="E36" s="82" t="s">
        <v>240</v>
      </c>
      <c r="F36" s="27"/>
      <c r="G36" s="28" t="s">
        <v>240</v>
      </c>
      <c r="H36" s="29" t="s">
        <v>240</v>
      </c>
    </row>
    <row r="37" spans="1:8" x14ac:dyDescent="0.2">
      <c r="A37" s="30" t="s">
        <v>18</v>
      </c>
      <c r="B37" s="31" t="s">
        <v>3</v>
      </c>
      <c r="C37" s="80">
        <v>2013.4504213424711</v>
      </c>
      <c r="D37" s="80">
        <v>2372.6297229042652</v>
      </c>
      <c r="E37" s="83">
        <v>2510.6712307640255</v>
      </c>
      <c r="F37" s="22" t="s">
        <v>240</v>
      </c>
      <c r="G37" s="32">
        <v>24.69496165145361</v>
      </c>
      <c r="H37" s="33">
        <v>5.8180805258895418</v>
      </c>
    </row>
    <row r="38" spans="1:8" x14ac:dyDescent="0.2">
      <c r="A38" s="34"/>
      <c r="B38" s="25" t="s">
        <v>240</v>
      </c>
      <c r="C38" s="82" t="s">
        <v>240</v>
      </c>
      <c r="D38" s="82" t="s">
        <v>240</v>
      </c>
      <c r="E38" s="82" t="s">
        <v>240</v>
      </c>
      <c r="F38" s="27"/>
      <c r="G38" s="35" t="s">
        <v>240</v>
      </c>
      <c r="H38" s="29" t="s">
        <v>240</v>
      </c>
    </row>
    <row r="39" spans="1:8" x14ac:dyDescent="0.2">
      <c r="A39" s="30" t="s">
        <v>19</v>
      </c>
      <c r="B39" s="31" t="s">
        <v>3</v>
      </c>
      <c r="C39" s="80">
        <v>2877.854034685859</v>
      </c>
      <c r="D39" s="80">
        <v>2908.0764623204486</v>
      </c>
      <c r="E39" s="83">
        <v>4202.1486818049607</v>
      </c>
      <c r="F39" s="22" t="s">
        <v>240</v>
      </c>
      <c r="G39" s="37">
        <v>46.016741334265021</v>
      </c>
      <c r="H39" s="33">
        <v>44.499250148736792</v>
      </c>
    </row>
    <row r="40" spans="1:8" x14ac:dyDescent="0.2">
      <c r="A40" s="34"/>
      <c r="B40" s="25" t="s">
        <v>240</v>
      </c>
      <c r="C40" s="82" t="s">
        <v>240</v>
      </c>
      <c r="D40" s="82" t="s">
        <v>240</v>
      </c>
      <c r="E40" s="82" t="s">
        <v>240</v>
      </c>
      <c r="F40" s="27"/>
      <c r="G40" s="28" t="s">
        <v>240</v>
      </c>
      <c r="H40" s="29" t="s">
        <v>240</v>
      </c>
    </row>
    <row r="41" spans="1:8" x14ac:dyDescent="0.2">
      <c r="A41" s="30" t="s">
        <v>20</v>
      </c>
      <c r="B41" s="31" t="s">
        <v>3</v>
      </c>
      <c r="C41" s="80">
        <v>52.663228653419637</v>
      </c>
      <c r="D41" s="80">
        <v>70.301307691330791</v>
      </c>
      <c r="E41" s="83">
        <v>83.303202422859869</v>
      </c>
      <c r="F41" s="22" t="s">
        <v>240</v>
      </c>
      <c r="G41" s="23">
        <v>58.180963364559403</v>
      </c>
      <c r="H41" s="24">
        <v>18.494527567845537</v>
      </c>
    </row>
    <row r="42" spans="1:8" x14ac:dyDescent="0.2">
      <c r="A42" s="34"/>
      <c r="B42" s="25" t="s">
        <v>240</v>
      </c>
      <c r="C42" s="82" t="s">
        <v>240</v>
      </c>
      <c r="D42" s="82" t="s">
        <v>240</v>
      </c>
      <c r="E42" s="82" t="s">
        <v>240</v>
      </c>
      <c r="F42" s="27"/>
      <c r="G42" s="38" t="s">
        <v>240</v>
      </c>
      <c r="H42" s="24" t="s">
        <v>240</v>
      </c>
    </row>
    <row r="43" spans="1:8" x14ac:dyDescent="0.2">
      <c r="A43" s="30" t="s">
        <v>21</v>
      </c>
      <c r="B43" s="31" t="s">
        <v>3</v>
      </c>
      <c r="C43" s="80">
        <v>49.684795302046474</v>
      </c>
      <c r="D43" s="80">
        <v>58.003566588679632</v>
      </c>
      <c r="E43" s="83">
        <v>67.406254527841483</v>
      </c>
      <c r="F43" s="22" t="s">
        <v>240</v>
      </c>
      <c r="G43" s="37">
        <v>35.667771434020722</v>
      </c>
      <c r="H43" s="33">
        <v>16.210534096703185</v>
      </c>
    </row>
    <row r="44" spans="1:8" x14ac:dyDescent="0.2">
      <c r="A44" s="34"/>
      <c r="B44" s="25" t="s">
        <v>240</v>
      </c>
      <c r="C44" s="82" t="s">
        <v>240</v>
      </c>
      <c r="D44" s="82" t="s">
        <v>240</v>
      </c>
      <c r="E44" s="82" t="s">
        <v>240</v>
      </c>
      <c r="F44" s="27"/>
      <c r="G44" s="28" t="s">
        <v>240</v>
      </c>
      <c r="H44" s="29" t="s">
        <v>240</v>
      </c>
    </row>
    <row r="45" spans="1:8" x14ac:dyDescent="0.2">
      <c r="A45" s="30" t="s">
        <v>22</v>
      </c>
      <c r="B45" s="31" t="s">
        <v>3</v>
      </c>
      <c r="C45" s="80">
        <v>3.0031009673376188</v>
      </c>
      <c r="D45" s="80">
        <v>3.0874763808887988</v>
      </c>
      <c r="E45" s="83">
        <v>8.2493381260110503</v>
      </c>
      <c r="F45" s="22" t="s">
        <v>240</v>
      </c>
      <c r="G45" s="37">
        <v>174.6939984946444</v>
      </c>
      <c r="H45" s="33">
        <v>167.18708447694411</v>
      </c>
    </row>
    <row r="46" spans="1:8" x14ac:dyDescent="0.2">
      <c r="A46" s="34"/>
      <c r="B46" s="25" t="s">
        <v>240</v>
      </c>
      <c r="C46" s="82" t="s">
        <v>240</v>
      </c>
      <c r="D46" s="82" t="s">
        <v>240</v>
      </c>
      <c r="E46" s="82" t="s">
        <v>240</v>
      </c>
      <c r="F46" s="27"/>
      <c r="G46" s="28" t="s">
        <v>240</v>
      </c>
      <c r="H46" s="29" t="s">
        <v>240</v>
      </c>
    </row>
    <row r="47" spans="1:8" x14ac:dyDescent="0.2">
      <c r="A47" s="30" t="s">
        <v>189</v>
      </c>
      <c r="B47" s="31" t="s">
        <v>3</v>
      </c>
      <c r="C47" s="80">
        <v>515.02188171698697</v>
      </c>
      <c r="D47" s="80">
        <v>523.48905457700891</v>
      </c>
      <c r="E47" s="83">
        <v>673.13968611976543</v>
      </c>
      <c r="F47" s="22" t="s">
        <v>240</v>
      </c>
      <c r="G47" s="23">
        <v>30.701181836321837</v>
      </c>
      <c r="H47" s="24">
        <v>28.58715578373986</v>
      </c>
    </row>
    <row r="48" spans="1:8" x14ac:dyDescent="0.2">
      <c r="A48" s="30"/>
      <c r="B48" s="25" t="s">
        <v>240</v>
      </c>
      <c r="C48" s="82" t="s">
        <v>240</v>
      </c>
      <c r="D48" s="82" t="s">
        <v>240</v>
      </c>
      <c r="E48" s="82" t="s">
        <v>240</v>
      </c>
      <c r="F48" s="27"/>
      <c r="G48" s="38" t="s">
        <v>240</v>
      </c>
      <c r="H48" s="24" t="s">
        <v>240</v>
      </c>
    </row>
    <row r="49" spans="1:8" x14ac:dyDescent="0.2">
      <c r="A49" s="39" t="s">
        <v>12</v>
      </c>
      <c r="B49" s="31" t="s">
        <v>3</v>
      </c>
      <c r="C49" s="80">
        <v>4.3824626567413736</v>
      </c>
      <c r="D49" s="80">
        <v>5.8164067181343819</v>
      </c>
      <c r="E49" s="83">
        <v>15.568244178053209</v>
      </c>
      <c r="F49" s="22" t="s">
        <v>240</v>
      </c>
      <c r="G49" s="37">
        <v>255.23963117187498</v>
      </c>
      <c r="H49" s="33">
        <v>167.66085888585758</v>
      </c>
    </row>
    <row r="50" spans="1:8" x14ac:dyDescent="0.2">
      <c r="A50" s="34"/>
      <c r="B50" s="25" t="s">
        <v>240</v>
      </c>
      <c r="C50" s="82" t="s">
        <v>240</v>
      </c>
      <c r="D50" s="82" t="s">
        <v>240</v>
      </c>
      <c r="E50" s="82" t="s">
        <v>240</v>
      </c>
      <c r="F50" s="27"/>
      <c r="G50" s="28" t="s">
        <v>240</v>
      </c>
      <c r="H50" s="29" t="s">
        <v>240</v>
      </c>
    </row>
    <row r="51" spans="1:8" x14ac:dyDescent="0.2">
      <c r="A51" s="39" t="s">
        <v>23</v>
      </c>
      <c r="B51" s="31" t="s">
        <v>3</v>
      </c>
      <c r="C51" s="80">
        <v>188.64827610238567</v>
      </c>
      <c r="D51" s="80">
        <v>196.56652088791506</v>
      </c>
      <c r="E51" s="83">
        <v>218.96928573584955</v>
      </c>
      <c r="F51" s="22" t="s">
        <v>240</v>
      </c>
      <c r="G51" s="23">
        <v>16.072773237009415</v>
      </c>
      <c r="H51" s="24">
        <v>11.397039916430558</v>
      </c>
    </row>
    <row r="52" spans="1:8" x14ac:dyDescent="0.2">
      <c r="A52" s="34"/>
      <c r="B52" s="25" t="s">
        <v>240</v>
      </c>
      <c r="C52" s="82" t="s">
        <v>240</v>
      </c>
      <c r="D52" s="82" t="s">
        <v>240</v>
      </c>
      <c r="E52" s="82" t="s">
        <v>240</v>
      </c>
      <c r="F52" s="27"/>
      <c r="G52" s="28" t="s">
        <v>240</v>
      </c>
      <c r="H52" s="29" t="s">
        <v>240</v>
      </c>
    </row>
    <row r="53" spans="1:8" x14ac:dyDescent="0.2">
      <c r="A53" s="30" t="s">
        <v>24</v>
      </c>
      <c r="B53" s="31" t="s">
        <v>3</v>
      </c>
      <c r="C53" s="80">
        <v>609.79980959913178</v>
      </c>
      <c r="D53" s="80">
        <v>630.63085698948908</v>
      </c>
      <c r="E53" s="83">
        <v>1012.8907292307549</v>
      </c>
      <c r="F53" s="22" t="s">
        <v>240</v>
      </c>
      <c r="G53" s="23">
        <v>66.10217210408868</v>
      </c>
      <c r="H53" s="24">
        <v>60.615472269482837</v>
      </c>
    </row>
    <row r="54" spans="1:8" ht="13.5" thickBot="1" x14ac:dyDescent="0.25">
      <c r="A54" s="41"/>
      <c r="B54" s="42" t="s">
        <v>240</v>
      </c>
      <c r="C54" s="86" t="s">
        <v>240</v>
      </c>
      <c r="D54" s="86" t="s">
        <v>240</v>
      </c>
      <c r="E54" s="86" t="s">
        <v>240</v>
      </c>
      <c r="F54" s="44"/>
      <c r="G54" s="45" t="s">
        <v>240</v>
      </c>
      <c r="H54" s="46" t="s">
        <v>240</v>
      </c>
    </row>
    <row r="59" spans="1:8" x14ac:dyDescent="0.2">
      <c r="A59" s="47"/>
      <c r="B59" s="48"/>
      <c r="C59" s="49"/>
      <c r="D59" s="49"/>
      <c r="E59" s="49"/>
      <c r="F59" s="49"/>
      <c r="G59" s="50"/>
      <c r="H59" s="51"/>
    </row>
    <row r="60" spans="1:8" x14ac:dyDescent="0.2">
      <c r="A60" s="52"/>
      <c r="B60" s="52"/>
      <c r="C60" s="52"/>
      <c r="D60" s="52"/>
      <c r="E60" s="52"/>
      <c r="F60" s="52"/>
      <c r="G60" s="52"/>
      <c r="H60" s="52"/>
    </row>
    <row r="61" spans="1:8" ht="12.75" customHeight="1" x14ac:dyDescent="0.2">
      <c r="A61" s="54" t="s">
        <v>241</v>
      </c>
      <c r="G61" s="53"/>
      <c r="H61" s="177">
        <v>15</v>
      </c>
    </row>
    <row r="62" spans="1:8" ht="12.75" customHeight="1" x14ac:dyDescent="0.2">
      <c r="A62" s="54" t="s">
        <v>242</v>
      </c>
      <c r="G62" s="53"/>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35" display="Tilbake til innholdsfortegnelsen" xr:uid="{00000000-0004-0000-0A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150</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ht="12.75" customHeight="1" x14ac:dyDescent="0.2">
      <c r="A7" s="174" t="s">
        <v>45</v>
      </c>
      <c r="B7" s="19" t="s">
        <v>3</v>
      </c>
      <c r="C7" s="20">
        <v>22199</v>
      </c>
      <c r="D7" s="20">
        <v>18907.302359650501</v>
      </c>
      <c r="E7" s="21">
        <v>23362.869983780671</v>
      </c>
      <c r="F7" s="22" t="s">
        <v>240</v>
      </c>
      <c r="G7" s="23">
        <v>5.2428937509827875</v>
      </c>
      <c r="H7" s="24">
        <v>23.565326979900945</v>
      </c>
    </row>
    <row r="8" spans="1:8" ht="12.75" customHeight="1" x14ac:dyDescent="0.2">
      <c r="A8" s="175"/>
      <c r="B8" s="25" t="s">
        <v>240</v>
      </c>
      <c r="C8" s="26" t="s">
        <v>240</v>
      </c>
      <c r="D8" s="26" t="s">
        <v>240</v>
      </c>
      <c r="E8" s="26" t="s">
        <v>240</v>
      </c>
      <c r="F8" s="27"/>
      <c r="G8" s="28" t="s">
        <v>240</v>
      </c>
      <c r="H8" s="29" t="s">
        <v>240</v>
      </c>
    </row>
    <row r="9" spans="1:8" x14ac:dyDescent="0.2">
      <c r="A9" s="30" t="s">
        <v>18</v>
      </c>
      <c r="B9" s="31" t="s">
        <v>3</v>
      </c>
      <c r="C9" s="20">
        <v>2884</v>
      </c>
      <c r="D9" s="20">
        <v>2233.5276521739129</v>
      </c>
      <c r="E9" s="21">
        <v>2840.026991304348</v>
      </c>
      <c r="F9" s="22" t="s">
        <v>240</v>
      </c>
      <c r="G9" s="32">
        <v>-1.524722909003188</v>
      </c>
      <c r="H9" s="33">
        <v>27.154324171456935</v>
      </c>
    </row>
    <row r="10" spans="1:8" x14ac:dyDescent="0.2">
      <c r="A10" s="34"/>
      <c r="B10" s="25" t="s">
        <v>240</v>
      </c>
      <c r="C10" s="26" t="s">
        <v>240</v>
      </c>
      <c r="D10" s="26" t="s">
        <v>240</v>
      </c>
      <c r="E10" s="26" t="s">
        <v>240</v>
      </c>
      <c r="F10" s="27"/>
      <c r="G10" s="35" t="s">
        <v>240</v>
      </c>
      <c r="H10" s="29" t="s">
        <v>240</v>
      </c>
    </row>
    <row r="11" spans="1:8" x14ac:dyDescent="0.2">
      <c r="A11" s="30" t="s">
        <v>19</v>
      </c>
      <c r="B11" s="31" t="s">
        <v>3</v>
      </c>
      <c r="C11" s="20">
        <v>7881</v>
      </c>
      <c r="D11" s="20">
        <v>5664.0921739130436</v>
      </c>
      <c r="E11" s="21">
        <v>7684.4233043478262</v>
      </c>
      <c r="F11" s="22" t="s">
        <v>240</v>
      </c>
      <c r="G11" s="37">
        <v>-2.4943115804107805</v>
      </c>
      <c r="H11" s="33">
        <v>35.669107571020248</v>
      </c>
    </row>
    <row r="12" spans="1:8" x14ac:dyDescent="0.2">
      <c r="A12" s="34"/>
      <c r="B12" s="25" t="s">
        <v>240</v>
      </c>
      <c r="C12" s="26" t="s">
        <v>240</v>
      </c>
      <c r="D12" s="26" t="s">
        <v>240</v>
      </c>
      <c r="E12" s="26" t="s">
        <v>240</v>
      </c>
      <c r="F12" s="27"/>
      <c r="G12" s="28" t="s">
        <v>240</v>
      </c>
      <c r="H12" s="29" t="s">
        <v>240</v>
      </c>
    </row>
    <row r="13" spans="1:8" x14ac:dyDescent="0.2">
      <c r="A13" s="30" t="s">
        <v>20</v>
      </c>
      <c r="B13" s="31" t="s">
        <v>3</v>
      </c>
      <c r="C13" s="20">
        <v>805</v>
      </c>
      <c r="D13" s="20">
        <v>1056.7105590062113</v>
      </c>
      <c r="E13" s="21">
        <v>1069.3920496894409</v>
      </c>
      <c r="F13" s="22" t="s">
        <v>240</v>
      </c>
      <c r="G13" s="23">
        <v>32.843732880675873</v>
      </c>
      <c r="H13" s="24">
        <v>1.2000912241433497</v>
      </c>
    </row>
    <row r="14" spans="1:8" x14ac:dyDescent="0.2">
      <c r="A14" s="34"/>
      <c r="B14" s="25" t="s">
        <v>240</v>
      </c>
      <c r="C14" s="26" t="s">
        <v>240</v>
      </c>
      <c r="D14" s="26" t="s">
        <v>240</v>
      </c>
      <c r="E14" s="26" t="s">
        <v>240</v>
      </c>
      <c r="F14" s="27"/>
      <c r="G14" s="38" t="s">
        <v>240</v>
      </c>
      <c r="H14" s="24" t="s">
        <v>240</v>
      </c>
    </row>
    <row r="15" spans="1:8" x14ac:dyDescent="0.2">
      <c r="A15" s="30" t="s">
        <v>21</v>
      </c>
      <c r="B15" s="31" t="s">
        <v>3</v>
      </c>
      <c r="C15" s="20">
        <v>625</v>
      </c>
      <c r="D15" s="20">
        <v>638.8739130434783</v>
      </c>
      <c r="E15" s="21">
        <v>777.86434782608694</v>
      </c>
      <c r="F15" s="22" t="s">
        <v>240</v>
      </c>
      <c r="G15" s="37">
        <v>24.458295652173902</v>
      </c>
      <c r="H15" s="33">
        <v>21.755534534268833</v>
      </c>
    </row>
    <row r="16" spans="1:8" x14ac:dyDescent="0.2">
      <c r="A16" s="34"/>
      <c r="B16" s="25" t="s">
        <v>240</v>
      </c>
      <c r="C16" s="26" t="s">
        <v>240</v>
      </c>
      <c r="D16" s="26" t="s">
        <v>240</v>
      </c>
      <c r="E16" s="26" t="s">
        <v>240</v>
      </c>
      <c r="F16" s="27"/>
      <c r="G16" s="28" t="s">
        <v>240</v>
      </c>
      <c r="H16" s="29" t="s">
        <v>240</v>
      </c>
    </row>
    <row r="17" spans="1:8" x14ac:dyDescent="0.2">
      <c r="A17" s="30" t="s">
        <v>22</v>
      </c>
      <c r="B17" s="31" t="s">
        <v>3</v>
      </c>
      <c r="C17" s="20">
        <v>405</v>
      </c>
      <c r="D17" s="20">
        <v>448.8739130434783</v>
      </c>
      <c r="E17" s="21">
        <v>588.86434782608694</v>
      </c>
      <c r="F17" s="22" t="s">
        <v>240</v>
      </c>
      <c r="G17" s="37">
        <v>45.398604401502951</v>
      </c>
      <c r="H17" s="33">
        <v>31.187028409256015</v>
      </c>
    </row>
    <row r="18" spans="1:8" x14ac:dyDescent="0.2">
      <c r="A18" s="34"/>
      <c r="B18" s="25" t="s">
        <v>240</v>
      </c>
      <c r="C18" s="26" t="s">
        <v>240</v>
      </c>
      <c r="D18" s="26" t="s">
        <v>240</v>
      </c>
      <c r="E18" s="26" t="s">
        <v>240</v>
      </c>
      <c r="F18" s="27"/>
      <c r="G18" s="28" t="s">
        <v>240</v>
      </c>
      <c r="H18" s="29" t="s">
        <v>240</v>
      </c>
    </row>
    <row r="19" spans="1:8" x14ac:dyDescent="0.2">
      <c r="A19" s="30" t="s">
        <v>189</v>
      </c>
      <c r="B19" s="31" t="s">
        <v>3</v>
      </c>
      <c r="C19" s="20">
        <v>6216</v>
      </c>
      <c r="D19" s="20">
        <v>5612.7763975155285</v>
      </c>
      <c r="E19" s="21">
        <v>6717.9801242236026</v>
      </c>
      <c r="F19" s="22" t="s">
        <v>240</v>
      </c>
      <c r="G19" s="23">
        <v>8.0756133240605266</v>
      </c>
      <c r="H19" s="24">
        <v>19.690856154492238</v>
      </c>
    </row>
    <row r="20" spans="1:8" x14ac:dyDescent="0.2">
      <c r="A20" s="30"/>
      <c r="B20" s="25" t="s">
        <v>240</v>
      </c>
      <c r="C20" s="26" t="s">
        <v>240</v>
      </c>
      <c r="D20" s="26" t="s">
        <v>240</v>
      </c>
      <c r="E20" s="26" t="s">
        <v>240</v>
      </c>
      <c r="F20" s="27"/>
      <c r="G20" s="38" t="s">
        <v>240</v>
      </c>
      <c r="H20" s="24" t="s">
        <v>240</v>
      </c>
    </row>
    <row r="21" spans="1:8" x14ac:dyDescent="0.2">
      <c r="A21" s="39" t="s">
        <v>12</v>
      </c>
      <c r="B21" s="31" t="s">
        <v>3</v>
      </c>
      <c r="C21" s="20">
        <v>63</v>
      </c>
      <c r="D21" s="20">
        <v>51.924347826086958</v>
      </c>
      <c r="E21" s="21">
        <v>63.118608695652171</v>
      </c>
      <c r="F21" s="22" t="s">
        <v>240</v>
      </c>
      <c r="G21" s="37">
        <v>0.18826777087646462</v>
      </c>
      <c r="H21" s="33">
        <v>21.558789543315513</v>
      </c>
    </row>
    <row r="22" spans="1:8" x14ac:dyDescent="0.2">
      <c r="A22" s="34"/>
      <c r="B22" s="25" t="s">
        <v>240</v>
      </c>
      <c r="C22" s="26" t="s">
        <v>240</v>
      </c>
      <c r="D22" s="26" t="s">
        <v>240</v>
      </c>
      <c r="E22" s="26" t="s">
        <v>240</v>
      </c>
      <c r="F22" s="27"/>
      <c r="G22" s="28" t="s">
        <v>240</v>
      </c>
      <c r="H22" s="29" t="s">
        <v>240</v>
      </c>
    </row>
    <row r="23" spans="1:8" x14ac:dyDescent="0.2">
      <c r="A23" s="39" t="s">
        <v>23</v>
      </c>
      <c r="B23" s="31" t="s">
        <v>3</v>
      </c>
      <c r="C23" s="20">
        <v>1708</v>
      </c>
      <c r="D23" s="20">
        <v>1697.8739130434783</v>
      </c>
      <c r="E23" s="21">
        <v>1600.8643478260869</v>
      </c>
      <c r="F23" s="22" t="s">
        <v>240</v>
      </c>
      <c r="G23" s="23">
        <v>-6.2725791670909246</v>
      </c>
      <c r="H23" s="24">
        <v>-5.7135906542965529</v>
      </c>
    </row>
    <row r="24" spans="1:8" x14ac:dyDescent="0.2">
      <c r="A24" s="34"/>
      <c r="B24" s="25" t="s">
        <v>240</v>
      </c>
      <c r="C24" s="26" t="s">
        <v>240</v>
      </c>
      <c r="D24" s="26" t="s">
        <v>240</v>
      </c>
      <c r="E24" s="26" t="s">
        <v>240</v>
      </c>
      <c r="F24" s="27"/>
      <c r="G24" s="28" t="s">
        <v>240</v>
      </c>
      <c r="H24" s="29" t="s">
        <v>240</v>
      </c>
    </row>
    <row r="25" spans="1:8" x14ac:dyDescent="0.2">
      <c r="A25" s="30" t="s">
        <v>24</v>
      </c>
      <c r="B25" s="31" t="s">
        <v>3</v>
      </c>
      <c r="C25" s="20">
        <v>2750</v>
      </c>
      <c r="D25" s="20">
        <v>2505.7478260869566</v>
      </c>
      <c r="E25" s="21">
        <v>3390.7286956521739</v>
      </c>
      <c r="F25" s="22" t="s">
        <v>240</v>
      </c>
      <c r="G25" s="23">
        <v>23.299225296442685</v>
      </c>
      <c r="H25" s="24">
        <v>35.318034015706502</v>
      </c>
    </row>
    <row r="26" spans="1:8" ht="13.5" thickBot="1" x14ac:dyDescent="0.25">
      <c r="A26" s="41"/>
      <c r="B26" s="42" t="s">
        <v>240</v>
      </c>
      <c r="C26" s="43" t="s">
        <v>240</v>
      </c>
      <c r="D26" s="43" t="s">
        <v>240</v>
      </c>
      <c r="E26" s="43" t="s">
        <v>240</v>
      </c>
      <c r="F26" s="44"/>
      <c r="G26" s="45" t="s">
        <v>240</v>
      </c>
      <c r="H26" s="46" t="s">
        <v>240</v>
      </c>
    </row>
    <row r="31" spans="1:8" x14ac:dyDescent="0.2">
      <c r="A31" s="47"/>
      <c r="B31" s="48"/>
      <c r="C31" s="49"/>
      <c r="D31" s="55"/>
      <c r="E31" s="49"/>
      <c r="F31" s="49"/>
      <c r="G31" s="50"/>
      <c r="H31" s="51"/>
    </row>
    <row r="32" spans="1:8" ht="16.5" thickBot="1" x14ac:dyDescent="0.3">
      <c r="A32" s="4" t="s">
        <v>98</v>
      </c>
      <c r="B32" s="5"/>
      <c r="C32" s="5"/>
      <c r="D32" s="5"/>
      <c r="E32" s="5"/>
      <c r="F32" s="5"/>
      <c r="G32" s="5"/>
      <c r="H32" s="6"/>
    </row>
    <row r="33" spans="1:8" x14ac:dyDescent="0.2">
      <c r="A33" s="7"/>
      <c r="B33" s="8"/>
      <c r="C33" s="178" t="s">
        <v>16</v>
      </c>
      <c r="D33" s="172"/>
      <c r="E33" s="172"/>
      <c r="F33" s="179"/>
      <c r="G33" s="172" t="s">
        <v>1</v>
      </c>
      <c r="H33" s="173"/>
    </row>
    <row r="34" spans="1:8" x14ac:dyDescent="0.2">
      <c r="A34" s="12"/>
      <c r="B34" s="13"/>
      <c r="C34" s="14" t="s">
        <v>235</v>
      </c>
      <c r="D34" s="15" t="s">
        <v>236</v>
      </c>
      <c r="E34" s="15" t="s">
        <v>237</v>
      </c>
      <c r="F34" s="16"/>
      <c r="G34" s="17" t="s">
        <v>238</v>
      </c>
      <c r="H34" s="18" t="s">
        <v>239</v>
      </c>
    </row>
    <row r="35" spans="1:8" ht="12.75" customHeight="1" x14ac:dyDescent="0.2">
      <c r="A35" s="174" t="s">
        <v>45</v>
      </c>
      <c r="B35" s="19" t="s">
        <v>3</v>
      </c>
      <c r="C35" s="80">
        <v>1025.3048651070953</v>
      </c>
      <c r="D35" s="80">
        <v>920.69793862427082</v>
      </c>
      <c r="E35" s="83">
        <v>1345.8178702198506</v>
      </c>
      <c r="F35" s="22" t="s">
        <v>240</v>
      </c>
      <c r="G35" s="23">
        <v>31.260263753774069</v>
      </c>
      <c r="H35" s="24">
        <v>46.173659542542737</v>
      </c>
    </row>
    <row r="36" spans="1:8" ht="12.75" customHeight="1" x14ac:dyDescent="0.2">
      <c r="A36" s="175"/>
      <c r="B36" s="25" t="s">
        <v>240</v>
      </c>
      <c r="C36" s="82" t="s">
        <v>240</v>
      </c>
      <c r="D36" s="82" t="s">
        <v>240</v>
      </c>
      <c r="E36" s="82" t="s">
        <v>240</v>
      </c>
      <c r="F36" s="27"/>
      <c r="G36" s="28" t="s">
        <v>240</v>
      </c>
      <c r="H36" s="29" t="s">
        <v>240</v>
      </c>
    </row>
    <row r="37" spans="1:8" x14ac:dyDescent="0.2">
      <c r="A37" s="30" t="s">
        <v>18</v>
      </c>
      <c r="B37" s="31" t="s">
        <v>3</v>
      </c>
      <c r="C37" s="80">
        <v>352.08131989731572</v>
      </c>
      <c r="D37" s="80">
        <v>342.37821156408756</v>
      </c>
      <c r="E37" s="83">
        <v>508.80382571797549</v>
      </c>
      <c r="F37" s="22" t="s">
        <v>240</v>
      </c>
      <c r="G37" s="32">
        <v>44.51315561597184</v>
      </c>
      <c r="H37" s="33">
        <v>48.608704798592527</v>
      </c>
    </row>
    <row r="38" spans="1:8" x14ac:dyDescent="0.2">
      <c r="A38" s="34"/>
      <c r="B38" s="25" t="s">
        <v>240</v>
      </c>
      <c r="C38" s="82" t="s">
        <v>240</v>
      </c>
      <c r="D38" s="82" t="s">
        <v>240</v>
      </c>
      <c r="E38" s="82" t="s">
        <v>240</v>
      </c>
      <c r="F38" s="27"/>
      <c r="G38" s="35" t="s">
        <v>240</v>
      </c>
      <c r="H38" s="29" t="s">
        <v>240</v>
      </c>
    </row>
    <row r="39" spans="1:8" x14ac:dyDescent="0.2">
      <c r="A39" s="30" t="s">
        <v>19</v>
      </c>
      <c r="B39" s="31" t="s">
        <v>3</v>
      </c>
      <c r="C39" s="80">
        <v>385.89841356658548</v>
      </c>
      <c r="D39" s="80">
        <v>303.71060912703126</v>
      </c>
      <c r="E39" s="83">
        <v>470.63384581751478</v>
      </c>
      <c r="F39" s="22" t="s">
        <v>240</v>
      </c>
      <c r="G39" s="37">
        <v>21.957963358226792</v>
      </c>
      <c r="H39" s="33">
        <v>54.961279479264249</v>
      </c>
    </row>
    <row r="40" spans="1:8" x14ac:dyDescent="0.2">
      <c r="A40" s="34"/>
      <c r="B40" s="25" t="s">
        <v>240</v>
      </c>
      <c r="C40" s="82" t="s">
        <v>240</v>
      </c>
      <c r="D40" s="82" t="s">
        <v>240</v>
      </c>
      <c r="E40" s="82" t="s">
        <v>240</v>
      </c>
      <c r="F40" s="27"/>
      <c r="G40" s="28" t="s">
        <v>240</v>
      </c>
      <c r="H40" s="29" t="s">
        <v>240</v>
      </c>
    </row>
    <row r="41" spans="1:8" x14ac:dyDescent="0.2">
      <c r="A41" s="30" t="s">
        <v>20</v>
      </c>
      <c r="B41" s="31" t="s">
        <v>3</v>
      </c>
      <c r="C41" s="80">
        <v>25.875430763534148</v>
      </c>
      <c r="D41" s="80">
        <v>33.909776236108357</v>
      </c>
      <c r="E41" s="83">
        <v>45.317287953984163</v>
      </c>
      <c r="F41" s="22" t="s">
        <v>240</v>
      </c>
      <c r="G41" s="23">
        <v>75.136361470160068</v>
      </c>
      <c r="H41" s="24">
        <v>33.640775564094326</v>
      </c>
    </row>
    <row r="42" spans="1:8" x14ac:dyDescent="0.2">
      <c r="A42" s="34"/>
      <c r="B42" s="25" t="s">
        <v>240</v>
      </c>
      <c r="C42" s="82" t="s">
        <v>240</v>
      </c>
      <c r="D42" s="82" t="s">
        <v>240</v>
      </c>
      <c r="E42" s="82" t="s">
        <v>240</v>
      </c>
      <c r="F42" s="27"/>
      <c r="G42" s="38" t="s">
        <v>240</v>
      </c>
      <c r="H42" s="24" t="s">
        <v>240</v>
      </c>
    </row>
    <row r="43" spans="1:8" x14ac:dyDescent="0.2">
      <c r="A43" s="30" t="s">
        <v>21</v>
      </c>
      <c r="B43" s="31" t="s">
        <v>3</v>
      </c>
      <c r="C43" s="80">
        <v>10.001865350056425</v>
      </c>
      <c r="D43" s="80">
        <v>10.163603263999786</v>
      </c>
      <c r="E43" s="83">
        <v>13.01059107452795</v>
      </c>
      <c r="F43" s="22" t="s">
        <v>240</v>
      </c>
      <c r="G43" s="37">
        <v>30.081645964715477</v>
      </c>
      <c r="H43" s="33">
        <v>28.011599199394169</v>
      </c>
    </row>
    <row r="44" spans="1:8" x14ac:dyDescent="0.2">
      <c r="A44" s="34"/>
      <c r="B44" s="25" t="s">
        <v>240</v>
      </c>
      <c r="C44" s="82" t="s">
        <v>240</v>
      </c>
      <c r="D44" s="82" t="s">
        <v>240</v>
      </c>
      <c r="E44" s="82" t="s">
        <v>240</v>
      </c>
      <c r="F44" s="27"/>
      <c r="G44" s="28" t="s">
        <v>240</v>
      </c>
      <c r="H44" s="29" t="s">
        <v>240</v>
      </c>
    </row>
    <row r="45" spans="1:8" x14ac:dyDescent="0.2">
      <c r="A45" s="30" t="s">
        <v>22</v>
      </c>
      <c r="B45" s="31" t="s">
        <v>3</v>
      </c>
      <c r="C45" s="80">
        <v>2.2821018177074852</v>
      </c>
      <c r="D45" s="80">
        <v>3.1169390507021415</v>
      </c>
      <c r="E45" s="83">
        <v>5.975419837860156</v>
      </c>
      <c r="F45" s="22" t="s">
        <v>240</v>
      </c>
      <c r="G45" s="37">
        <v>161.83844171610366</v>
      </c>
      <c r="H45" s="33">
        <v>91.707946182460489</v>
      </c>
    </row>
    <row r="46" spans="1:8" x14ac:dyDescent="0.2">
      <c r="A46" s="34"/>
      <c r="B46" s="25" t="s">
        <v>240</v>
      </c>
      <c r="C46" s="82" t="s">
        <v>240</v>
      </c>
      <c r="D46" s="82" t="s">
        <v>240</v>
      </c>
      <c r="E46" s="82" t="s">
        <v>240</v>
      </c>
      <c r="F46" s="27"/>
      <c r="G46" s="28" t="s">
        <v>240</v>
      </c>
      <c r="H46" s="29" t="s">
        <v>240</v>
      </c>
    </row>
    <row r="47" spans="1:8" x14ac:dyDescent="0.2">
      <c r="A47" s="30" t="s">
        <v>189</v>
      </c>
      <c r="B47" s="31" t="s">
        <v>3</v>
      </c>
      <c r="C47" s="80">
        <v>113.70571797914418</v>
      </c>
      <c r="D47" s="80">
        <v>100.45196290747261</v>
      </c>
      <c r="E47" s="83">
        <v>134.50750240541021</v>
      </c>
      <c r="F47" s="22" t="s">
        <v>240</v>
      </c>
      <c r="G47" s="23">
        <v>18.294404886552385</v>
      </c>
      <c r="H47" s="24">
        <v>33.90231361561996</v>
      </c>
    </row>
    <row r="48" spans="1:8" x14ac:dyDescent="0.2">
      <c r="A48" s="30"/>
      <c r="B48" s="25" t="s">
        <v>240</v>
      </c>
      <c r="C48" s="82" t="s">
        <v>240</v>
      </c>
      <c r="D48" s="82" t="s">
        <v>240</v>
      </c>
      <c r="E48" s="82" t="s">
        <v>240</v>
      </c>
      <c r="F48" s="27"/>
      <c r="G48" s="38" t="s">
        <v>240</v>
      </c>
      <c r="H48" s="24" t="s">
        <v>240</v>
      </c>
    </row>
    <row r="49" spans="1:8" x14ac:dyDescent="0.2">
      <c r="A49" s="39" t="s">
        <v>12</v>
      </c>
      <c r="B49" s="31" t="s">
        <v>3</v>
      </c>
      <c r="C49" s="80">
        <v>0.71547073751679258</v>
      </c>
      <c r="D49" s="80">
        <v>0.5151113756760981</v>
      </c>
      <c r="E49" s="83">
        <v>1.311325674200952</v>
      </c>
      <c r="F49" s="22" t="s">
        <v>240</v>
      </c>
      <c r="G49" s="37">
        <v>83.281524378231381</v>
      </c>
      <c r="H49" s="33">
        <v>154.5712900399065</v>
      </c>
    </row>
    <row r="50" spans="1:8" x14ac:dyDescent="0.2">
      <c r="A50" s="34"/>
      <c r="B50" s="25" t="s">
        <v>240</v>
      </c>
      <c r="C50" s="82" t="s">
        <v>240</v>
      </c>
      <c r="D50" s="82" t="s">
        <v>240</v>
      </c>
      <c r="E50" s="82" t="s">
        <v>240</v>
      </c>
      <c r="F50" s="27"/>
      <c r="G50" s="28" t="s">
        <v>240</v>
      </c>
      <c r="H50" s="29" t="s">
        <v>240</v>
      </c>
    </row>
    <row r="51" spans="1:8" x14ac:dyDescent="0.2">
      <c r="A51" s="39" t="s">
        <v>23</v>
      </c>
      <c r="B51" s="31" t="s">
        <v>3</v>
      </c>
      <c r="C51" s="80">
        <v>55.653365350551773</v>
      </c>
      <c r="D51" s="80">
        <v>57.82285143122315</v>
      </c>
      <c r="E51" s="83">
        <v>63.910184326368835</v>
      </c>
      <c r="F51" s="22" t="s">
        <v>240</v>
      </c>
      <c r="G51" s="23">
        <v>14.836153975251378</v>
      </c>
      <c r="H51" s="24">
        <v>10.527555705872118</v>
      </c>
    </row>
    <row r="52" spans="1:8" x14ac:dyDescent="0.2">
      <c r="A52" s="34"/>
      <c r="B52" s="25" t="s">
        <v>240</v>
      </c>
      <c r="C52" s="82" t="s">
        <v>240</v>
      </c>
      <c r="D52" s="82" t="s">
        <v>240</v>
      </c>
      <c r="E52" s="82" t="s">
        <v>240</v>
      </c>
      <c r="F52" s="27"/>
      <c r="G52" s="28" t="s">
        <v>240</v>
      </c>
      <c r="H52" s="29" t="s">
        <v>240</v>
      </c>
    </row>
    <row r="53" spans="1:8" x14ac:dyDescent="0.2">
      <c r="A53" s="30" t="s">
        <v>24</v>
      </c>
      <c r="B53" s="31" t="s">
        <v>3</v>
      </c>
      <c r="C53" s="80">
        <v>79.09117964468345</v>
      </c>
      <c r="D53" s="80">
        <v>68.628873667969899</v>
      </c>
      <c r="E53" s="83">
        <v>102.34788741200792</v>
      </c>
      <c r="F53" s="22" t="s">
        <v>240</v>
      </c>
      <c r="G53" s="23">
        <v>29.404932221020175</v>
      </c>
      <c r="H53" s="24">
        <v>49.1324014833354</v>
      </c>
    </row>
    <row r="54" spans="1:8" ht="13.5" thickBot="1" x14ac:dyDescent="0.25">
      <c r="A54" s="41"/>
      <c r="B54" s="42" t="s">
        <v>240</v>
      </c>
      <c r="C54" s="86" t="s">
        <v>240</v>
      </c>
      <c r="D54" s="86" t="s">
        <v>240</v>
      </c>
      <c r="E54" s="86" t="s">
        <v>240</v>
      </c>
      <c r="F54" s="44"/>
      <c r="G54" s="45" t="s">
        <v>240</v>
      </c>
      <c r="H54" s="46" t="s">
        <v>240</v>
      </c>
    </row>
    <row r="59" spans="1:8" x14ac:dyDescent="0.2">
      <c r="A59" s="47"/>
      <c r="B59" s="48"/>
      <c r="C59" s="49"/>
      <c r="D59" s="49"/>
      <c r="E59" s="49"/>
      <c r="F59" s="49"/>
      <c r="G59" s="50"/>
      <c r="H59" s="51"/>
    </row>
    <row r="60" spans="1:8" x14ac:dyDescent="0.2">
      <c r="A60" s="52"/>
      <c r="B60" s="52"/>
      <c r="C60" s="52"/>
      <c r="D60" s="52"/>
      <c r="E60" s="52"/>
      <c r="F60" s="52"/>
      <c r="G60" s="52"/>
      <c r="H60" s="52"/>
    </row>
    <row r="61" spans="1:8" ht="12.75" customHeight="1" x14ac:dyDescent="0.2">
      <c r="A61" s="54" t="s">
        <v>241</v>
      </c>
      <c r="H61" s="169">
        <v>16</v>
      </c>
    </row>
    <row r="62" spans="1:8" ht="12.75" customHeight="1" x14ac:dyDescent="0.2">
      <c r="A62" s="54" t="s">
        <v>242</v>
      </c>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37" display="Tilbake til innholdsfortegnelsen" xr:uid="{00000000-0004-0000-0B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163</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x14ac:dyDescent="0.2">
      <c r="A7" s="174" t="s">
        <v>165</v>
      </c>
      <c r="B7" s="19" t="s">
        <v>3</v>
      </c>
      <c r="C7" s="20">
        <v>47091.596212135686</v>
      </c>
      <c r="D7" s="20">
        <v>44703.941502659662</v>
      </c>
      <c r="E7" s="79">
        <v>53986.423475075651</v>
      </c>
      <c r="F7" s="22" t="s">
        <v>240</v>
      </c>
      <c r="G7" s="23">
        <v>14.641311438840418</v>
      </c>
      <c r="H7" s="24">
        <v>20.764347975588976</v>
      </c>
    </row>
    <row r="8" spans="1:8" x14ac:dyDescent="0.2">
      <c r="A8" s="175"/>
      <c r="B8" s="25" t="s">
        <v>240</v>
      </c>
      <c r="C8" s="26" t="s">
        <v>240</v>
      </c>
      <c r="D8" s="26" t="s">
        <v>240</v>
      </c>
      <c r="E8" s="26" t="s">
        <v>240</v>
      </c>
      <c r="F8" s="27"/>
      <c r="G8" s="28" t="s">
        <v>240</v>
      </c>
      <c r="H8" s="29" t="s">
        <v>240</v>
      </c>
    </row>
    <row r="9" spans="1:8" x14ac:dyDescent="0.2">
      <c r="A9" s="30" t="s">
        <v>18</v>
      </c>
      <c r="B9" s="31" t="s">
        <v>3</v>
      </c>
      <c r="C9" s="20">
        <v>4601.1492898695651</v>
      </c>
      <c r="D9" s="20">
        <v>4277.1578497057972</v>
      </c>
      <c r="E9" s="36">
        <v>4363.4472463768116</v>
      </c>
      <c r="F9" s="22" t="s">
        <v>240</v>
      </c>
      <c r="G9" s="32">
        <v>-5.1661449893857281</v>
      </c>
      <c r="H9" s="33">
        <v>2.0174470922776493</v>
      </c>
    </row>
    <row r="10" spans="1:8" x14ac:dyDescent="0.2">
      <c r="A10" s="34"/>
      <c r="B10" s="25" t="s">
        <v>240</v>
      </c>
      <c r="C10" s="26" t="s">
        <v>240</v>
      </c>
      <c r="D10" s="26" t="s">
        <v>240</v>
      </c>
      <c r="E10" s="26" t="s">
        <v>240</v>
      </c>
      <c r="F10" s="27"/>
      <c r="G10" s="35" t="s">
        <v>240</v>
      </c>
      <c r="H10" s="29" t="s">
        <v>240</v>
      </c>
    </row>
    <row r="11" spans="1:8" x14ac:dyDescent="0.2">
      <c r="A11" s="30" t="s">
        <v>19</v>
      </c>
      <c r="B11" s="31" t="s">
        <v>3</v>
      </c>
      <c r="C11" s="20">
        <v>25129.852221391306</v>
      </c>
      <c r="D11" s="20">
        <v>21767.698417218973</v>
      </c>
      <c r="E11" s="36">
        <v>26315.190988142291</v>
      </c>
      <c r="F11" s="22" t="s">
        <v>240</v>
      </c>
      <c r="G11" s="37">
        <v>4.7168553014489589</v>
      </c>
      <c r="H11" s="33">
        <v>20.891012378810345</v>
      </c>
    </row>
    <row r="12" spans="1:8" x14ac:dyDescent="0.2">
      <c r="A12" s="34"/>
      <c r="B12" s="25" t="s">
        <v>240</v>
      </c>
      <c r="C12" s="26" t="s">
        <v>240</v>
      </c>
      <c r="D12" s="26" t="s">
        <v>240</v>
      </c>
      <c r="E12" s="26" t="s">
        <v>240</v>
      </c>
      <c r="F12" s="27"/>
      <c r="G12" s="28" t="s">
        <v>240</v>
      </c>
      <c r="H12" s="29" t="s">
        <v>240</v>
      </c>
    </row>
    <row r="13" spans="1:8" x14ac:dyDescent="0.2">
      <c r="A13" s="30" t="s">
        <v>20</v>
      </c>
      <c r="B13" s="31" t="s">
        <v>3</v>
      </c>
      <c r="C13" s="20">
        <v>2303.2895739217392</v>
      </c>
      <c r="D13" s="20">
        <v>2976.0947098234783</v>
      </c>
      <c r="E13" s="36">
        <v>3410.4683478260868</v>
      </c>
      <c r="F13" s="22" t="s">
        <v>240</v>
      </c>
      <c r="G13" s="23">
        <v>48.069456243801284</v>
      </c>
      <c r="H13" s="24">
        <v>14.595423881129534</v>
      </c>
    </row>
    <row r="14" spans="1:8" x14ac:dyDescent="0.2">
      <c r="A14" s="34"/>
      <c r="B14" s="25" t="s">
        <v>240</v>
      </c>
      <c r="C14" s="26" t="s">
        <v>240</v>
      </c>
      <c r="D14" s="26" t="s">
        <v>240</v>
      </c>
      <c r="E14" s="26" t="s">
        <v>240</v>
      </c>
      <c r="F14" s="27"/>
      <c r="G14" s="38" t="s">
        <v>240</v>
      </c>
      <c r="H14" s="24" t="s">
        <v>240</v>
      </c>
    </row>
    <row r="15" spans="1:8" x14ac:dyDescent="0.2">
      <c r="A15" s="30" t="s">
        <v>21</v>
      </c>
      <c r="B15" s="31" t="s">
        <v>3</v>
      </c>
      <c r="C15" s="20">
        <v>1395.2895739217392</v>
      </c>
      <c r="D15" s="20">
        <v>1524.0947098234783</v>
      </c>
      <c r="E15" s="36">
        <v>1901.468347826087</v>
      </c>
      <c r="F15" s="22" t="s">
        <v>240</v>
      </c>
      <c r="G15" s="37">
        <v>36.27768624986075</v>
      </c>
      <c r="H15" s="33">
        <v>24.760510982044963</v>
      </c>
    </row>
    <row r="16" spans="1:8" x14ac:dyDescent="0.2">
      <c r="A16" s="34"/>
      <c r="B16" s="25" t="s">
        <v>240</v>
      </c>
      <c r="C16" s="26" t="s">
        <v>240</v>
      </c>
      <c r="D16" s="26" t="s">
        <v>240</v>
      </c>
      <c r="E16" s="26" t="s">
        <v>240</v>
      </c>
      <c r="F16" s="27"/>
      <c r="G16" s="28" t="s">
        <v>240</v>
      </c>
      <c r="H16" s="29" t="s">
        <v>240</v>
      </c>
    </row>
    <row r="17" spans="1:8" x14ac:dyDescent="0.2">
      <c r="A17" s="30" t="s">
        <v>189</v>
      </c>
      <c r="B17" s="31" t="s">
        <v>3</v>
      </c>
      <c r="C17" s="20">
        <v>8451.1492898695651</v>
      </c>
      <c r="D17" s="20">
        <v>7993.1578497057972</v>
      </c>
      <c r="E17" s="36">
        <v>9896.4472463768107</v>
      </c>
      <c r="F17" s="22" t="s">
        <v>240</v>
      </c>
      <c r="G17" s="37">
        <v>17.101791802917646</v>
      </c>
      <c r="H17" s="33">
        <v>23.81148267628754</v>
      </c>
    </row>
    <row r="18" spans="1:8" x14ac:dyDescent="0.2">
      <c r="A18" s="34"/>
      <c r="B18" s="25" t="s">
        <v>240</v>
      </c>
      <c r="C18" s="26" t="s">
        <v>240</v>
      </c>
      <c r="D18" s="26" t="s">
        <v>240</v>
      </c>
      <c r="E18" s="26" t="s">
        <v>240</v>
      </c>
      <c r="F18" s="27"/>
      <c r="G18" s="28" t="s">
        <v>240</v>
      </c>
      <c r="H18" s="29" t="s">
        <v>240</v>
      </c>
    </row>
    <row r="19" spans="1:8" x14ac:dyDescent="0.2">
      <c r="A19" s="39" t="s">
        <v>12</v>
      </c>
      <c r="B19" s="31" t="s">
        <v>3</v>
      </c>
      <c r="C19" s="20">
        <v>335.28957392173913</v>
      </c>
      <c r="D19" s="20">
        <v>436.0947098234783</v>
      </c>
      <c r="E19" s="36">
        <v>657.46834782608698</v>
      </c>
      <c r="F19" s="22" t="s">
        <v>240</v>
      </c>
      <c r="G19" s="37">
        <v>96.089708408156014</v>
      </c>
      <c r="H19" s="33">
        <v>50.762743279370653</v>
      </c>
    </row>
    <row r="20" spans="1:8" x14ac:dyDescent="0.2">
      <c r="A20" s="34"/>
      <c r="B20" s="25" t="s">
        <v>240</v>
      </c>
      <c r="C20" s="26" t="s">
        <v>240</v>
      </c>
      <c r="D20" s="26" t="s">
        <v>240</v>
      </c>
      <c r="E20" s="26" t="s">
        <v>240</v>
      </c>
      <c r="F20" s="27"/>
      <c r="G20" s="28" t="s">
        <v>240</v>
      </c>
      <c r="H20" s="29" t="s">
        <v>240</v>
      </c>
    </row>
    <row r="21" spans="1:8" x14ac:dyDescent="0.2">
      <c r="A21" s="39" t="s">
        <v>23</v>
      </c>
      <c r="B21" s="31" t="s">
        <v>3</v>
      </c>
      <c r="C21" s="20">
        <v>695.85971594782609</v>
      </c>
      <c r="D21" s="20">
        <v>607.06313988231886</v>
      </c>
      <c r="E21" s="36">
        <v>695.97889855072458</v>
      </c>
      <c r="F21" s="22" t="s">
        <v>240</v>
      </c>
      <c r="G21" s="23">
        <v>1.7127389352623368E-2</v>
      </c>
      <c r="H21" s="24">
        <v>14.64687160641023</v>
      </c>
    </row>
    <row r="22" spans="1:8" x14ac:dyDescent="0.2">
      <c r="A22" s="34"/>
      <c r="B22" s="25" t="s">
        <v>240</v>
      </c>
      <c r="C22" s="26" t="s">
        <v>240</v>
      </c>
      <c r="D22" s="26" t="s">
        <v>240</v>
      </c>
      <c r="E22" s="26" t="s">
        <v>240</v>
      </c>
      <c r="F22" s="27"/>
      <c r="G22" s="38" t="s">
        <v>240</v>
      </c>
      <c r="H22" s="24" t="s">
        <v>240</v>
      </c>
    </row>
    <row r="23" spans="1:8" x14ac:dyDescent="0.2">
      <c r="A23" s="30" t="s">
        <v>24</v>
      </c>
      <c r="B23" s="31" t="s">
        <v>3</v>
      </c>
      <c r="C23" s="20">
        <v>5346.8868721765211</v>
      </c>
      <c r="D23" s="20">
        <v>6256.4284129470434</v>
      </c>
      <c r="E23" s="36">
        <v>7775.840504347826</v>
      </c>
      <c r="F23" s="22" t="s">
        <v>240</v>
      </c>
      <c r="G23" s="37">
        <v>45.427436380051319</v>
      </c>
      <c r="H23" s="33">
        <v>24.285614588932461</v>
      </c>
    </row>
    <row r="24" spans="1:8" ht="13.5" thickBot="1" x14ac:dyDescent="0.25">
      <c r="A24" s="41"/>
      <c r="B24" s="42" t="s">
        <v>240</v>
      </c>
      <c r="C24" s="43" t="s">
        <v>240</v>
      </c>
      <c r="D24" s="43" t="s">
        <v>240</v>
      </c>
      <c r="E24" s="43" t="s">
        <v>240</v>
      </c>
      <c r="F24" s="44"/>
      <c r="G24" s="45" t="s">
        <v>240</v>
      </c>
      <c r="H24" s="46" t="s">
        <v>240</v>
      </c>
    </row>
    <row r="29" spans="1:8" x14ac:dyDescent="0.2">
      <c r="A29" s="58"/>
      <c r="B29" s="58"/>
      <c r="C29" s="21"/>
      <c r="D29" s="21"/>
      <c r="E29" s="21"/>
      <c r="F29" s="59"/>
      <c r="G29" s="38"/>
      <c r="H29" s="60"/>
    </row>
    <row r="30" spans="1:8" x14ac:dyDescent="0.2">
      <c r="A30" s="58"/>
      <c r="B30" s="62"/>
      <c r="C30" s="21"/>
      <c r="D30" s="21"/>
      <c r="E30" s="21"/>
      <c r="F30" s="63"/>
      <c r="G30" s="38"/>
      <c r="H30" s="60"/>
    </row>
    <row r="31" spans="1:8" x14ac:dyDescent="0.2">
      <c r="A31" s="47"/>
      <c r="B31" s="48"/>
      <c r="C31" s="49"/>
      <c r="D31" s="55"/>
      <c r="E31" s="49"/>
      <c r="F31" s="49"/>
      <c r="G31" s="50"/>
      <c r="H31" s="51"/>
    </row>
    <row r="32" spans="1:8" ht="16.5" thickBot="1" x14ac:dyDescent="0.3">
      <c r="A32" s="4" t="s">
        <v>164</v>
      </c>
      <c r="B32" s="5"/>
      <c r="C32" s="5"/>
      <c r="D32" s="5"/>
      <c r="E32" s="5"/>
      <c r="F32" s="5"/>
      <c r="G32" s="5"/>
      <c r="H32" s="6"/>
    </row>
    <row r="33" spans="1:8" x14ac:dyDescent="0.2">
      <c r="A33" s="7"/>
      <c r="B33" s="8"/>
      <c r="C33" s="178" t="s">
        <v>16</v>
      </c>
      <c r="D33" s="172"/>
      <c r="E33" s="172"/>
      <c r="F33" s="179"/>
      <c r="G33" s="172" t="s">
        <v>1</v>
      </c>
      <c r="H33" s="173"/>
    </row>
    <row r="34" spans="1:8" x14ac:dyDescent="0.2">
      <c r="A34" s="12"/>
      <c r="B34" s="13"/>
      <c r="C34" s="14" t="s">
        <v>235</v>
      </c>
      <c r="D34" s="15" t="s">
        <v>236</v>
      </c>
      <c r="E34" s="15" t="s">
        <v>237</v>
      </c>
      <c r="F34" s="16"/>
      <c r="G34" s="17" t="s">
        <v>238</v>
      </c>
      <c r="H34" s="18" t="s">
        <v>239</v>
      </c>
    </row>
    <row r="35" spans="1:8" ht="12.75" customHeight="1" x14ac:dyDescent="0.2">
      <c r="A35" s="174" t="s">
        <v>165</v>
      </c>
      <c r="B35" s="19" t="s">
        <v>3</v>
      </c>
      <c r="C35" s="80">
        <v>6062.0590272136787</v>
      </c>
      <c r="D35" s="80">
        <v>7230.9088147832808</v>
      </c>
      <c r="E35" s="81">
        <v>9813.9785573664813</v>
      </c>
      <c r="F35" s="22" t="s">
        <v>240</v>
      </c>
      <c r="G35" s="23">
        <v>61.891834330707724</v>
      </c>
      <c r="H35" s="24">
        <v>35.72261535510205</v>
      </c>
    </row>
    <row r="36" spans="1:8" ht="12.75" customHeight="1" x14ac:dyDescent="0.2">
      <c r="A36" s="175"/>
      <c r="B36" s="25" t="s">
        <v>240</v>
      </c>
      <c r="C36" s="82" t="s">
        <v>240</v>
      </c>
      <c r="D36" s="82" t="s">
        <v>240</v>
      </c>
      <c r="E36" s="82" t="s">
        <v>240</v>
      </c>
      <c r="F36" s="27"/>
      <c r="G36" s="28" t="s">
        <v>240</v>
      </c>
      <c r="H36" s="29" t="s">
        <v>240</v>
      </c>
    </row>
    <row r="37" spans="1:8" x14ac:dyDescent="0.2">
      <c r="A37" s="30" t="s">
        <v>18</v>
      </c>
      <c r="B37" s="31" t="s">
        <v>3</v>
      </c>
      <c r="C37" s="80">
        <v>2762.2181366845812</v>
      </c>
      <c r="D37" s="80">
        <v>3666.8924975994191</v>
      </c>
      <c r="E37" s="83">
        <v>3476.130991637121</v>
      </c>
      <c r="F37" s="22" t="s">
        <v>240</v>
      </c>
      <c r="G37" s="32">
        <v>25.845636355477382</v>
      </c>
      <c r="H37" s="33">
        <v>-5.2022661173509448</v>
      </c>
    </row>
    <row r="38" spans="1:8" x14ac:dyDescent="0.2">
      <c r="A38" s="34"/>
      <c r="B38" s="25" t="s">
        <v>240</v>
      </c>
      <c r="C38" s="82" t="s">
        <v>240</v>
      </c>
      <c r="D38" s="82" t="s">
        <v>240</v>
      </c>
      <c r="E38" s="82" t="s">
        <v>240</v>
      </c>
      <c r="F38" s="27"/>
      <c r="G38" s="35" t="s">
        <v>240</v>
      </c>
      <c r="H38" s="29" t="s">
        <v>240</v>
      </c>
    </row>
    <row r="39" spans="1:8" x14ac:dyDescent="0.2">
      <c r="A39" s="30" t="s">
        <v>19</v>
      </c>
      <c r="B39" s="31" t="s">
        <v>3</v>
      </c>
      <c r="C39" s="80">
        <v>1948.5093091017909</v>
      </c>
      <c r="D39" s="80">
        <v>1959.9317334918119</v>
      </c>
      <c r="E39" s="83">
        <v>2609.1619566823429</v>
      </c>
      <c r="F39" s="22" t="s">
        <v>240</v>
      </c>
      <c r="G39" s="37">
        <v>33.905542277603729</v>
      </c>
      <c r="H39" s="33">
        <v>33.125144722967633</v>
      </c>
    </row>
    <row r="40" spans="1:8" x14ac:dyDescent="0.2">
      <c r="A40" s="34"/>
      <c r="B40" s="25" t="s">
        <v>240</v>
      </c>
      <c r="C40" s="82" t="s">
        <v>240</v>
      </c>
      <c r="D40" s="82" t="s">
        <v>240</v>
      </c>
      <c r="E40" s="82" t="s">
        <v>240</v>
      </c>
      <c r="F40" s="27"/>
      <c r="G40" s="28" t="s">
        <v>240</v>
      </c>
      <c r="H40" s="29" t="s">
        <v>240</v>
      </c>
    </row>
    <row r="41" spans="1:8" x14ac:dyDescent="0.2">
      <c r="A41" s="30" t="s">
        <v>20</v>
      </c>
      <c r="B41" s="31" t="s">
        <v>3</v>
      </c>
      <c r="C41" s="80">
        <v>123.73318596840178</v>
      </c>
      <c r="D41" s="80">
        <v>160.97136009515918</v>
      </c>
      <c r="E41" s="83">
        <v>230.73612518688864</v>
      </c>
      <c r="F41" s="22" t="s">
        <v>240</v>
      </c>
      <c r="G41" s="23">
        <v>86.478771544614233</v>
      </c>
      <c r="H41" s="24">
        <v>43.339861855231646</v>
      </c>
    </row>
    <row r="42" spans="1:8" x14ac:dyDescent="0.2">
      <c r="A42" s="34"/>
      <c r="B42" s="25" t="s">
        <v>240</v>
      </c>
      <c r="C42" s="82" t="s">
        <v>240</v>
      </c>
      <c r="D42" s="82" t="s">
        <v>240</v>
      </c>
      <c r="E42" s="82" t="s">
        <v>240</v>
      </c>
      <c r="F42" s="27"/>
      <c r="G42" s="38" t="s">
        <v>240</v>
      </c>
      <c r="H42" s="24" t="s">
        <v>240</v>
      </c>
    </row>
    <row r="43" spans="1:8" x14ac:dyDescent="0.2">
      <c r="A43" s="30" t="s">
        <v>21</v>
      </c>
      <c r="B43" s="31" t="s">
        <v>3</v>
      </c>
      <c r="C43" s="80">
        <v>24.818293969888263</v>
      </c>
      <c r="D43" s="80">
        <v>33.208015768235526</v>
      </c>
      <c r="E43" s="83">
        <v>43.988580330076658</v>
      </c>
      <c r="F43" s="22" t="s">
        <v>240</v>
      </c>
      <c r="G43" s="37">
        <v>77.242563020034623</v>
      </c>
      <c r="H43" s="33">
        <v>32.463741998560067</v>
      </c>
    </row>
    <row r="44" spans="1:8" x14ac:dyDescent="0.2">
      <c r="A44" s="34"/>
      <c r="B44" s="25" t="s">
        <v>240</v>
      </c>
      <c r="C44" s="82" t="s">
        <v>240</v>
      </c>
      <c r="D44" s="82" t="s">
        <v>240</v>
      </c>
      <c r="E44" s="82" t="s">
        <v>240</v>
      </c>
      <c r="F44" s="27"/>
      <c r="G44" s="28" t="s">
        <v>240</v>
      </c>
      <c r="H44" s="29" t="s">
        <v>240</v>
      </c>
    </row>
    <row r="45" spans="1:8" x14ac:dyDescent="0.2">
      <c r="A45" s="30" t="s">
        <v>189</v>
      </c>
      <c r="B45" s="31" t="s">
        <v>3</v>
      </c>
      <c r="C45" s="80">
        <v>679.71148863471342</v>
      </c>
      <c r="D45" s="80">
        <v>692.65829737330068</v>
      </c>
      <c r="E45" s="83">
        <v>1118.7916962393354</v>
      </c>
      <c r="F45" s="22" t="s">
        <v>240</v>
      </c>
      <c r="G45" s="37">
        <v>64.598026507771721</v>
      </c>
      <c r="H45" s="33">
        <v>61.521445780988699</v>
      </c>
    </row>
    <row r="46" spans="1:8" x14ac:dyDescent="0.2">
      <c r="A46" s="34"/>
      <c r="B46" s="25" t="s">
        <v>240</v>
      </c>
      <c r="C46" s="82" t="s">
        <v>240</v>
      </c>
      <c r="D46" s="82" t="s">
        <v>240</v>
      </c>
      <c r="E46" s="82" t="s">
        <v>240</v>
      </c>
      <c r="F46" s="27"/>
      <c r="G46" s="28" t="s">
        <v>240</v>
      </c>
      <c r="H46" s="29" t="s">
        <v>240</v>
      </c>
    </row>
    <row r="47" spans="1:8" x14ac:dyDescent="0.2">
      <c r="A47" s="39" t="s">
        <v>12</v>
      </c>
      <c r="B47" s="31" t="s">
        <v>3</v>
      </c>
      <c r="C47" s="80">
        <v>20.478960578864299</v>
      </c>
      <c r="D47" s="80">
        <v>36.725818335874578</v>
      </c>
      <c r="E47" s="83">
        <v>136.74512068045982</v>
      </c>
      <c r="F47" s="22" t="s">
        <v>240</v>
      </c>
      <c r="G47" s="37">
        <v>567.73467410055082</v>
      </c>
      <c r="H47" s="33">
        <v>272.34056823421196</v>
      </c>
    </row>
    <row r="48" spans="1:8" x14ac:dyDescent="0.2">
      <c r="A48" s="34"/>
      <c r="B48" s="25" t="s">
        <v>240</v>
      </c>
      <c r="C48" s="82" t="s">
        <v>240</v>
      </c>
      <c r="D48" s="82" t="s">
        <v>240</v>
      </c>
      <c r="E48" s="82" t="s">
        <v>240</v>
      </c>
      <c r="F48" s="27"/>
      <c r="G48" s="28" t="s">
        <v>240</v>
      </c>
      <c r="H48" s="29" t="s">
        <v>240</v>
      </c>
    </row>
    <row r="49" spans="1:8" x14ac:dyDescent="0.2">
      <c r="A49" s="39" t="s">
        <v>23</v>
      </c>
      <c r="B49" s="31" t="s">
        <v>3</v>
      </c>
      <c r="C49" s="80">
        <v>31.288874071004166</v>
      </c>
      <c r="D49" s="80">
        <v>38.562199446374002</v>
      </c>
      <c r="E49" s="83">
        <v>52.967165983377598</v>
      </c>
      <c r="F49" s="22" t="s">
        <v>240</v>
      </c>
      <c r="G49" s="23">
        <v>69.284346452284154</v>
      </c>
      <c r="H49" s="24">
        <v>37.355147641502327</v>
      </c>
    </row>
    <row r="50" spans="1:8" x14ac:dyDescent="0.2">
      <c r="A50" s="34"/>
      <c r="B50" s="25" t="s">
        <v>240</v>
      </c>
      <c r="C50" s="82" t="s">
        <v>240</v>
      </c>
      <c r="D50" s="82" t="s">
        <v>240</v>
      </c>
      <c r="E50" s="82" t="s">
        <v>240</v>
      </c>
      <c r="F50" s="27"/>
      <c r="G50" s="38" t="s">
        <v>240</v>
      </c>
      <c r="H50" s="24" t="s">
        <v>240</v>
      </c>
    </row>
    <row r="51" spans="1:8" x14ac:dyDescent="0.2">
      <c r="A51" s="30" t="s">
        <v>24</v>
      </c>
      <c r="B51" s="31" t="s">
        <v>3</v>
      </c>
      <c r="C51" s="80">
        <v>471.30077820443415</v>
      </c>
      <c r="D51" s="80">
        <v>641.95889267310577</v>
      </c>
      <c r="E51" s="83">
        <v>2145.4569206268798</v>
      </c>
      <c r="F51" s="22" t="s">
        <v>240</v>
      </c>
      <c r="G51" s="37">
        <v>355.22032210527226</v>
      </c>
      <c r="H51" s="33">
        <v>234.20472013297211</v>
      </c>
    </row>
    <row r="52" spans="1:8" ht="13.5" thickBot="1" x14ac:dyDescent="0.25">
      <c r="A52" s="41"/>
      <c r="B52" s="42" t="s">
        <v>240</v>
      </c>
      <c r="C52" s="86" t="s">
        <v>240</v>
      </c>
      <c r="D52" s="86" t="s">
        <v>240</v>
      </c>
      <c r="E52" s="86" t="s">
        <v>240</v>
      </c>
      <c r="F52" s="44"/>
      <c r="G52" s="45" t="s">
        <v>240</v>
      </c>
      <c r="H52" s="46" t="s">
        <v>240</v>
      </c>
    </row>
    <row r="57" spans="1:8" x14ac:dyDescent="0.2">
      <c r="A57" s="47"/>
      <c r="B57" s="48"/>
      <c r="C57" s="49"/>
      <c r="D57" s="49"/>
      <c r="E57" s="49"/>
      <c r="F57" s="49"/>
      <c r="G57" s="50"/>
      <c r="H57" s="51"/>
    </row>
    <row r="58" spans="1:8" x14ac:dyDescent="0.2">
      <c r="A58" s="47"/>
      <c r="B58" s="48"/>
      <c r="C58" s="49"/>
      <c r="D58" s="49"/>
      <c r="E58" s="49"/>
      <c r="F58" s="49"/>
      <c r="G58" s="50"/>
      <c r="H58" s="51"/>
    </row>
    <row r="59" spans="1:8" x14ac:dyDescent="0.2">
      <c r="A59" s="47"/>
      <c r="B59" s="48"/>
      <c r="C59" s="49"/>
      <c r="D59" s="49"/>
      <c r="E59" s="49"/>
      <c r="F59" s="49"/>
      <c r="G59" s="50"/>
      <c r="H59" s="51"/>
    </row>
    <row r="60" spans="1:8" x14ac:dyDescent="0.2">
      <c r="A60" s="52"/>
      <c r="B60" s="52"/>
      <c r="C60" s="52"/>
      <c r="D60" s="52"/>
      <c r="E60" s="52"/>
      <c r="F60" s="52"/>
      <c r="G60" s="52"/>
      <c r="H60" s="52"/>
    </row>
    <row r="61" spans="1:8" ht="12.75" customHeight="1" x14ac:dyDescent="0.2">
      <c r="A61" s="54" t="s">
        <v>241</v>
      </c>
      <c r="G61" s="53"/>
      <c r="H61" s="177">
        <v>17</v>
      </c>
    </row>
    <row r="62" spans="1:8" ht="12.75" customHeight="1" x14ac:dyDescent="0.2">
      <c r="A62" s="54" t="s">
        <v>242</v>
      </c>
      <c r="G62" s="53"/>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40" display="Tilbake til innholdsfortegnelsen" xr:uid="{00000000-0004-0000-0C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9" ht="5.25" customHeight="1" x14ac:dyDescent="0.2"/>
    <row r="2" spans="1:9" x14ac:dyDescent="0.2">
      <c r="A2" s="92" t="s">
        <v>0</v>
      </c>
      <c r="B2" s="2"/>
      <c r="C2" s="2"/>
      <c r="D2" s="2"/>
      <c r="E2" s="2"/>
      <c r="F2" s="2"/>
      <c r="G2" s="2"/>
    </row>
    <row r="3" spans="1:9" ht="6" customHeight="1" x14ac:dyDescent="0.2">
      <c r="A3" s="3"/>
      <c r="B3" s="2"/>
      <c r="C3" s="2"/>
      <c r="D3" s="2"/>
      <c r="E3" s="2"/>
      <c r="F3" s="2"/>
      <c r="G3" s="2"/>
    </row>
    <row r="4" spans="1:9" ht="16.5" thickBot="1" x14ac:dyDescent="0.3">
      <c r="A4" s="4" t="s">
        <v>151</v>
      </c>
      <c r="B4" s="5"/>
      <c r="C4" s="5"/>
      <c r="D4" s="5"/>
      <c r="E4" s="5"/>
      <c r="F4" s="5"/>
      <c r="G4" s="5"/>
      <c r="H4" s="6"/>
    </row>
    <row r="5" spans="1:9" x14ac:dyDescent="0.2">
      <c r="A5" s="7"/>
      <c r="B5" s="8"/>
      <c r="C5" s="9"/>
      <c r="D5" s="8"/>
      <c r="E5" s="10"/>
      <c r="F5" s="11"/>
      <c r="G5" s="172" t="s">
        <v>1</v>
      </c>
      <c r="H5" s="173"/>
    </row>
    <row r="6" spans="1:9" x14ac:dyDescent="0.2">
      <c r="A6" s="12"/>
      <c r="B6" s="13"/>
      <c r="C6" s="14" t="s">
        <v>235</v>
      </c>
      <c r="D6" s="15" t="s">
        <v>236</v>
      </c>
      <c r="E6" s="15" t="s">
        <v>237</v>
      </c>
      <c r="F6" s="16"/>
      <c r="G6" s="17" t="s">
        <v>238</v>
      </c>
      <c r="H6" s="18" t="s">
        <v>239</v>
      </c>
    </row>
    <row r="7" spans="1:9" x14ac:dyDescent="0.2">
      <c r="A7" s="174" t="s">
        <v>58</v>
      </c>
      <c r="B7" s="19" t="s">
        <v>3</v>
      </c>
      <c r="C7" s="20">
        <v>8798.6610285714287</v>
      </c>
      <c r="D7" s="20">
        <v>8629.6967836734693</v>
      </c>
      <c r="E7" s="79">
        <v>9255.1604571428579</v>
      </c>
      <c r="F7" s="22" t="s">
        <v>240</v>
      </c>
      <c r="G7" s="23">
        <v>5.1882829340630536</v>
      </c>
      <c r="H7" s="24">
        <v>7.247805909620169</v>
      </c>
    </row>
    <row r="8" spans="1:9" x14ac:dyDescent="0.2">
      <c r="A8" s="175"/>
      <c r="B8" s="25" t="s">
        <v>240</v>
      </c>
      <c r="C8" s="26" t="s">
        <v>240</v>
      </c>
      <c r="D8" s="26" t="s">
        <v>240</v>
      </c>
      <c r="E8" s="26" t="s">
        <v>240</v>
      </c>
      <c r="F8" s="27"/>
      <c r="G8" s="28" t="s">
        <v>240</v>
      </c>
      <c r="H8" s="29" t="s">
        <v>240</v>
      </c>
    </row>
    <row r="9" spans="1:9" x14ac:dyDescent="0.2">
      <c r="A9" s="30" t="s">
        <v>9</v>
      </c>
      <c r="B9" s="31" t="s">
        <v>3</v>
      </c>
      <c r="C9" s="20">
        <v>8180.3375999999998</v>
      </c>
      <c r="D9" s="20">
        <v>8035.3684571428566</v>
      </c>
      <c r="E9" s="21">
        <v>8594.9056</v>
      </c>
      <c r="F9" s="22" t="s">
        <v>240</v>
      </c>
      <c r="G9" s="32">
        <v>5.0678593020415263</v>
      </c>
      <c r="H9" s="33">
        <v>6.9634285700956866</v>
      </c>
    </row>
    <row r="10" spans="1:9" x14ac:dyDescent="0.2">
      <c r="A10" s="34"/>
      <c r="B10" s="25" t="s">
        <v>240</v>
      </c>
      <c r="C10" s="26" t="s">
        <v>240</v>
      </c>
      <c r="D10" s="26" t="s">
        <v>240</v>
      </c>
      <c r="E10" s="26" t="s">
        <v>240</v>
      </c>
      <c r="F10" s="27"/>
      <c r="G10" s="35" t="s">
        <v>240</v>
      </c>
      <c r="H10" s="29" t="s">
        <v>240</v>
      </c>
    </row>
    <row r="11" spans="1:9" x14ac:dyDescent="0.2">
      <c r="A11" s="30" t="s">
        <v>46</v>
      </c>
      <c r="B11" s="31" t="s">
        <v>3</v>
      </c>
      <c r="C11" s="20">
        <v>618.32342857142862</v>
      </c>
      <c r="D11" s="20">
        <v>594.32832653061223</v>
      </c>
      <c r="E11" s="21">
        <v>660.25485714285719</v>
      </c>
      <c r="F11" s="22" t="s">
        <v>240</v>
      </c>
      <c r="G11" s="37">
        <v>6.7814717401711135</v>
      </c>
      <c r="H11" s="33">
        <v>11.092611216613335</v>
      </c>
    </row>
    <row r="12" spans="1:9" ht="13.5" thickBot="1" x14ac:dyDescent="0.25">
      <c r="A12" s="56"/>
      <c r="B12" s="42" t="s">
        <v>240</v>
      </c>
      <c r="C12" s="43" t="s">
        <v>240</v>
      </c>
      <c r="D12" s="43" t="s">
        <v>240</v>
      </c>
      <c r="E12" s="43" t="s">
        <v>240</v>
      </c>
      <c r="F12" s="44"/>
      <c r="G12" s="57" t="s">
        <v>240</v>
      </c>
      <c r="H12" s="46" t="s">
        <v>240</v>
      </c>
    </row>
    <row r="13" spans="1:9" x14ac:dyDescent="0.2">
      <c r="A13" s="58"/>
      <c r="B13" s="58"/>
      <c r="C13" s="21"/>
      <c r="D13" s="21"/>
      <c r="E13" s="21"/>
      <c r="F13" s="59"/>
      <c r="G13" s="38"/>
      <c r="H13" s="60"/>
      <c r="I13" s="61"/>
    </row>
    <row r="14" spans="1:9" x14ac:dyDescent="0.2">
      <c r="A14" s="58"/>
      <c r="B14" s="62"/>
      <c r="C14" s="21"/>
      <c r="D14" s="21"/>
      <c r="E14" s="21"/>
      <c r="F14" s="63"/>
      <c r="G14" s="38"/>
      <c r="H14" s="60"/>
      <c r="I14" s="61"/>
    </row>
    <row r="15" spans="1:9" x14ac:dyDescent="0.2">
      <c r="A15" s="58"/>
      <c r="B15" s="58"/>
      <c r="C15" s="21"/>
      <c r="D15" s="21"/>
      <c r="E15" s="21"/>
      <c r="F15" s="59"/>
      <c r="G15" s="38"/>
      <c r="H15" s="60"/>
      <c r="I15" s="61"/>
    </row>
    <row r="16" spans="1:9" x14ac:dyDescent="0.2">
      <c r="A16" s="58"/>
      <c r="B16" s="62"/>
      <c r="C16" s="21"/>
      <c r="D16" s="21"/>
      <c r="E16" s="21"/>
      <c r="F16" s="63"/>
      <c r="G16" s="38"/>
      <c r="H16" s="60"/>
      <c r="I16" s="61"/>
    </row>
    <row r="17" spans="1:9" x14ac:dyDescent="0.2">
      <c r="A17" s="58"/>
      <c r="B17" s="58"/>
      <c r="C17" s="21"/>
      <c r="D17" s="21"/>
      <c r="E17" s="21"/>
      <c r="F17" s="59"/>
      <c r="G17" s="38"/>
      <c r="H17" s="60"/>
      <c r="I17" s="61"/>
    </row>
    <row r="18" spans="1:9" x14ac:dyDescent="0.2">
      <c r="A18" s="58"/>
      <c r="B18" s="62"/>
      <c r="C18" s="21"/>
      <c r="D18" s="21"/>
      <c r="E18" s="21"/>
      <c r="F18" s="63"/>
      <c r="G18" s="38"/>
      <c r="H18" s="60"/>
      <c r="I18" s="61"/>
    </row>
    <row r="19" spans="1:9" x14ac:dyDescent="0.2">
      <c r="A19" s="58"/>
      <c r="B19" s="58"/>
      <c r="C19" s="21"/>
      <c r="D19" s="21"/>
      <c r="E19" s="21"/>
      <c r="F19" s="59"/>
      <c r="G19" s="38"/>
      <c r="H19" s="60"/>
      <c r="I19" s="61"/>
    </row>
    <row r="20" spans="1:9" x14ac:dyDescent="0.2">
      <c r="A20" s="58"/>
      <c r="B20" s="62"/>
      <c r="C20" s="21"/>
      <c r="D20" s="21"/>
      <c r="E20" s="21"/>
      <c r="F20" s="63"/>
      <c r="G20" s="38"/>
      <c r="H20" s="60"/>
      <c r="I20" s="61"/>
    </row>
    <row r="21" spans="1:9" x14ac:dyDescent="0.2">
      <c r="A21" s="58"/>
      <c r="B21" s="58"/>
      <c r="C21" s="21"/>
      <c r="D21" s="21"/>
      <c r="E21" s="21"/>
      <c r="F21" s="59"/>
      <c r="G21" s="38"/>
      <c r="H21" s="60"/>
      <c r="I21" s="61"/>
    </row>
    <row r="22" spans="1:9" x14ac:dyDescent="0.2">
      <c r="A22" s="58"/>
      <c r="B22" s="62"/>
      <c r="C22" s="21"/>
      <c r="D22" s="21"/>
      <c r="E22" s="21"/>
      <c r="F22" s="63"/>
      <c r="G22" s="38"/>
      <c r="H22" s="60"/>
      <c r="I22" s="61"/>
    </row>
    <row r="23" spans="1:9" x14ac:dyDescent="0.2">
      <c r="A23" s="58"/>
      <c r="B23" s="58"/>
      <c r="C23" s="21"/>
      <c r="D23" s="21"/>
      <c r="E23" s="21"/>
      <c r="F23" s="59"/>
      <c r="G23" s="38"/>
      <c r="H23" s="60"/>
      <c r="I23" s="61"/>
    </row>
    <row r="24" spans="1:9" x14ac:dyDescent="0.2">
      <c r="A24" s="58"/>
      <c r="B24" s="62"/>
      <c r="C24" s="21"/>
      <c r="D24" s="21"/>
      <c r="E24" s="21"/>
      <c r="F24" s="63"/>
      <c r="G24" s="38"/>
      <c r="H24" s="60"/>
      <c r="I24" s="61"/>
    </row>
    <row r="25" spans="1:9" x14ac:dyDescent="0.2">
      <c r="A25" s="58"/>
      <c r="B25" s="58"/>
      <c r="C25" s="21"/>
      <c r="D25" s="21"/>
      <c r="E25" s="21"/>
      <c r="F25" s="59"/>
      <c r="G25" s="38"/>
      <c r="H25" s="60"/>
      <c r="I25" s="61"/>
    </row>
    <row r="26" spans="1:9" x14ac:dyDescent="0.2">
      <c r="A26" s="58"/>
      <c r="B26" s="62"/>
      <c r="C26" s="21"/>
      <c r="D26" s="21"/>
      <c r="E26" s="21"/>
      <c r="F26" s="63"/>
      <c r="G26" s="38"/>
      <c r="H26" s="60"/>
      <c r="I26" s="61"/>
    </row>
    <row r="27" spans="1:9" x14ac:dyDescent="0.2">
      <c r="A27" s="58"/>
      <c r="B27" s="58"/>
      <c r="C27" s="21"/>
      <c r="D27" s="21"/>
      <c r="E27" s="21"/>
      <c r="F27" s="59"/>
      <c r="G27" s="38"/>
      <c r="H27" s="60"/>
      <c r="I27" s="61"/>
    </row>
    <row r="28" spans="1:9" x14ac:dyDescent="0.2">
      <c r="A28" s="58"/>
      <c r="B28" s="62"/>
      <c r="C28" s="21"/>
      <c r="D28" s="21"/>
      <c r="E28" s="21"/>
      <c r="F28" s="63"/>
      <c r="G28" s="38"/>
      <c r="H28" s="60"/>
      <c r="I28" s="61"/>
    </row>
    <row r="29" spans="1:9" x14ac:dyDescent="0.2">
      <c r="A29" s="58"/>
      <c r="B29" s="58"/>
      <c r="C29" s="64"/>
      <c r="D29" s="64"/>
      <c r="E29" s="21"/>
      <c r="F29" s="59"/>
      <c r="G29" s="38"/>
      <c r="H29" s="60"/>
      <c r="I29" s="61"/>
    </row>
    <row r="30" spans="1:9" x14ac:dyDescent="0.2">
      <c r="A30" s="65"/>
      <c r="B30" s="62"/>
      <c r="C30" s="21"/>
      <c r="D30" s="21"/>
      <c r="E30" s="21"/>
      <c r="F30" s="63"/>
      <c r="G30" s="38"/>
      <c r="H30" s="60"/>
      <c r="I30" s="61"/>
    </row>
    <row r="31" spans="1:9" x14ac:dyDescent="0.2">
      <c r="A31" s="47"/>
      <c r="B31" s="48"/>
      <c r="C31" s="49"/>
      <c r="D31" s="55"/>
      <c r="E31" s="49"/>
      <c r="F31" s="49"/>
      <c r="G31" s="50"/>
      <c r="H31" s="51"/>
      <c r="I31" s="61"/>
    </row>
    <row r="32" spans="1:9" ht="16.5" thickBot="1" x14ac:dyDescent="0.3">
      <c r="A32" s="4" t="s">
        <v>59</v>
      </c>
      <c r="B32" s="5"/>
      <c r="C32" s="5"/>
      <c r="D32" s="5"/>
      <c r="E32" s="5"/>
      <c r="F32" s="5"/>
      <c r="G32" s="5"/>
      <c r="H32" s="6"/>
    </row>
    <row r="33" spans="1:9" x14ac:dyDescent="0.2">
      <c r="A33" s="7"/>
      <c r="B33" s="8"/>
      <c r="C33" s="178" t="s">
        <v>16</v>
      </c>
      <c r="D33" s="172"/>
      <c r="E33" s="172"/>
      <c r="F33" s="179"/>
      <c r="G33" s="172" t="s">
        <v>1</v>
      </c>
      <c r="H33" s="173"/>
    </row>
    <row r="34" spans="1:9" x14ac:dyDescent="0.2">
      <c r="A34" s="12"/>
      <c r="B34" s="13"/>
      <c r="C34" s="14" t="s">
        <v>235</v>
      </c>
      <c r="D34" s="15" t="s">
        <v>236</v>
      </c>
      <c r="E34" s="15" t="s">
        <v>237</v>
      </c>
      <c r="F34" s="16"/>
      <c r="G34" s="17" t="s">
        <v>238</v>
      </c>
      <c r="H34" s="18" t="s">
        <v>239</v>
      </c>
    </row>
    <row r="35" spans="1:9" ht="12.75" customHeight="1" x14ac:dyDescent="0.2">
      <c r="A35" s="174" t="s">
        <v>58</v>
      </c>
      <c r="B35" s="19" t="s">
        <v>3</v>
      </c>
      <c r="C35" s="80">
        <v>1811.9238978132253</v>
      </c>
      <c r="D35" s="80">
        <v>1885.3077142325615</v>
      </c>
      <c r="E35" s="81">
        <v>2098.3300920885899</v>
      </c>
      <c r="F35" s="22" t="s">
        <v>240</v>
      </c>
      <c r="G35" s="23">
        <v>15.806745229257288</v>
      </c>
      <c r="H35" s="24">
        <v>11.299077399826047</v>
      </c>
    </row>
    <row r="36" spans="1:9" ht="12.75" customHeight="1" x14ac:dyDescent="0.2">
      <c r="A36" s="175"/>
      <c r="B36" s="25" t="s">
        <v>240</v>
      </c>
      <c r="C36" s="82" t="s">
        <v>240</v>
      </c>
      <c r="D36" s="82" t="s">
        <v>240</v>
      </c>
      <c r="E36" s="82" t="s">
        <v>240</v>
      </c>
      <c r="F36" s="27"/>
      <c r="G36" s="28" t="s">
        <v>240</v>
      </c>
      <c r="H36" s="29" t="s">
        <v>240</v>
      </c>
    </row>
    <row r="37" spans="1:9" x14ac:dyDescent="0.2">
      <c r="A37" s="30" t="s">
        <v>9</v>
      </c>
      <c r="B37" s="31" t="s">
        <v>3</v>
      </c>
      <c r="C37" s="80">
        <v>1308.5133755640506</v>
      </c>
      <c r="D37" s="80">
        <v>1331.4704569125572</v>
      </c>
      <c r="E37" s="83">
        <v>1465.5973201003865</v>
      </c>
      <c r="F37" s="22" t="s">
        <v>240</v>
      </c>
      <c r="G37" s="32">
        <v>12.004764144548602</v>
      </c>
      <c r="H37" s="33">
        <v>10.073589127831312</v>
      </c>
    </row>
    <row r="38" spans="1:9" x14ac:dyDescent="0.2">
      <c r="A38" s="34"/>
      <c r="B38" s="25" t="s">
        <v>240</v>
      </c>
      <c r="C38" s="82" t="s">
        <v>240</v>
      </c>
      <c r="D38" s="82" t="s">
        <v>240</v>
      </c>
      <c r="E38" s="82" t="s">
        <v>240</v>
      </c>
      <c r="F38" s="27"/>
      <c r="G38" s="35" t="s">
        <v>240</v>
      </c>
      <c r="H38" s="29" t="s">
        <v>240</v>
      </c>
    </row>
    <row r="39" spans="1:9" x14ac:dyDescent="0.2">
      <c r="A39" s="30" t="s">
        <v>46</v>
      </c>
      <c r="B39" s="31" t="s">
        <v>3</v>
      </c>
      <c r="C39" s="80">
        <v>503.41052224917502</v>
      </c>
      <c r="D39" s="80">
        <v>553.83725732000448</v>
      </c>
      <c r="E39" s="83">
        <v>632.73277198820335</v>
      </c>
      <c r="F39" s="22" t="s">
        <v>240</v>
      </c>
      <c r="G39" s="37">
        <v>25.689222617205701</v>
      </c>
      <c r="H39" s="33">
        <v>14.245252305699154</v>
      </c>
    </row>
    <row r="40" spans="1:9" ht="13.5" thickBot="1" x14ac:dyDescent="0.25">
      <c r="A40" s="56"/>
      <c r="B40" s="42" t="s">
        <v>240</v>
      </c>
      <c r="C40" s="86" t="s">
        <v>240</v>
      </c>
      <c r="D40" s="86" t="s">
        <v>240</v>
      </c>
      <c r="E40" s="86" t="s">
        <v>240</v>
      </c>
      <c r="F40" s="44"/>
      <c r="G40" s="57" t="s">
        <v>240</v>
      </c>
      <c r="H40" s="46" t="s">
        <v>240</v>
      </c>
    </row>
    <row r="41" spans="1:9" x14ac:dyDescent="0.2">
      <c r="A41" s="58"/>
      <c r="B41" s="58"/>
      <c r="C41" s="21"/>
      <c r="D41" s="21"/>
      <c r="E41" s="21"/>
      <c r="F41" s="59"/>
      <c r="G41" s="38"/>
      <c r="H41" s="60"/>
      <c r="I41" s="61"/>
    </row>
    <row r="42" spans="1:9" x14ac:dyDescent="0.2">
      <c r="A42" s="58"/>
      <c r="B42" s="62"/>
      <c r="C42" s="21"/>
      <c r="D42" s="21"/>
      <c r="E42" s="21"/>
      <c r="F42" s="63"/>
      <c r="G42" s="38"/>
      <c r="H42" s="60"/>
      <c r="I42" s="61"/>
    </row>
    <row r="43" spans="1:9" x14ac:dyDescent="0.2">
      <c r="A43" s="58"/>
      <c r="B43" s="58"/>
      <c r="C43" s="21"/>
      <c r="D43" s="21"/>
      <c r="E43" s="21"/>
      <c r="F43" s="59"/>
      <c r="G43" s="38"/>
      <c r="H43" s="60"/>
      <c r="I43" s="61"/>
    </row>
    <row r="44" spans="1:9" x14ac:dyDescent="0.2">
      <c r="A44" s="58"/>
      <c r="B44" s="62"/>
      <c r="C44" s="21"/>
      <c r="D44" s="21"/>
      <c r="E44" s="21"/>
      <c r="F44" s="63"/>
      <c r="G44" s="38"/>
      <c r="H44" s="60"/>
      <c r="I44" s="61"/>
    </row>
    <row r="45" spans="1:9" x14ac:dyDescent="0.2">
      <c r="A45" s="58"/>
      <c r="B45" s="58"/>
      <c r="C45" s="21"/>
      <c r="D45" s="21"/>
      <c r="E45" s="21"/>
      <c r="F45" s="59"/>
      <c r="G45" s="38"/>
      <c r="H45" s="60"/>
      <c r="I45" s="61"/>
    </row>
    <row r="46" spans="1:9" x14ac:dyDescent="0.2">
      <c r="A46" s="58"/>
      <c r="B46" s="62"/>
      <c r="C46" s="21"/>
      <c r="D46" s="21"/>
      <c r="E46" s="21"/>
      <c r="F46" s="63"/>
      <c r="G46" s="38"/>
      <c r="H46" s="60"/>
      <c r="I46" s="61"/>
    </row>
    <row r="47" spans="1:9" x14ac:dyDescent="0.2">
      <c r="A47" s="58"/>
      <c r="B47" s="58"/>
      <c r="C47" s="21"/>
      <c r="D47" s="21"/>
      <c r="E47" s="21"/>
      <c r="F47" s="59"/>
      <c r="G47" s="38"/>
      <c r="H47" s="60"/>
      <c r="I47" s="61"/>
    </row>
    <row r="48" spans="1:9" x14ac:dyDescent="0.2">
      <c r="A48" s="58"/>
      <c r="B48" s="62"/>
      <c r="C48" s="21"/>
      <c r="D48" s="21"/>
      <c r="E48" s="21"/>
      <c r="F48" s="63"/>
      <c r="G48" s="38"/>
      <c r="H48" s="60"/>
      <c r="I48" s="61"/>
    </row>
    <row r="49" spans="1:9" x14ac:dyDescent="0.2">
      <c r="A49" s="58"/>
      <c r="B49" s="58"/>
      <c r="C49" s="21"/>
      <c r="D49" s="21"/>
      <c r="E49" s="96"/>
      <c r="F49" s="59"/>
      <c r="G49" s="38"/>
      <c r="H49" s="60"/>
      <c r="I49" s="61"/>
    </row>
    <row r="50" spans="1:9" x14ac:dyDescent="0.2">
      <c r="A50" s="58"/>
      <c r="B50" s="62"/>
      <c r="C50" s="21"/>
      <c r="D50" s="21"/>
      <c r="E50" s="21"/>
      <c r="F50" s="63"/>
      <c r="G50" s="38"/>
      <c r="H50" s="60"/>
      <c r="I50" s="61"/>
    </row>
    <row r="51" spans="1:9" x14ac:dyDescent="0.2">
      <c r="A51" s="58"/>
      <c r="B51" s="58"/>
      <c r="C51" s="21"/>
      <c r="D51" s="21"/>
      <c r="E51" s="21"/>
      <c r="F51" s="59"/>
      <c r="G51" s="38"/>
      <c r="H51" s="60"/>
      <c r="I51" s="61"/>
    </row>
    <row r="52" spans="1:9" x14ac:dyDescent="0.2">
      <c r="A52" s="58"/>
      <c r="B52" s="62"/>
      <c r="C52" s="21"/>
      <c r="D52" s="21"/>
      <c r="E52" s="21"/>
      <c r="F52" s="63"/>
      <c r="G52" s="38"/>
      <c r="H52" s="60"/>
      <c r="I52" s="61"/>
    </row>
    <row r="53" spans="1:9" x14ac:dyDescent="0.2">
      <c r="A53" s="58"/>
      <c r="B53" s="58"/>
      <c r="C53" s="21"/>
      <c r="D53" s="21"/>
      <c r="E53" s="21"/>
      <c r="F53" s="59"/>
      <c r="G53" s="38"/>
      <c r="H53" s="60"/>
      <c r="I53" s="61"/>
    </row>
    <row r="54" spans="1:9" x14ac:dyDescent="0.2">
      <c r="A54" s="58"/>
      <c r="B54" s="62"/>
      <c r="C54" s="21"/>
      <c r="D54" s="21"/>
      <c r="E54" s="21"/>
      <c r="F54" s="63"/>
      <c r="G54" s="38"/>
      <c r="H54" s="60"/>
      <c r="I54" s="61"/>
    </row>
    <row r="55" spans="1:9" x14ac:dyDescent="0.2">
      <c r="A55" s="58"/>
      <c r="B55" s="58"/>
      <c r="C55" s="21"/>
      <c r="D55" s="21"/>
      <c r="E55" s="21"/>
      <c r="F55" s="59"/>
      <c r="G55" s="38"/>
      <c r="H55" s="60"/>
      <c r="I55" s="61"/>
    </row>
    <row r="56" spans="1:9" x14ac:dyDescent="0.2">
      <c r="A56" s="58"/>
      <c r="B56" s="62"/>
      <c r="C56" s="21"/>
      <c r="D56" s="21"/>
      <c r="E56" s="21"/>
      <c r="F56" s="63"/>
      <c r="G56" s="38"/>
      <c r="H56" s="60"/>
      <c r="I56" s="61"/>
    </row>
    <row r="57" spans="1:9" x14ac:dyDescent="0.2">
      <c r="A57" s="58"/>
      <c r="B57" s="58"/>
      <c r="C57" s="64"/>
      <c r="D57" s="64"/>
      <c r="E57" s="21"/>
      <c r="F57" s="59"/>
      <c r="G57" s="38"/>
      <c r="H57" s="60"/>
      <c r="I57" s="61"/>
    </row>
    <row r="58" spans="1:9" x14ac:dyDescent="0.2">
      <c r="A58" s="65"/>
      <c r="B58" s="62"/>
      <c r="C58" s="21"/>
      <c r="D58" s="21"/>
      <c r="E58" s="21"/>
      <c r="F58" s="63"/>
      <c r="G58" s="38"/>
      <c r="H58" s="60"/>
      <c r="I58" s="61"/>
    </row>
    <row r="59" spans="1:9" x14ac:dyDescent="0.2">
      <c r="A59" s="47"/>
      <c r="B59" s="48"/>
      <c r="C59" s="49"/>
      <c r="D59" s="49"/>
      <c r="E59" s="49"/>
      <c r="F59" s="49"/>
      <c r="G59" s="50"/>
      <c r="H59" s="51"/>
    </row>
    <row r="60" spans="1:9" x14ac:dyDescent="0.2">
      <c r="A60" s="52"/>
      <c r="B60" s="52"/>
      <c r="C60" s="52"/>
      <c r="D60" s="52"/>
      <c r="E60" s="52"/>
      <c r="F60" s="52"/>
      <c r="G60" s="52"/>
      <c r="H60" s="52"/>
    </row>
    <row r="61" spans="1:9" ht="12.75" customHeight="1" x14ac:dyDescent="0.2">
      <c r="A61" s="54" t="s">
        <v>241</v>
      </c>
      <c r="H61" s="169">
        <v>18</v>
      </c>
    </row>
    <row r="62" spans="1:9" ht="12.75" customHeight="1" x14ac:dyDescent="0.2">
      <c r="A62" s="54" t="s">
        <v>242</v>
      </c>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43" display="Tilbake til innholdsfortegnelsen" xr:uid="{00000000-0004-0000-0D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9" ht="5.25" customHeight="1" x14ac:dyDescent="0.2"/>
    <row r="2" spans="1:9" x14ac:dyDescent="0.2">
      <c r="A2" s="92" t="s">
        <v>0</v>
      </c>
      <c r="B2" s="2"/>
      <c r="C2" s="2"/>
      <c r="D2" s="2"/>
      <c r="E2" s="2"/>
      <c r="F2" s="2"/>
      <c r="G2" s="2"/>
    </row>
    <row r="3" spans="1:9" ht="6" customHeight="1" x14ac:dyDescent="0.2">
      <c r="A3" s="3"/>
      <c r="B3" s="2"/>
      <c r="C3" s="2"/>
      <c r="D3" s="2"/>
      <c r="E3" s="2"/>
      <c r="F3" s="2"/>
      <c r="G3" s="2"/>
    </row>
    <row r="4" spans="1:9" ht="16.5" thickBot="1" x14ac:dyDescent="0.3">
      <c r="A4" s="4" t="s">
        <v>152</v>
      </c>
      <c r="B4" s="5"/>
      <c r="C4" s="5"/>
      <c r="D4" s="5"/>
      <c r="E4" s="5"/>
      <c r="F4" s="5"/>
      <c r="G4" s="5"/>
      <c r="H4" s="6"/>
    </row>
    <row r="5" spans="1:9" x14ac:dyDescent="0.2">
      <c r="A5" s="7"/>
      <c r="B5" s="8"/>
      <c r="C5" s="9"/>
      <c r="D5" s="8"/>
      <c r="E5" s="10"/>
      <c r="F5" s="11"/>
      <c r="G5" s="172" t="s">
        <v>1</v>
      </c>
      <c r="H5" s="173"/>
    </row>
    <row r="6" spans="1:9" x14ac:dyDescent="0.2">
      <c r="A6" s="12"/>
      <c r="B6" s="13"/>
      <c r="C6" s="14" t="s">
        <v>235</v>
      </c>
      <c r="D6" s="15" t="s">
        <v>236</v>
      </c>
      <c r="E6" s="15" t="s">
        <v>237</v>
      </c>
      <c r="F6" s="16"/>
      <c r="G6" s="17" t="s">
        <v>238</v>
      </c>
      <c r="H6" s="18" t="s">
        <v>239</v>
      </c>
    </row>
    <row r="7" spans="1:9" x14ac:dyDescent="0.2">
      <c r="A7" s="174" t="s">
        <v>57</v>
      </c>
      <c r="B7" s="19" t="s">
        <v>3</v>
      </c>
      <c r="C7" s="20">
        <v>5593</v>
      </c>
      <c r="D7" s="20">
        <v>6040</v>
      </c>
      <c r="E7" s="79">
        <v>9011</v>
      </c>
      <c r="F7" s="22" t="s">
        <v>240</v>
      </c>
      <c r="G7" s="23">
        <v>61.112104416234587</v>
      </c>
      <c r="H7" s="24">
        <v>49.188741721854313</v>
      </c>
    </row>
    <row r="8" spans="1:9" x14ac:dyDescent="0.2">
      <c r="A8" s="175"/>
      <c r="B8" s="25" t="s">
        <v>240</v>
      </c>
      <c r="C8" s="26" t="s">
        <v>240</v>
      </c>
      <c r="D8" s="26" t="s">
        <v>240</v>
      </c>
      <c r="E8" s="26" t="s">
        <v>240</v>
      </c>
      <c r="F8" s="27"/>
      <c r="G8" s="28" t="s">
        <v>240</v>
      </c>
      <c r="H8" s="29" t="s">
        <v>240</v>
      </c>
    </row>
    <row r="9" spans="1:9" x14ac:dyDescent="0.2">
      <c r="A9" s="30" t="s">
        <v>9</v>
      </c>
      <c r="B9" s="31" t="s">
        <v>3</v>
      </c>
      <c r="C9" s="20">
        <v>1642</v>
      </c>
      <c r="D9" s="20">
        <v>2183</v>
      </c>
      <c r="E9" s="21">
        <v>3916</v>
      </c>
      <c r="F9" s="22" t="s">
        <v>240</v>
      </c>
      <c r="G9" s="32">
        <v>138.48964677222898</v>
      </c>
      <c r="H9" s="33">
        <v>79.386165826843779</v>
      </c>
    </row>
    <row r="10" spans="1:9" x14ac:dyDescent="0.2">
      <c r="A10" s="34"/>
      <c r="B10" s="25" t="s">
        <v>240</v>
      </c>
      <c r="C10" s="26" t="s">
        <v>240</v>
      </c>
      <c r="D10" s="26" t="s">
        <v>240</v>
      </c>
      <c r="E10" s="26" t="s">
        <v>240</v>
      </c>
      <c r="F10" s="27"/>
      <c r="G10" s="35" t="s">
        <v>240</v>
      </c>
      <c r="H10" s="29" t="s">
        <v>240</v>
      </c>
    </row>
    <row r="11" spans="1:9" x14ac:dyDescent="0.2">
      <c r="A11" s="30" t="s">
        <v>46</v>
      </c>
      <c r="B11" s="31" t="s">
        <v>3</v>
      </c>
      <c r="C11" s="20">
        <v>2574</v>
      </c>
      <c r="D11" s="20">
        <v>2470</v>
      </c>
      <c r="E11" s="21">
        <v>3081</v>
      </c>
      <c r="F11" s="22" t="s">
        <v>240</v>
      </c>
      <c r="G11" s="37">
        <v>19.696969696969703</v>
      </c>
      <c r="H11" s="33">
        <v>24.736842105263165</v>
      </c>
    </row>
    <row r="12" spans="1:9" x14ac:dyDescent="0.2">
      <c r="A12" s="34"/>
      <c r="B12" s="25" t="s">
        <v>240</v>
      </c>
      <c r="C12" s="26" t="s">
        <v>240</v>
      </c>
      <c r="D12" s="26" t="s">
        <v>240</v>
      </c>
      <c r="E12" s="26" t="s">
        <v>240</v>
      </c>
      <c r="F12" s="27"/>
      <c r="G12" s="28" t="s">
        <v>240</v>
      </c>
      <c r="H12" s="29" t="s">
        <v>240</v>
      </c>
    </row>
    <row r="13" spans="1:9" x14ac:dyDescent="0.2">
      <c r="A13" s="30" t="s">
        <v>24</v>
      </c>
      <c r="B13" s="31" t="s">
        <v>3</v>
      </c>
      <c r="C13" s="20">
        <v>1383</v>
      </c>
      <c r="D13" s="20">
        <v>1393</v>
      </c>
      <c r="E13" s="21">
        <v>2354</v>
      </c>
      <c r="F13" s="22" t="s">
        <v>240</v>
      </c>
      <c r="G13" s="23">
        <v>70.209689081706443</v>
      </c>
      <c r="H13" s="24">
        <v>68.98779612347451</v>
      </c>
    </row>
    <row r="14" spans="1:9" ht="13.5" thickBot="1" x14ac:dyDescent="0.25">
      <c r="A14" s="56"/>
      <c r="B14" s="42" t="s">
        <v>240</v>
      </c>
      <c r="C14" s="43" t="s">
        <v>240</v>
      </c>
      <c r="D14" s="43" t="s">
        <v>240</v>
      </c>
      <c r="E14" s="43" t="s">
        <v>240</v>
      </c>
      <c r="F14" s="44"/>
      <c r="G14" s="57" t="s">
        <v>240</v>
      </c>
      <c r="H14" s="46" t="s">
        <v>240</v>
      </c>
    </row>
    <row r="15" spans="1:9" x14ac:dyDescent="0.2">
      <c r="A15" s="58"/>
      <c r="B15" s="62"/>
      <c r="C15" s="21"/>
      <c r="D15" s="21"/>
      <c r="E15" s="21"/>
      <c r="F15" s="63"/>
      <c r="G15" s="38"/>
      <c r="H15" s="60"/>
      <c r="I15" s="61"/>
    </row>
    <row r="16" spans="1:9" x14ac:dyDescent="0.2">
      <c r="A16" s="58"/>
      <c r="B16" s="62"/>
      <c r="C16" s="21"/>
      <c r="D16" s="21"/>
      <c r="E16" s="21"/>
      <c r="F16" s="63"/>
      <c r="G16" s="38"/>
      <c r="H16" s="60"/>
      <c r="I16" s="61"/>
    </row>
    <row r="17" spans="1:9" x14ac:dyDescent="0.2">
      <c r="A17" s="58"/>
      <c r="B17" s="62"/>
      <c r="C17" s="21"/>
      <c r="D17" s="21"/>
      <c r="E17" s="21"/>
      <c r="F17" s="63"/>
      <c r="G17" s="38"/>
      <c r="H17" s="60"/>
      <c r="I17" s="61"/>
    </row>
    <row r="18" spans="1:9" x14ac:dyDescent="0.2">
      <c r="A18" s="58"/>
      <c r="B18" s="62"/>
      <c r="C18" s="21"/>
      <c r="D18" s="21"/>
      <c r="E18" s="21"/>
      <c r="F18" s="63"/>
      <c r="G18" s="38"/>
      <c r="H18" s="60"/>
      <c r="I18" s="61"/>
    </row>
    <row r="19" spans="1:9" x14ac:dyDescent="0.2">
      <c r="A19" s="58"/>
      <c r="B19" s="62"/>
      <c r="C19" s="21"/>
      <c r="D19" s="21"/>
      <c r="E19" s="21"/>
      <c r="F19" s="63"/>
      <c r="G19" s="38"/>
      <c r="H19" s="60"/>
      <c r="I19" s="61"/>
    </row>
    <row r="20" spans="1:9" x14ac:dyDescent="0.2">
      <c r="A20" s="58"/>
      <c r="B20" s="62"/>
      <c r="C20" s="21"/>
      <c r="D20" s="21"/>
      <c r="E20" s="21"/>
      <c r="F20" s="63"/>
      <c r="G20" s="38"/>
      <c r="H20" s="60"/>
      <c r="I20" s="61"/>
    </row>
    <row r="21" spans="1:9" x14ac:dyDescent="0.2">
      <c r="A21" s="58"/>
      <c r="B21" s="58"/>
      <c r="C21" s="21"/>
      <c r="D21" s="21"/>
      <c r="E21" s="21"/>
      <c r="F21" s="59"/>
      <c r="G21" s="38"/>
      <c r="H21" s="60"/>
      <c r="I21" s="61"/>
    </row>
    <row r="22" spans="1:9" x14ac:dyDescent="0.2">
      <c r="A22" s="58"/>
      <c r="B22" s="62"/>
      <c r="C22" s="21"/>
      <c r="D22" s="21"/>
      <c r="E22" s="21"/>
      <c r="F22" s="63"/>
      <c r="G22" s="38"/>
      <c r="H22" s="60"/>
      <c r="I22" s="61"/>
    </row>
    <row r="23" spans="1:9" x14ac:dyDescent="0.2">
      <c r="A23" s="58"/>
      <c r="B23" s="58"/>
      <c r="C23" s="21"/>
      <c r="D23" s="21"/>
      <c r="E23" s="21"/>
      <c r="F23" s="59"/>
      <c r="G23" s="38"/>
      <c r="H23" s="60"/>
      <c r="I23" s="61"/>
    </row>
    <row r="24" spans="1:9" x14ac:dyDescent="0.2">
      <c r="A24" s="58"/>
      <c r="B24" s="62"/>
      <c r="C24" s="21"/>
      <c r="D24" s="21"/>
      <c r="E24" s="21"/>
      <c r="F24" s="63"/>
      <c r="G24" s="38"/>
      <c r="H24" s="60"/>
      <c r="I24" s="61"/>
    </row>
    <row r="25" spans="1:9" x14ac:dyDescent="0.2">
      <c r="A25" s="58"/>
      <c r="B25" s="58"/>
      <c r="C25" s="21"/>
      <c r="D25" s="21"/>
      <c r="E25" s="21"/>
      <c r="F25" s="59"/>
      <c r="G25" s="38"/>
      <c r="H25" s="60"/>
      <c r="I25" s="61"/>
    </row>
    <row r="26" spans="1:9" x14ac:dyDescent="0.2">
      <c r="A26" s="58"/>
      <c r="B26" s="62"/>
      <c r="C26" s="21"/>
      <c r="D26" s="21"/>
      <c r="E26" s="21"/>
      <c r="F26" s="63"/>
      <c r="G26" s="38"/>
      <c r="H26" s="60"/>
      <c r="I26" s="61"/>
    </row>
    <row r="27" spans="1:9" x14ac:dyDescent="0.2">
      <c r="A27" s="58"/>
      <c r="B27" s="58"/>
      <c r="C27" s="21"/>
      <c r="D27" s="21"/>
      <c r="E27" s="21"/>
      <c r="F27" s="59"/>
      <c r="G27" s="38"/>
      <c r="H27" s="60"/>
      <c r="I27" s="61"/>
    </row>
    <row r="28" spans="1:9" x14ac:dyDescent="0.2">
      <c r="A28" s="58"/>
      <c r="B28" s="62"/>
      <c r="C28" s="21"/>
      <c r="D28" s="21"/>
      <c r="E28" s="21"/>
      <c r="F28" s="63"/>
      <c r="G28" s="38"/>
      <c r="H28" s="60"/>
      <c r="I28" s="61"/>
    </row>
    <row r="29" spans="1:9" x14ac:dyDescent="0.2">
      <c r="A29" s="58"/>
      <c r="B29" s="58"/>
      <c r="C29" s="64"/>
      <c r="D29" s="64"/>
      <c r="E29" s="21"/>
      <c r="F29" s="59"/>
      <c r="G29" s="38"/>
      <c r="H29" s="60"/>
      <c r="I29" s="61"/>
    </row>
    <row r="30" spans="1:9" x14ac:dyDescent="0.2">
      <c r="A30" s="65"/>
      <c r="B30" s="62"/>
      <c r="C30" s="21"/>
      <c r="D30" s="21"/>
      <c r="E30" s="21"/>
      <c r="F30" s="63"/>
      <c r="G30" s="38"/>
      <c r="H30" s="60"/>
      <c r="I30" s="61"/>
    </row>
    <row r="31" spans="1:9" x14ac:dyDescent="0.2">
      <c r="A31" s="47"/>
      <c r="B31" s="48"/>
      <c r="C31" s="49"/>
      <c r="D31" s="55"/>
      <c r="E31" s="49"/>
      <c r="F31" s="49"/>
      <c r="G31" s="50"/>
      <c r="H31" s="51"/>
      <c r="I31" s="61"/>
    </row>
    <row r="32" spans="1:9" ht="16.5" thickBot="1" x14ac:dyDescent="0.3">
      <c r="A32" s="66" t="s">
        <v>73</v>
      </c>
      <c r="B32" s="5"/>
      <c r="C32" s="5"/>
      <c r="D32" s="5"/>
      <c r="E32" s="5"/>
      <c r="F32" s="5"/>
      <c r="G32" s="5"/>
      <c r="H32" s="6"/>
    </row>
    <row r="33" spans="1:9" x14ac:dyDescent="0.2">
      <c r="A33" s="7"/>
      <c r="B33" s="8"/>
      <c r="C33" s="178" t="s">
        <v>16</v>
      </c>
      <c r="D33" s="172"/>
      <c r="E33" s="172"/>
      <c r="F33" s="179"/>
      <c r="G33" s="172" t="s">
        <v>1</v>
      </c>
      <c r="H33" s="173"/>
    </row>
    <row r="34" spans="1:9" x14ac:dyDescent="0.2">
      <c r="A34" s="12"/>
      <c r="B34" s="13"/>
      <c r="C34" s="14" t="s">
        <v>235</v>
      </c>
      <c r="D34" s="15" t="s">
        <v>236</v>
      </c>
      <c r="E34" s="15" t="s">
        <v>237</v>
      </c>
      <c r="F34" s="16"/>
      <c r="G34" s="17" t="s">
        <v>238</v>
      </c>
      <c r="H34" s="18" t="s">
        <v>239</v>
      </c>
    </row>
    <row r="35" spans="1:9" ht="12.75" customHeight="1" x14ac:dyDescent="0.2">
      <c r="A35" s="174" t="s">
        <v>57</v>
      </c>
      <c r="B35" s="19" t="s">
        <v>3</v>
      </c>
      <c r="C35" s="80">
        <v>2387.3848808729376</v>
      </c>
      <c r="D35" s="80">
        <v>2938.8642235170141</v>
      </c>
      <c r="E35" s="81">
        <v>2795.1937506614245</v>
      </c>
      <c r="F35" s="22" t="s">
        <v>240</v>
      </c>
      <c r="G35" s="23">
        <v>17.081823423434471</v>
      </c>
      <c r="H35" s="24">
        <v>-4.8886393493761204</v>
      </c>
    </row>
    <row r="36" spans="1:9" ht="12.75" customHeight="1" x14ac:dyDescent="0.2">
      <c r="A36" s="175"/>
      <c r="B36" s="25" t="s">
        <v>240</v>
      </c>
      <c r="C36" s="82" t="s">
        <v>240</v>
      </c>
      <c r="D36" s="82" t="s">
        <v>240</v>
      </c>
      <c r="E36" s="82" t="s">
        <v>240</v>
      </c>
      <c r="F36" s="27"/>
      <c r="G36" s="28" t="s">
        <v>240</v>
      </c>
      <c r="H36" s="29" t="s">
        <v>240</v>
      </c>
    </row>
    <row r="37" spans="1:9" x14ac:dyDescent="0.2">
      <c r="A37" s="30" t="s">
        <v>9</v>
      </c>
      <c r="B37" s="31" t="s">
        <v>3</v>
      </c>
      <c r="C37" s="80">
        <v>384.77035960993021</v>
      </c>
      <c r="D37" s="80">
        <v>453.33153965005278</v>
      </c>
      <c r="E37" s="83">
        <v>444.69160099002886</v>
      </c>
      <c r="F37" s="22" t="s">
        <v>240</v>
      </c>
      <c r="G37" s="32">
        <v>15.573247752463359</v>
      </c>
      <c r="H37" s="33">
        <v>-1.9058763629579971</v>
      </c>
    </row>
    <row r="38" spans="1:9" x14ac:dyDescent="0.2">
      <c r="A38" s="34"/>
      <c r="B38" s="25" t="s">
        <v>240</v>
      </c>
      <c r="C38" s="82" t="s">
        <v>240</v>
      </c>
      <c r="D38" s="82" t="s">
        <v>240</v>
      </c>
      <c r="E38" s="82" t="s">
        <v>240</v>
      </c>
      <c r="F38" s="27"/>
      <c r="G38" s="35" t="s">
        <v>240</v>
      </c>
      <c r="H38" s="29" t="s">
        <v>240</v>
      </c>
    </row>
    <row r="39" spans="1:9" x14ac:dyDescent="0.2">
      <c r="A39" s="30" t="s">
        <v>46</v>
      </c>
      <c r="B39" s="31" t="s">
        <v>3</v>
      </c>
      <c r="C39" s="80">
        <v>1414.7660732440927</v>
      </c>
      <c r="D39" s="80">
        <v>1757.6769024086775</v>
      </c>
      <c r="E39" s="83">
        <v>1653.7468341342239</v>
      </c>
      <c r="F39" s="22" t="s">
        <v>240</v>
      </c>
      <c r="G39" s="37">
        <v>16.891892264715011</v>
      </c>
      <c r="H39" s="33">
        <v>-5.9129222288823513</v>
      </c>
    </row>
    <row r="40" spans="1:9" x14ac:dyDescent="0.2">
      <c r="A40" s="34"/>
      <c r="B40" s="25" t="s">
        <v>240</v>
      </c>
      <c r="C40" s="82" t="s">
        <v>240</v>
      </c>
      <c r="D40" s="82" t="s">
        <v>240</v>
      </c>
      <c r="E40" s="82" t="s">
        <v>240</v>
      </c>
      <c r="F40" s="27"/>
      <c r="G40" s="28" t="s">
        <v>240</v>
      </c>
      <c r="H40" s="29" t="s">
        <v>240</v>
      </c>
    </row>
    <row r="41" spans="1:9" x14ac:dyDescent="0.2">
      <c r="A41" s="30" t="s">
        <v>24</v>
      </c>
      <c r="B41" s="31" t="s">
        <v>3</v>
      </c>
      <c r="C41" s="80">
        <v>587.84844801891472</v>
      </c>
      <c r="D41" s="80">
        <v>727.85578145828481</v>
      </c>
      <c r="E41" s="83">
        <v>696.75531553717178</v>
      </c>
      <c r="F41" s="22" t="s">
        <v>240</v>
      </c>
      <c r="G41" s="23">
        <v>18.526351117414677</v>
      </c>
      <c r="H41" s="24">
        <v>-4.2728884915638332</v>
      </c>
    </row>
    <row r="42" spans="1:9" ht="13.5" thickBot="1" x14ac:dyDescent="0.25">
      <c r="A42" s="56"/>
      <c r="B42" s="42" t="s">
        <v>240</v>
      </c>
      <c r="C42" s="86" t="s">
        <v>240</v>
      </c>
      <c r="D42" s="86" t="s">
        <v>240</v>
      </c>
      <c r="E42" s="86" t="s">
        <v>240</v>
      </c>
      <c r="F42" s="44"/>
      <c r="G42" s="57" t="s">
        <v>240</v>
      </c>
      <c r="H42" s="46" t="s">
        <v>240</v>
      </c>
    </row>
    <row r="43" spans="1:9" x14ac:dyDescent="0.2">
      <c r="A43" s="58"/>
      <c r="B43" s="62"/>
      <c r="C43" s="21"/>
      <c r="D43" s="21"/>
      <c r="E43" s="21"/>
      <c r="F43" s="63"/>
      <c r="G43" s="38"/>
      <c r="H43" s="60"/>
    </row>
    <row r="44" spans="1:9" x14ac:dyDescent="0.2">
      <c r="A44" s="58"/>
      <c r="B44" s="62"/>
      <c r="C44" s="21"/>
      <c r="D44" s="21"/>
      <c r="E44" s="21"/>
      <c r="F44" s="63"/>
      <c r="G44" s="38"/>
      <c r="H44" s="60"/>
    </row>
    <row r="45" spans="1:9" x14ac:dyDescent="0.2">
      <c r="A45" s="58"/>
      <c r="B45" s="62"/>
      <c r="C45" s="21"/>
      <c r="D45" s="21"/>
      <c r="E45" s="21"/>
      <c r="F45" s="63"/>
      <c r="G45" s="38"/>
      <c r="H45" s="60"/>
    </row>
    <row r="46" spans="1:9" x14ac:dyDescent="0.2">
      <c r="A46" s="58"/>
      <c r="B46" s="62"/>
      <c r="C46" s="21"/>
      <c r="D46" s="21"/>
      <c r="E46" s="21"/>
      <c r="F46" s="63"/>
      <c r="G46" s="38"/>
      <c r="H46" s="60"/>
    </row>
    <row r="47" spans="1:9" x14ac:dyDescent="0.2">
      <c r="A47" s="58"/>
      <c r="B47" s="62"/>
      <c r="C47" s="21"/>
      <c r="D47" s="21"/>
      <c r="E47" s="21"/>
      <c r="F47" s="63"/>
      <c r="G47" s="38"/>
      <c r="H47" s="60"/>
      <c r="I47" s="61"/>
    </row>
    <row r="48" spans="1:9" x14ac:dyDescent="0.2">
      <c r="A48" s="58"/>
      <c r="B48" s="62"/>
      <c r="C48" s="21"/>
      <c r="D48" s="21"/>
      <c r="E48" s="21"/>
      <c r="F48" s="63"/>
      <c r="G48" s="38"/>
      <c r="H48" s="60"/>
      <c r="I48" s="61"/>
    </row>
    <row r="49" spans="1:9" x14ac:dyDescent="0.2">
      <c r="A49" s="58"/>
      <c r="B49" s="58"/>
      <c r="C49" s="21"/>
      <c r="D49" s="21"/>
      <c r="E49" s="96"/>
      <c r="F49" s="59"/>
      <c r="G49" s="38"/>
      <c r="H49" s="60"/>
      <c r="I49" s="61"/>
    </row>
    <row r="50" spans="1:9" x14ac:dyDescent="0.2">
      <c r="A50" s="58"/>
      <c r="B50" s="62"/>
      <c r="C50" s="21"/>
      <c r="D50" s="21"/>
      <c r="E50" s="21"/>
      <c r="F50" s="63"/>
      <c r="G50" s="38"/>
      <c r="H50" s="60"/>
      <c r="I50" s="61"/>
    </row>
    <row r="51" spans="1:9" x14ac:dyDescent="0.2">
      <c r="A51" s="58"/>
      <c r="B51" s="58"/>
      <c r="C51" s="21"/>
      <c r="D51" s="21"/>
      <c r="E51" s="21"/>
      <c r="F51" s="59"/>
      <c r="G51" s="38"/>
      <c r="H51" s="60"/>
      <c r="I51" s="61"/>
    </row>
    <row r="52" spans="1:9" x14ac:dyDescent="0.2">
      <c r="A52" s="58"/>
      <c r="B52" s="62"/>
      <c r="C52" s="21"/>
      <c r="D52" s="21"/>
      <c r="E52" s="21"/>
      <c r="F52" s="63"/>
      <c r="G52" s="38"/>
      <c r="H52" s="60"/>
      <c r="I52" s="61"/>
    </row>
    <row r="53" spans="1:9" x14ac:dyDescent="0.2">
      <c r="A53" s="58"/>
      <c r="B53" s="58"/>
      <c r="C53" s="21"/>
      <c r="D53" s="21"/>
      <c r="E53" s="21"/>
      <c r="F53" s="59"/>
      <c r="G53" s="38"/>
      <c r="H53" s="60"/>
      <c r="I53" s="61"/>
    </row>
    <row r="54" spans="1:9" x14ac:dyDescent="0.2">
      <c r="A54" s="58"/>
      <c r="B54" s="62"/>
      <c r="C54" s="21"/>
      <c r="D54" s="21"/>
      <c r="E54" s="21"/>
      <c r="F54" s="63"/>
      <c r="G54" s="38"/>
      <c r="H54" s="60"/>
      <c r="I54" s="61"/>
    </row>
    <row r="55" spans="1:9" x14ac:dyDescent="0.2">
      <c r="A55" s="58"/>
      <c r="B55" s="58"/>
      <c r="C55" s="21"/>
      <c r="D55" s="21"/>
      <c r="E55" s="21"/>
      <c r="F55" s="59"/>
      <c r="G55" s="38"/>
      <c r="H55" s="60"/>
      <c r="I55" s="61"/>
    </row>
    <row r="56" spans="1:9" x14ac:dyDescent="0.2">
      <c r="A56" s="58"/>
      <c r="B56" s="62"/>
      <c r="C56" s="21"/>
      <c r="D56" s="21"/>
      <c r="E56" s="21"/>
      <c r="F56" s="63"/>
      <c r="G56" s="38"/>
      <c r="H56" s="60"/>
      <c r="I56" s="61"/>
    </row>
    <row r="57" spans="1:9" x14ac:dyDescent="0.2">
      <c r="A57" s="58"/>
      <c r="B57" s="58"/>
      <c r="C57" s="64"/>
      <c r="D57" s="64"/>
      <c r="E57" s="21"/>
      <c r="F57" s="59"/>
      <c r="G57" s="38"/>
      <c r="H57" s="60"/>
      <c r="I57" s="61"/>
    </row>
    <row r="58" spans="1:9" x14ac:dyDescent="0.2">
      <c r="A58" s="65"/>
      <c r="B58" s="62"/>
      <c r="C58" s="21"/>
      <c r="D58" s="21"/>
      <c r="E58" s="21"/>
      <c r="F58" s="63"/>
      <c r="G58" s="38"/>
      <c r="H58" s="60"/>
      <c r="I58" s="61"/>
    </row>
    <row r="59" spans="1:9" x14ac:dyDescent="0.2">
      <c r="A59" s="47"/>
      <c r="B59" s="48"/>
      <c r="C59" s="49"/>
      <c r="D59" s="49"/>
      <c r="E59" s="49"/>
      <c r="F59" s="49"/>
      <c r="G59" s="50"/>
      <c r="H59" s="51"/>
    </row>
    <row r="60" spans="1:9" x14ac:dyDescent="0.2">
      <c r="A60" s="52"/>
      <c r="B60" s="52"/>
      <c r="C60" s="52"/>
      <c r="D60" s="52"/>
      <c r="E60" s="52"/>
      <c r="F60" s="52"/>
      <c r="G60" s="52"/>
      <c r="H60" s="52"/>
    </row>
    <row r="61" spans="1:9" ht="12.75" customHeight="1" x14ac:dyDescent="0.2">
      <c r="A61" s="54" t="s">
        <v>241</v>
      </c>
      <c r="G61" s="53"/>
      <c r="H61" s="177">
        <v>19</v>
      </c>
    </row>
    <row r="62" spans="1:9" ht="12.75" customHeight="1" x14ac:dyDescent="0.2">
      <c r="A62" s="54" t="s">
        <v>242</v>
      </c>
      <c r="G62" s="53"/>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45" display="Tilbake til innholdsfortegnelsen" xr:uid="{00000000-0004-0000-0E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9" ht="5.25" customHeight="1" x14ac:dyDescent="0.2"/>
    <row r="2" spans="1:9" x14ac:dyDescent="0.2">
      <c r="A2" s="92" t="s">
        <v>0</v>
      </c>
      <c r="B2" s="2"/>
      <c r="C2" s="2"/>
      <c r="D2" s="2"/>
      <c r="E2" s="2"/>
      <c r="F2" s="2"/>
      <c r="G2" s="2"/>
    </row>
    <row r="3" spans="1:9" ht="6" customHeight="1" x14ac:dyDescent="0.2">
      <c r="A3" s="3"/>
      <c r="B3" s="2"/>
      <c r="C3" s="2"/>
      <c r="D3" s="2"/>
      <c r="E3" s="2"/>
      <c r="F3" s="2"/>
      <c r="G3" s="2"/>
    </row>
    <row r="4" spans="1:9" ht="16.5" thickBot="1" x14ac:dyDescent="0.3">
      <c r="A4" s="4" t="s">
        <v>153</v>
      </c>
      <c r="B4" s="5"/>
      <c r="C4" s="5"/>
      <c r="D4" s="5"/>
      <c r="E4" s="5"/>
      <c r="F4" s="5"/>
      <c r="G4" s="5"/>
      <c r="H4" s="6"/>
    </row>
    <row r="5" spans="1:9" x14ac:dyDescent="0.2">
      <c r="A5" s="7"/>
      <c r="B5" s="8"/>
      <c r="C5" s="9"/>
      <c r="D5" s="8"/>
      <c r="E5" s="10"/>
      <c r="F5" s="11"/>
      <c r="G5" s="172" t="s">
        <v>1</v>
      </c>
      <c r="H5" s="173"/>
    </row>
    <row r="6" spans="1:9" x14ac:dyDescent="0.2">
      <c r="A6" s="12"/>
      <c r="B6" s="13"/>
      <c r="C6" s="14" t="s">
        <v>235</v>
      </c>
      <c r="D6" s="15" t="s">
        <v>236</v>
      </c>
      <c r="E6" s="15" t="s">
        <v>237</v>
      </c>
      <c r="F6" s="16"/>
      <c r="G6" s="17" t="s">
        <v>238</v>
      </c>
      <c r="H6" s="18" t="s">
        <v>239</v>
      </c>
    </row>
    <row r="7" spans="1:9" ht="12.75" customHeight="1" x14ac:dyDescent="0.2">
      <c r="A7" s="174" t="s">
        <v>60</v>
      </c>
      <c r="B7" s="19" t="s">
        <v>3</v>
      </c>
      <c r="C7" s="20">
        <v>31589.073333333334</v>
      </c>
      <c r="D7" s="20">
        <v>37157.66333333333</v>
      </c>
      <c r="E7" s="79">
        <v>42542.30333333333</v>
      </c>
      <c r="F7" s="22" t="s">
        <v>240</v>
      </c>
      <c r="G7" s="23">
        <v>34.674109887363983</v>
      </c>
      <c r="H7" s="24">
        <v>14.491331039025695</v>
      </c>
    </row>
    <row r="8" spans="1:9" ht="13.7" customHeight="1" thickBot="1" x14ac:dyDescent="0.25">
      <c r="A8" s="180"/>
      <c r="B8" s="42" t="s">
        <v>240</v>
      </c>
      <c r="C8" s="43" t="s">
        <v>240</v>
      </c>
      <c r="D8" s="43" t="s">
        <v>240</v>
      </c>
      <c r="E8" s="43" t="s">
        <v>240</v>
      </c>
      <c r="F8" s="44"/>
      <c r="G8" s="57" t="s">
        <v>240</v>
      </c>
      <c r="H8" s="46" t="s">
        <v>240</v>
      </c>
    </row>
    <row r="9" spans="1:9" x14ac:dyDescent="0.2">
      <c r="A9" s="58"/>
      <c r="B9" s="58"/>
      <c r="C9" s="21"/>
      <c r="D9" s="21"/>
      <c r="E9" s="21"/>
      <c r="F9" s="59"/>
      <c r="G9" s="38"/>
      <c r="H9" s="60"/>
      <c r="I9" s="61"/>
    </row>
    <row r="10" spans="1:9" x14ac:dyDescent="0.2">
      <c r="A10" s="58"/>
      <c r="B10" s="58"/>
      <c r="C10" s="21"/>
      <c r="D10" s="21"/>
      <c r="E10" s="21"/>
      <c r="F10" s="59"/>
      <c r="G10" s="38"/>
      <c r="H10" s="60"/>
      <c r="I10" s="61"/>
    </row>
    <row r="11" spans="1:9" x14ac:dyDescent="0.2">
      <c r="A11" s="58"/>
      <c r="B11" s="58"/>
      <c r="C11" s="21"/>
      <c r="D11" s="21"/>
      <c r="E11" s="21"/>
      <c r="F11" s="59"/>
      <c r="G11" s="38"/>
      <c r="H11" s="60"/>
      <c r="I11" s="61"/>
    </row>
    <row r="12" spans="1:9" x14ac:dyDescent="0.2">
      <c r="A12" s="58"/>
      <c r="B12" s="58"/>
      <c r="C12" s="21"/>
      <c r="D12" s="21"/>
      <c r="E12" s="21"/>
      <c r="F12" s="59"/>
      <c r="G12" s="38"/>
      <c r="H12" s="60"/>
      <c r="I12" s="61"/>
    </row>
    <row r="13" spans="1:9" x14ac:dyDescent="0.2">
      <c r="A13" s="58"/>
      <c r="B13" s="58"/>
      <c r="C13" s="21"/>
      <c r="D13" s="21"/>
      <c r="E13" s="21"/>
      <c r="F13" s="59"/>
      <c r="G13" s="38"/>
      <c r="H13" s="60"/>
      <c r="I13" s="61"/>
    </row>
    <row r="14" spans="1:9" x14ac:dyDescent="0.2">
      <c r="A14" s="58"/>
      <c r="B14" s="62"/>
      <c r="C14" s="21"/>
      <c r="D14" s="21"/>
      <c r="E14" s="21"/>
      <c r="F14" s="63"/>
      <c r="G14" s="38"/>
      <c r="H14" s="60"/>
      <c r="I14" s="61"/>
    </row>
    <row r="15" spans="1:9" x14ac:dyDescent="0.2">
      <c r="A15" s="58"/>
      <c r="B15" s="58"/>
      <c r="C15" s="21"/>
      <c r="D15" s="21"/>
      <c r="E15" s="21"/>
      <c r="F15" s="59"/>
      <c r="G15" s="38"/>
      <c r="H15" s="60"/>
      <c r="I15" s="61"/>
    </row>
    <row r="16" spans="1:9" x14ac:dyDescent="0.2">
      <c r="A16" s="58"/>
      <c r="B16" s="62"/>
      <c r="C16" s="21"/>
      <c r="D16" s="21"/>
      <c r="E16" s="21"/>
      <c r="F16" s="63"/>
      <c r="G16" s="38"/>
      <c r="H16" s="60"/>
      <c r="I16" s="61"/>
    </row>
    <row r="17" spans="1:9" x14ac:dyDescent="0.2">
      <c r="A17" s="58"/>
      <c r="B17" s="58"/>
      <c r="C17" s="21"/>
      <c r="D17" s="21"/>
      <c r="E17" s="21"/>
      <c r="F17" s="59"/>
      <c r="G17" s="38"/>
      <c r="H17" s="60"/>
      <c r="I17" s="61"/>
    </row>
    <row r="18" spans="1:9" x14ac:dyDescent="0.2">
      <c r="A18" s="58"/>
      <c r="B18" s="62"/>
      <c r="C18" s="21"/>
      <c r="D18" s="21"/>
      <c r="E18" s="21"/>
      <c r="F18" s="63"/>
      <c r="G18" s="38"/>
      <c r="H18" s="60"/>
      <c r="I18" s="61"/>
    </row>
    <row r="19" spans="1:9" x14ac:dyDescent="0.2">
      <c r="A19" s="58"/>
      <c r="B19" s="58"/>
      <c r="C19" s="21"/>
      <c r="D19" s="21"/>
      <c r="E19" s="21"/>
      <c r="F19" s="59"/>
      <c r="G19" s="38"/>
      <c r="H19" s="60"/>
      <c r="I19" s="61"/>
    </row>
    <row r="20" spans="1:9" x14ac:dyDescent="0.2">
      <c r="A20" s="58"/>
      <c r="B20" s="62"/>
      <c r="C20" s="21"/>
      <c r="D20" s="21"/>
      <c r="E20" s="21"/>
      <c r="F20" s="63"/>
      <c r="G20" s="38"/>
      <c r="H20" s="60"/>
      <c r="I20" s="61"/>
    </row>
    <row r="21" spans="1:9" x14ac:dyDescent="0.2">
      <c r="A21" s="58"/>
      <c r="B21" s="58"/>
      <c r="C21" s="21"/>
      <c r="D21" s="21"/>
      <c r="E21" s="21"/>
      <c r="F21" s="59"/>
      <c r="G21" s="38"/>
      <c r="H21" s="60"/>
      <c r="I21" s="61"/>
    </row>
    <row r="22" spans="1:9" x14ac:dyDescent="0.2">
      <c r="A22" s="58"/>
      <c r="B22" s="62"/>
      <c r="C22" s="21"/>
      <c r="D22" s="21"/>
      <c r="E22" s="21"/>
      <c r="F22" s="63"/>
      <c r="G22" s="38"/>
      <c r="H22" s="60"/>
      <c r="I22" s="61"/>
    </row>
    <row r="23" spans="1:9" x14ac:dyDescent="0.2">
      <c r="A23" s="58"/>
      <c r="B23" s="58"/>
      <c r="C23" s="21"/>
      <c r="D23" s="21"/>
      <c r="E23" s="21"/>
      <c r="F23" s="59"/>
      <c r="G23" s="38"/>
      <c r="H23" s="60"/>
      <c r="I23" s="61"/>
    </row>
    <row r="24" spans="1:9" x14ac:dyDescent="0.2">
      <c r="A24" s="58"/>
      <c r="B24" s="62"/>
      <c r="C24" s="21"/>
      <c r="D24" s="21"/>
      <c r="E24" s="21"/>
      <c r="F24" s="63"/>
      <c r="G24" s="38"/>
      <c r="H24" s="60"/>
      <c r="I24" s="61"/>
    </row>
    <row r="25" spans="1:9" x14ac:dyDescent="0.2">
      <c r="A25" s="58"/>
      <c r="B25" s="58"/>
      <c r="C25" s="21"/>
      <c r="D25" s="21"/>
      <c r="E25" s="21"/>
      <c r="F25" s="59"/>
      <c r="G25" s="38"/>
      <c r="H25" s="60"/>
      <c r="I25" s="61"/>
    </row>
    <row r="26" spans="1:9" x14ac:dyDescent="0.2">
      <c r="A26" s="58"/>
      <c r="B26" s="62"/>
      <c r="C26" s="21"/>
      <c r="D26" s="21"/>
      <c r="E26" s="21"/>
      <c r="F26" s="63"/>
      <c r="G26" s="38"/>
      <c r="H26" s="60"/>
      <c r="I26" s="61"/>
    </row>
    <row r="27" spans="1:9" x14ac:dyDescent="0.2">
      <c r="A27" s="58"/>
      <c r="B27" s="58"/>
      <c r="C27" s="21"/>
      <c r="D27" s="21"/>
      <c r="E27" s="21"/>
      <c r="F27" s="59"/>
      <c r="G27" s="38"/>
      <c r="H27" s="60"/>
      <c r="I27" s="61"/>
    </row>
    <row r="28" spans="1:9" x14ac:dyDescent="0.2">
      <c r="A28" s="58"/>
      <c r="B28" s="62"/>
      <c r="C28" s="21"/>
      <c r="D28" s="21"/>
      <c r="E28" s="21"/>
      <c r="F28" s="63"/>
      <c r="G28" s="38"/>
      <c r="H28" s="60"/>
      <c r="I28" s="61"/>
    </row>
    <row r="29" spans="1:9" x14ac:dyDescent="0.2">
      <c r="A29" s="58"/>
      <c r="B29" s="58"/>
      <c r="C29" s="64"/>
      <c r="D29" s="64"/>
      <c r="E29" s="21"/>
      <c r="F29" s="59"/>
      <c r="G29" s="38"/>
      <c r="H29" s="60"/>
      <c r="I29" s="61"/>
    </row>
    <row r="30" spans="1:9" x14ac:dyDescent="0.2">
      <c r="A30" s="65"/>
      <c r="B30" s="62"/>
      <c r="C30" s="21"/>
      <c r="D30" s="21"/>
      <c r="E30" s="21"/>
      <c r="F30" s="63"/>
      <c r="G30" s="38"/>
      <c r="H30" s="60"/>
      <c r="I30" s="61"/>
    </row>
    <row r="31" spans="1:9" x14ac:dyDescent="0.2">
      <c r="A31" s="47"/>
      <c r="B31" s="48"/>
      <c r="C31" s="49"/>
      <c r="D31" s="55"/>
      <c r="E31" s="49"/>
      <c r="F31" s="49"/>
      <c r="G31" s="50"/>
      <c r="H31" s="51"/>
      <c r="I31" s="61"/>
    </row>
    <row r="32" spans="1:9" ht="16.5" thickBot="1" x14ac:dyDescent="0.3">
      <c r="A32" s="4" t="s">
        <v>72</v>
      </c>
      <c r="B32" s="5"/>
      <c r="C32" s="5"/>
      <c r="D32" s="5"/>
      <c r="E32" s="5"/>
      <c r="F32" s="5"/>
      <c r="G32" s="5"/>
      <c r="H32" s="6"/>
    </row>
    <row r="33" spans="1:9" x14ac:dyDescent="0.2">
      <c r="A33" s="7"/>
      <c r="B33" s="8"/>
      <c r="C33" s="178" t="s">
        <v>16</v>
      </c>
      <c r="D33" s="172"/>
      <c r="E33" s="172"/>
      <c r="F33" s="179"/>
      <c r="G33" s="172" t="s">
        <v>1</v>
      </c>
      <c r="H33" s="173"/>
    </row>
    <row r="34" spans="1:9" x14ac:dyDescent="0.2">
      <c r="A34" s="12"/>
      <c r="B34" s="13"/>
      <c r="C34" s="14" t="s">
        <v>235</v>
      </c>
      <c r="D34" s="15" t="s">
        <v>236</v>
      </c>
      <c r="E34" s="15" t="s">
        <v>237</v>
      </c>
      <c r="F34" s="16"/>
      <c r="G34" s="17" t="s">
        <v>238</v>
      </c>
      <c r="H34" s="18" t="s">
        <v>239</v>
      </c>
    </row>
    <row r="35" spans="1:9" ht="12.75" customHeight="1" x14ac:dyDescent="0.2">
      <c r="A35" s="174" t="s">
        <v>60</v>
      </c>
      <c r="B35" s="19" t="s">
        <v>3</v>
      </c>
      <c r="C35" s="80">
        <v>1120.2980383203796</v>
      </c>
      <c r="D35" s="80">
        <v>724.48727871329743</v>
      </c>
      <c r="E35" s="81">
        <v>922.01930659354014</v>
      </c>
      <c r="F35" s="22" t="s">
        <v>240</v>
      </c>
      <c r="G35" s="23">
        <v>-17.698748453055515</v>
      </c>
      <c r="H35" s="24">
        <v>27.265078861158628</v>
      </c>
    </row>
    <row r="36" spans="1:9" ht="12.75" customHeight="1" thickBot="1" x14ac:dyDescent="0.25">
      <c r="A36" s="180"/>
      <c r="B36" s="42" t="s">
        <v>240</v>
      </c>
      <c r="C36" s="86" t="s">
        <v>240</v>
      </c>
      <c r="D36" s="86" t="s">
        <v>240</v>
      </c>
      <c r="E36" s="86" t="s">
        <v>240</v>
      </c>
      <c r="F36" s="44"/>
      <c r="G36" s="57" t="s">
        <v>240</v>
      </c>
      <c r="H36" s="46" t="s">
        <v>240</v>
      </c>
    </row>
    <row r="37" spans="1:9" x14ac:dyDescent="0.2">
      <c r="A37" s="58"/>
      <c r="B37" s="58"/>
      <c r="C37" s="21"/>
      <c r="D37" s="21"/>
      <c r="E37" s="21"/>
      <c r="F37" s="59"/>
      <c r="G37" s="38"/>
      <c r="H37" s="60"/>
      <c r="I37" s="61"/>
    </row>
    <row r="38" spans="1:9" x14ac:dyDescent="0.2">
      <c r="A38" s="58"/>
      <c r="B38" s="62"/>
      <c r="C38" s="21"/>
      <c r="D38" s="21"/>
      <c r="E38" s="21"/>
      <c r="F38" s="63"/>
      <c r="G38" s="38"/>
      <c r="H38" s="60"/>
      <c r="I38" s="61"/>
    </row>
    <row r="39" spans="1:9" x14ac:dyDescent="0.2">
      <c r="A39" s="58"/>
      <c r="B39" s="58"/>
      <c r="C39" s="21"/>
      <c r="D39" s="21"/>
      <c r="E39" s="21"/>
      <c r="F39" s="59"/>
      <c r="G39" s="38"/>
      <c r="H39" s="60"/>
      <c r="I39" s="61"/>
    </row>
    <row r="40" spans="1:9" x14ac:dyDescent="0.2">
      <c r="A40" s="58"/>
      <c r="B40" s="62"/>
      <c r="C40" s="21"/>
      <c r="D40" s="21"/>
      <c r="E40" s="21"/>
      <c r="F40" s="63"/>
      <c r="G40" s="38"/>
      <c r="H40" s="60"/>
      <c r="I40" s="61"/>
    </row>
    <row r="41" spans="1:9" x14ac:dyDescent="0.2">
      <c r="A41" s="58"/>
      <c r="B41" s="58"/>
      <c r="C41" s="21"/>
      <c r="D41" s="21"/>
      <c r="E41" s="21"/>
      <c r="F41" s="59"/>
      <c r="G41" s="38"/>
      <c r="H41" s="60"/>
      <c r="I41" s="61"/>
    </row>
    <row r="42" spans="1:9" x14ac:dyDescent="0.2">
      <c r="A42" s="58"/>
      <c r="B42" s="62"/>
      <c r="C42" s="21"/>
      <c r="D42" s="21"/>
      <c r="E42" s="21"/>
      <c r="F42" s="63"/>
      <c r="G42" s="38"/>
      <c r="H42" s="60"/>
      <c r="I42" s="61"/>
    </row>
    <row r="43" spans="1:9" x14ac:dyDescent="0.2">
      <c r="A43" s="58"/>
      <c r="B43" s="58"/>
      <c r="C43" s="21"/>
      <c r="D43" s="21"/>
      <c r="E43" s="21"/>
      <c r="F43" s="59"/>
      <c r="G43" s="38"/>
      <c r="H43" s="60"/>
      <c r="I43" s="61"/>
    </row>
    <row r="44" spans="1:9" x14ac:dyDescent="0.2">
      <c r="A44" s="58"/>
      <c r="B44" s="62"/>
      <c r="C44" s="21"/>
      <c r="D44" s="21"/>
      <c r="E44" s="21"/>
      <c r="F44" s="63"/>
      <c r="G44" s="38"/>
      <c r="H44" s="60"/>
      <c r="I44" s="61"/>
    </row>
    <row r="45" spans="1:9" x14ac:dyDescent="0.2">
      <c r="A45" s="58"/>
      <c r="B45" s="58"/>
      <c r="C45" s="21"/>
      <c r="D45" s="21"/>
      <c r="E45" s="21"/>
      <c r="F45" s="59"/>
      <c r="G45" s="38"/>
      <c r="H45" s="60"/>
      <c r="I45" s="61"/>
    </row>
    <row r="46" spans="1:9" x14ac:dyDescent="0.2">
      <c r="A46" s="58"/>
      <c r="B46" s="62"/>
      <c r="C46" s="21"/>
      <c r="D46" s="21"/>
      <c r="E46" s="21"/>
      <c r="F46" s="63"/>
      <c r="G46" s="38"/>
      <c r="H46" s="60"/>
      <c r="I46" s="61"/>
    </row>
    <row r="47" spans="1:9" x14ac:dyDescent="0.2">
      <c r="A47" s="58"/>
      <c r="B47" s="58"/>
      <c r="C47" s="21"/>
      <c r="D47" s="21"/>
      <c r="E47" s="21"/>
      <c r="F47" s="59"/>
      <c r="G47" s="38"/>
      <c r="H47" s="60"/>
      <c r="I47" s="61"/>
    </row>
    <row r="48" spans="1:9" x14ac:dyDescent="0.2">
      <c r="A48" s="58"/>
      <c r="B48" s="62"/>
      <c r="C48" s="21"/>
      <c r="D48" s="21"/>
      <c r="E48" s="21"/>
      <c r="F48" s="63"/>
      <c r="G48" s="38"/>
      <c r="H48" s="60"/>
      <c r="I48" s="61"/>
    </row>
    <row r="49" spans="1:9" x14ac:dyDescent="0.2">
      <c r="A49" s="58"/>
      <c r="B49" s="58"/>
      <c r="C49" s="21"/>
      <c r="D49" s="21"/>
      <c r="E49" s="96"/>
      <c r="F49" s="59"/>
      <c r="G49" s="38"/>
      <c r="H49" s="60"/>
      <c r="I49" s="61"/>
    </row>
    <row r="50" spans="1:9" x14ac:dyDescent="0.2">
      <c r="A50" s="58"/>
      <c r="B50" s="62"/>
      <c r="C50" s="21"/>
      <c r="D50" s="21"/>
      <c r="E50" s="21"/>
      <c r="F50" s="63"/>
      <c r="G50" s="38"/>
      <c r="H50" s="60"/>
      <c r="I50" s="61"/>
    </row>
    <row r="51" spans="1:9" x14ac:dyDescent="0.2">
      <c r="A51" s="58"/>
      <c r="B51" s="58"/>
      <c r="C51" s="21"/>
      <c r="D51" s="21"/>
      <c r="E51" s="21"/>
      <c r="F51" s="59"/>
      <c r="G51" s="38"/>
      <c r="H51" s="60"/>
      <c r="I51" s="61"/>
    </row>
    <row r="52" spans="1:9" x14ac:dyDescent="0.2">
      <c r="A52" s="58"/>
      <c r="B52" s="62"/>
      <c r="C52" s="21"/>
      <c r="D52" s="21"/>
      <c r="E52" s="21"/>
      <c r="F52" s="63"/>
      <c r="G52" s="38"/>
      <c r="H52" s="60"/>
      <c r="I52" s="61"/>
    </row>
    <row r="53" spans="1:9" x14ac:dyDescent="0.2">
      <c r="A53" s="58"/>
      <c r="B53" s="58"/>
      <c r="C53" s="21"/>
      <c r="D53" s="21"/>
      <c r="E53" s="21"/>
      <c r="F53" s="59"/>
      <c r="G53" s="38"/>
      <c r="H53" s="60"/>
      <c r="I53" s="61"/>
    </row>
    <row r="54" spans="1:9" x14ac:dyDescent="0.2">
      <c r="A54" s="58"/>
      <c r="B54" s="62"/>
      <c r="C54" s="21"/>
      <c r="D54" s="21"/>
      <c r="E54" s="21"/>
      <c r="F54" s="63"/>
      <c r="G54" s="38"/>
      <c r="H54" s="60"/>
      <c r="I54" s="61"/>
    </row>
    <row r="55" spans="1:9" x14ac:dyDescent="0.2">
      <c r="A55" s="58"/>
      <c r="B55" s="58"/>
      <c r="C55" s="21"/>
      <c r="D55" s="21"/>
      <c r="E55" s="21"/>
      <c r="F55" s="59"/>
      <c r="G55" s="38"/>
      <c r="H55" s="60"/>
      <c r="I55" s="61"/>
    </row>
    <row r="56" spans="1:9" x14ac:dyDescent="0.2">
      <c r="A56" s="58"/>
      <c r="B56" s="62"/>
      <c r="C56" s="21"/>
      <c r="D56" s="21"/>
      <c r="E56" s="21"/>
      <c r="F56" s="63"/>
      <c r="G56" s="38"/>
      <c r="H56" s="60"/>
      <c r="I56" s="61"/>
    </row>
    <row r="57" spans="1:9" x14ac:dyDescent="0.2">
      <c r="A57" s="58"/>
      <c r="B57" s="58"/>
      <c r="C57" s="64"/>
      <c r="D57" s="64"/>
      <c r="E57" s="21"/>
      <c r="F57" s="59"/>
      <c r="G57" s="38"/>
      <c r="H57" s="60"/>
      <c r="I57" s="61"/>
    </row>
    <row r="58" spans="1:9" x14ac:dyDescent="0.2">
      <c r="A58" s="65"/>
      <c r="B58" s="62"/>
      <c r="C58" s="21"/>
      <c r="D58" s="21"/>
      <c r="E58" s="21"/>
      <c r="F58" s="63"/>
      <c r="G58" s="38"/>
      <c r="H58" s="60"/>
      <c r="I58" s="61"/>
    </row>
    <row r="59" spans="1:9" x14ac:dyDescent="0.2">
      <c r="A59" s="47"/>
      <c r="B59" s="48"/>
      <c r="C59" s="49"/>
      <c r="D59" s="49"/>
      <c r="E59" s="49"/>
      <c r="F59" s="49"/>
      <c r="G59" s="50"/>
      <c r="H59" s="51"/>
    </row>
    <row r="60" spans="1:9" x14ac:dyDescent="0.2">
      <c r="A60" s="52"/>
      <c r="B60" s="52"/>
      <c r="C60" s="52"/>
      <c r="D60" s="52"/>
      <c r="E60" s="52"/>
      <c r="F60" s="52"/>
      <c r="G60" s="52"/>
      <c r="H60" s="52"/>
    </row>
    <row r="61" spans="1:9" ht="12.75" customHeight="1" x14ac:dyDescent="0.2">
      <c r="A61" s="54" t="s">
        <v>241</v>
      </c>
      <c r="H61" s="169">
        <v>20</v>
      </c>
    </row>
    <row r="62" spans="1:9" ht="12.75" customHeight="1" x14ac:dyDescent="0.2">
      <c r="A62" s="54" t="s">
        <v>242</v>
      </c>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47" display="Tilbake til innholdsfortegnelsen" xr:uid="{00000000-0004-0000-0F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8"/>
  <sheetViews>
    <sheetView showGridLines="0" showRowColHeaders="0" zoomScaleNormal="100" workbookViewId="0"/>
  </sheetViews>
  <sheetFormatPr defaultColWidth="11.42578125" defaultRowHeight="12.75" x14ac:dyDescent="0.2"/>
  <cols>
    <col min="1" max="1" width="26.42578125" style="98" customWidth="1"/>
    <col min="2" max="2" width="8.140625" style="98" customWidth="1"/>
    <col min="3" max="4" width="10.42578125" style="98" customWidth="1"/>
    <col min="5" max="5" width="9.85546875" style="98" customWidth="1"/>
    <col min="6" max="6" width="1.5703125" style="98" customWidth="1"/>
    <col min="7" max="7" width="7.5703125" style="98" customWidth="1"/>
    <col min="8" max="8" width="8.85546875" style="98" customWidth="1"/>
    <col min="9" max="16384" width="11.42578125" style="98"/>
  </cols>
  <sheetData>
    <row r="1" spans="1:8" ht="5.25" customHeight="1" x14ac:dyDescent="0.2"/>
    <row r="2" spans="1:8" x14ac:dyDescent="0.2">
      <c r="A2" s="92" t="s">
        <v>0</v>
      </c>
      <c r="B2" s="99"/>
      <c r="C2" s="99"/>
      <c r="D2" s="99"/>
      <c r="E2" s="99"/>
      <c r="F2" s="99"/>
      <c r="G2" s="99"/>
    </row>
    <row r="3" spans="1:8" ht="6" customHeight="1" x14ac:dyDescent="0.2">
      <c r="A3" s="3"/>
      <c r="B3" s="99"/>
      <c r="C3" s="99"/>
      <c r="D3" s="99"/>
      <c r="E3" s="99"/>
      <c r="F3" s="99"/>
      <c r="G3" s="99"/>
    </row>
    <row r="4" spans="1:8" ht="16.5" thickBot="1" x14ac:dyDescent="0.3">
      <c r="A4" s="100" t="s">
        <v>212</v>
      </c>
      <c r="B4" s="101"/>
      <c r="C4" s="101"/>
      <c r="D4" s="101"/>
      <c r="E4" s="101"/>
      <c r="F4" s="101"/>
      <c r="G4" s="101"/>
      <c r="H4" s="102"/>
    </row>
    <row r="5" spans="1:8" x14ac:dyDescent="0.2">
      <c r="A5" s="103"/>
      <c r="B5" s="104"/>
      <c r="C5" s="105"/>
      <c r="D5" s="104"/>
      <c r="E5" s="106"/>
      <c r="F5" s="107"/>
      <c r="G5" s="183" t="s">
        <v>1</v>
      </c>
      <c r="H5" s="184"/>
    </row>
    <row r="6" spans="1:8" x14ac:dyDescent="0.2">
      <c r="A6" s="108"/>
      <c r="B6" s="109"/>
      <c r="C6" s="110" t="s">
        <v>235</v>
      </c>
      <c r="D6" s="111" t="s">
        <v>236</v>
      </c>
      <c r="E6" s="111" t="s">
        <v>237</v>
      </c>
      <c r="F6" s="112"/>
      <c r="G6" s="113" t="s">
        <v>238</v>
      </c>
      <c r="H6" s="114" t="s">
        <v>239</v>
      </c>
    </row>
    <row r="7" spans="1:8" ht="12.75" customHeight="1" x14ac:dyDescent="0.2">
      <c r="A7" s="185" t="s">
        <v>193</v>
      </c>
      <c r="B7" s="115" t="s">
        <v>3</v>
      </c>
      <c r="C7" s="20">
        <v>7894</v>
      </c>
      <c r="D7" s="20">
        <v>7387</v>
      </c>
      <c r="E7" s="79">
        <v>8839</v>
      </c>
      <c r="F7" s="22" t="s">
        <v>240</v>
      </c>
      <c r="G7" s="116">
        <v>11.971117304281734</v>
      </c>
      <c r="H7" s="117">
        <v>19.656152700690413</v>
      </c>
    </row>
    <row r="8" spans="1:8" ht="12.75" customHeight="1" x14ac:dyDescent="0.2">
      <c r="A8" s="186"/>
      <c r="B8" s="118" t="s">
        <v>240</v>
      </c>
      <c r="C8" s="26" t="s">
        <v>240</v>
      </c>
      <c r="D8" s="26" t="s">
        <v>240</v>
      </c>
      <c r="E8" s="26" t="s">
        <v>240</v>
      </c>
      <c r="F8" s="27"/>
      <c r="G8" s="119" t="s">
        <v>240</v>
      </c>
      <c r="H8" s="120" t="s">
        <v>240</v>
      </c>
    </row>
    <row r="9" spans="1:8" x14ac:dyDescent="0.2">
      <c r="A9" s="121" t="s">
        <v>194</v>
      </c>
      <c r="B9" s="122" t="s">
        <v>3</v>
      </c>
      <c r="C9" s="20">
        <v>2696</v>
      </c>
      <c r="D9" s="20">
        <v>2670</v>
      </c>
      <c r="E9" s="20">
        <v>3319</v>
      </c>
      <c r="F9" s="22" t="s">
        <v>240</v>
      </c>
      <c r="G9" s="123">
        <v>23.10830860534125</v>
      </c>
      <c r="H9" s="124">
        <v>24.307116104868911</v>
      </c>
    </row>
    <row r="10" spans="1:8" x14ac:dyDescent="0.2">
      <c r="A10" s="125"/>
      <c r="B10" s="118" t="s">
        <v>240</v>
      </c>
      <c r="C10" s="26" t="s">
        <v>240</v>
      </c>
      <c r="D10" s="26" t="s">
        <v>240</v>
      </c>
      <c r="E10" s="26" t="s">
        <v>240</v>
      </c>
      <c r="F10" s="27"/>
      <c r="G10" s="126" t="s">
        <v>240</v>
      </c>
      <c r="H10" s="120" t="s">
        <v>240</v>
      </c>
    </row>
    <row r="11" spans="1:8" x14ac:dyDescent="0.2">
      <c r="A11" s="121" t="s">
        <v>195</v>
      </c>
      <c r="B11" s="122" t="s">
        <v>3</v>
      </c>
      <c r="C11" s="20">
        <v>770</v>
      </c>
      <c r="D11" s="20">
        <v>828</v>
      </c>
      <c r="E11" s="20">
        <v>1246</v>
      </c>
      <c r="F11" s="22" t="s">
        <v>240</v>
      </c>
      <c r="G11" s="127">
        <v>61.818181818181813</v>
      </c>
      <c r="H11" s="124">
        <v>50.483091787439605</v>
      </c>
    </row>
    <row r="12" spans="1:8" x14ac:dyDescent="0.2">
      <c r="A12" s="125"/>
      <c r="B12" s="118" t="s">
        <v>240</v>
      </c>
      <c r="C12" s="26" t="s">
        <v>240</v>
      </c>
      <c r="D12" s="26" t="s">
        <v>240</v>
      </c>
      <c r="E12" s="26" t="s">
        <v>240</v>
      </c>
      <c r="F12" s="27"/>
      <c r="G12" s="119" t="s">
        <v>240</v>
      </c>
      <c r="H12" s="120" t="s">
        <v>240</v>
      </c>
    </row>
    <row r="13" spans="1:8" x14ac:dyDescent="0.2">
      <c r="A13" s="121" t="s">
        <v>228</v>
      </c>
      <c r="B13" s="122" t="s">
        <v>3</v>
      </c>
      <c r="C13" s="20">
        <v>287</v>
      </c>
      <c r="D13" s="20">
        <v>179</v>
      </c>
      <c r="E13" s="20">
        <v>782</v>
      </c>
      <c r="F13" s="22" t="s">
        <v>240</v>
      </c>
      <c r="G13" s="116">
        <v>172.47386759581877</v>
      </c>
      <c r="H13" s="117">
        <v>336.87150837988827</v>
      </c>
    </row>
    <row r="14" spans="1:8" x14ac:dyDescent="0.2">
      <c r="A14" s="125"/>
      <c r="B14" s="118" t="s">
        <v>240</v>
      </c>
      <c r="C14" s="26" t="s">
        <v>240</v>
      </c>
      <c r="D14" s="26" t="s">
        <v>240</v>
      </c>
      <c r="E14" s="26" t="s">
        <v>240</v>
      </c>
      <c r="F14" s="27"/>
      <c r="G14" s="128" t="s">
        <v>240</v>
      </c>
      <c r="H14" s="117" t="s">
        <v>240</v>
      </c>
    </row>
    <row r="15" spans="1:8" x14ac:dyDescent="0.2">
      <c r="A15" s="121" t="s">
        <v>196</v>
      </c>
      <c r="B15" s="122" t="s">
        <v>3</v>
      </c>
      <c r="C15" s="20">
        <v>3006</v>
      </c>
      <c r="D15" s="20">
        <v>2915</v>
      </c>
      <c r="E15" s="20">
        <v>3716</v>
      </c>
      <c r="F15" s="22" t="s">
        <v>240</v>
      </c>
      <c r="G15" s="127">
        <v>23.619427811044574</v>
      </c>
      <c r="H15" s="124">
        <v>27.478559176672391</v>
      </c>
    </row>
    <row r="16" spans="1:8" x14ac:dyDescent="0.2">
      <c r="A16" s="125"/>
      <c r="B16" s="118" t="s">
        <v>240</v>
      </c>
      <c r="C16" s="26" t="s">
        <v>240</v>
      </c>
      <c r="D16" s="26" t="s">
        <v>240</v>
      </c>
      <c r="E16" s="26" t="s">
        <v>240</v>
      </c>
      <c r="F16" s="27"/>
      <c r="G16" s="119" t="s">
        <v>240</v>
      </c>
      <c r="H16" s="120" t="s">
        <v>240</v>
      </c>
    </row>
    <row r="17" spans="1:9" x14ac:dyDescent="0.2">
      <c r="A17" s="121" t="s">
        <v>197</v>
      </c>
      <c r="B17" s="122" t="s">
        <v>3</v>
      </c>
      <c r="C17" s="20">
        <v>635</v>
      </c>
      <c r="D17" s="20">
        <v>659</v>
      </c>
      <c r="E17" s="20">
        <v>711</v>
      </c>
      <c r="F17" s="22" t="s">
        <v>240</v>
      </c>
      <c r="G17" s="127">
        <v>11.968503937007881</v>
      </c>
      <c r="H17" s="124">
        <v>7.8907435508345856</v>
      </c>
    </row>
    <row r="18" spans="1:9" x14ac:dyDescent="0.2">
      <c r="A18" s="121"/>
      <c r="B18" s="118" t="s">
        <v>240</v>
      </c>
      <c r="C18" s="26" t="s">
        <v>240</v>
      </c>
      <c r="D18" s="26" t="s">
        <v>240</v>
      </c>
      <c r="E18" s="26" t="s">
        <v>240</v>
      </c>
      <c r="F18" s="27"/>
      <c r="G18" s="119" t="s">
        <v>240</v>
      </c>
      <c r="H18" s="120" t="s">
        <v>240</v>
      </c>
    </row>
    <row r="19" spans="1:9" x14ac:dyDescent="0.2">
      <c r="A19" s="129" t="s">
        <v>198</v>
      </c>
      <c r="B19" s="122" t="s">
        <v>3</v>
      </c>
      <c r="C19" s="20">
        <v>30</v>
      </c>
      <c r="D19" s="20">
        <v>43</v>
      </c>
      <c r="E19" s="20">
        <v>65</v>
      </c>
      <c r="F19" s="22" t="s">
        <v>240</v>
      </c>
      <c r="G19" s="116">
        <v>116.66666666666666</v>
      </c>
      <c r="H19" s="117">
        <v>51.16279069767441</v>
      </c>
    </row>
    <row r="20" spans="1:9" x14ac:dyDescent="0.2">
      <c r="A20" s="125"/>
      <c r="B20" s="118" t="s">
        <v>240</v>
      </c>
      <c r="C20" s="26" t="s">
        <v>240</v>
      </c>
      <c r="D20" s="26" t="s">
        <v>240</v>
      </c>
      <c r="E20" s="26" t="s">
        <v>240</v>
      </c>
      <c r="F20" s="27"/>
      <c r="G20" s="128" t="s">
        <v>240</v>
      </c>
      <c r="H20" s="117" t="s">
        <v>240</v>
      </c>
    </row>
    <row r="21" spans="1:9" x14ac:dyDescent="0.2">
      <c r="A21" s="129" t="s">
        <v>199</v>
      </c>
      <c r="B21" s="122" t="s">
        <v>3</v>
      </c>
      <c r="C21" s="20">
        <v>22</v>
      </c>
      <c r="D21" s="20">
        <v>18</v>
      </c>
      <c r="E21" s="20">
        <v>17</v>
      </c>
      <c r="F21" s="22" t="s">
        <v>240</v>
      </c>
      <c r="G21" s="127">
        <v>-22.727272727272734</v>
      </c>
      <c r="H21" s="124">
        <v>-5.5555555555555571</v>
      </c>
    </row>
    <row r="22" spans="1:9" x14ac:dyDescent="0.2">
      <c r="A22" s="125"/>
      <c r="B22" s="118" t="s">
        <v>240</v>
      </c>
      <c r="C22" s="26" t="s">
        <v>240</v>
      </c>
      <c r="D22" s="26" t="s">
        <v>240</v>
      </c>
      <c r="E22" s="26" t="s">
        <v>240</v>
      </c>
      <c r="F22" s="27"/>
      <c r="G22" s="119" t="s">
        <v>240</v>
      </c>
      <c r="H22" s="120" t="s">
        <v>240</v>
      </c>
    </row>
    <row r="23" spans="1:9" x14ac:dyDescent="0.2">
      <c r="A23" s="129" t="s">
        <v>200</v>
      </c>
      <c r="B23" s="122" t="s">
        <v>3</v>
      </c>
      <c r="C23" s="20">
        <v>535</v>
      </c>
      <c r="D23" s="20">
        <v>613</v>
      </c>
      <c r="E23" s="20">
        <v>490</v>
      </c>
      <c r="F23" s="22" t="s">
        <v>240</v>
      </c>
      <c r="G23" s="127">
        <v>-8.4112149532710276</v>
      </c>
      <c r="H23" s="124">
        <v>-20.0652528548124</v>
      </c>
    </row>
    <row r="24" spans="1:9" x14ac:dyDescent="0.2">
      <c r="A24" s="125"/>
      <c r="B24" s="118" t="s">
        <v>240</v>
      </c>
      <c r="C24" s="26" t="s">
        <v>240</v>
      </c>
      <c r="D24" s="26" t="s">
        <v>240</v>
      </c>
      <c r="E24" s="26" t="s">
        <v>240</v>
      </c>
      <c r="F24" s="27"/>
      <c r="G24" s="119" t="s">
        <v>240</v>
      </c>
      <c r="H24" s="120" t="s">
        <v>240</v>
      </c>
    </row>
    <row r="25" spans="1:9" x14ac:dyDescent="0.2">
      <c r="A25" s="121" t="s">
        <v>24</v>
      </c>
      <c r="B25" s="122" t="s">
        <v>3</v>
      </c>
      <c r="C25" s="20">
        <v>2497</v>
      </c>
      <c r="D25" s="20">
        <v>2524</v>
      </c>
      <c r="E25" s="20">
        <v>3090</v>
      </c>
      <c r="F25" s="22" t="s">
        <v>240</v>
      </c>
      <c r="G25" s="116">
        <v>23.748498197837392</v>
      </c>
      <c r="H25" s="117">
        <v>22.424722662440573</v>
      </c>
      <c r="I25" s="130"/>
    </row>
    <row r="26" spans="1:9" ht="13.5" thickBot="1" x14ac:dyDescent="0.25">
      <c r="A26" s="131"/>
      <c r="B26" s="132" t="s">
        <v>240</v>
      </c>
      <c r="C26" s="43" t="s">
        <v>240</v>
      </c>
      <c r="D26" s="43" t="s">
        <v>240</v>
      </c>
      <c r="E26" s="43" t="s">
        <v>240</v>
      </c>
      <c r="F26" s="44"/>
      <c r="G26" s="133" t="s">
        <v>240</v>
      </c>
      <c r="H26" s="134" t="s">
        <v>240</v>
      </c>
      <c r="I26" s="130"/>
    </row>
    <row r="27" spans="1:9" x14ac:dyDescent="0.2">
      <c r="A27" s="135"/>
      <c r="B27" s="135"/>
      <c r="C27" s="64"/>
      <c r="D27" s="64"/>
      <c r="E27" s="21"/>
      <c r="F27" s="59"/>
      <c r="G27" s="128"/>
      <c r="H27" s="136"/>
      <c r="I27" s="130"/>
    </row>
    <row r="28" spans="1:9" x14ac:dyDescent="0.2">
      <c r="A28" s="135"/>
      <c r="B28" s="135"/>
      <c r="C28" s="64"/>
      <c r="D28" s="64"/>
      <c r="E28" s="21"/>
      <c r="F28" s="59"/>
      <c r="G28" s="128"/>
      <c r="H28" s="136"/>
      <c r="I28" s="130"/>
    </row>
    <row r="29" spans="1:9" x14ac:dyDescent="0.2">
      <c r="A29" s="135"/>
      <c r="B29" s="135"/>
      <c r="C29" s="64"/>
      <c r="D29" s="64"/>
      <c r="E29" s="21"/>
      <c r="F29" s="59"/>
      <c r="G29" s="128"/>
      <c r="H29" s="136"/>
      <c r="I29" s="130"/>
    </row>
    <row r="30" spans="1:9" x14ac:dyDescent="0.2">
      <c r="A30" s="137"/>
      <c r="B30" s="138"/>
      <c r="C30" s="21"/>
      <c r="D30" s="21"/>
      <c r="E30" s="21"/>
      <c r="F30" s="63"/>
      <c r="G30" s="128"/>
      <c r="H30" s="136"/>
      <c r="I30" s="130"/>
    </row>
    <row r="31" spans="1:9" x14ac:dyDescent="0.2">
      <c r="A31" s="139"/>
      <c r="B31" s="140"/>
      <c r="C31" s="49"/>
      <c r="D31" s="55"/>
      <c r="E31" s="49"/>
      <c r="F31" s="49"/>
      <c r="G31" s="141"/>
      <c r="H31" s="142"/>
      <c r="I31" s="130"/>
    </row>
    <row r="32" spans="1:9" ht="16.5" thickBot="1" x14ac:dyDescent="0.3">
      <c r="A32" s="100" t="s">
        <v>213</v>
      </c>
      <c r="B32" s="101"/>
      <c r="C32" s="101"/>
      <c r="D32" s="101"/>
      <c r="E32" s="101"/>
      <c r="F32" s="101"/>
      <c r="G32" s="101"/>
      <c r="H32" s="102"/>
    </row>
    <row r="33" spans="1:8" x14ac:dyDescent="0.2">
      <c r="A33" s="103"/>
      <c r="B33" s="104"/>
      <c r="C33" s="187" t="s">
        <v>16</v>
      </c>
      <c r="D33" s="183"/>
      <c r="E33" s="183"/>
      <c r="F33" s="188"/>
      <c r="G33" s="183" t="s">
        <v>1</v>
      </c>
      <c r="H33" s="184"/>
    </row>
    <row r="34" spans="1:8" x14ac:dyDescent="0.2">
      <c r="A34" s="108"/>
      <c r="B34" s="109"/>
      <c r="C34" s="110" t="s">
        <v>235</v>
      </c>
      <c r="D34" s="111" t="s">
        <v>236</v>
      </c>
      <c r="E34" s="111" t="s">
        <v>237</v>
      </c>
      <c r="F34" s="112"/>
      <c r="G34" s="113" t="s">
        <v>238</v>
      </c>
      <c r="H34" s="114" t="s">
        <v>239</v>
      </c>
    </row>
    <row r="35" spans="1:8" ht="12.75" customHeight="1" x14ac:dyDescent="0.2">
      <c r="A35" s="185" t="s">
        <v>193</v>
      </c>
      <c r="B35" s="115" t="s">
        <v>3</v>
      </c>
      <c r="C35" s="80">
        <v>1934.5070014632761</v>
      </c>
      <c r="D35" s="80">
        <v>2152.7393297259473</v>
      </c>
      <c r="E35" s="81">
        <v>2012.0476280814737</v>
      </c>
      <c r="F35" s="22" t="s">
        <v>240</v>
      </c>
      <c r="G35" s="116">
        <v>4.0082887557163218</v>
      </c>
      <c r="H35" s="117">
        <v>-6.5354731853384322</v>
      </c>
    </row>
    <row r="36" spans="1:8" ht="12.75" customHeight="1" x14ac:dyDescent="0.2">
      <c r="A36" s="186"/>
      <c r="B36" s="118" t="s">
        <v>240</v>
      </c>
      <c r="C36" s="82" t="s">
        <v>240</v>
      </c>
      <c r="D36" s="82" t="s">
        <v>240</v>
      </c>
      <c r="E36" s="82" t="s">
        <v>240</v>
      </c>
      <c r="F36" s="27"/>
      <c r="G36" s="119" t="s">
        <v>240</v>
      </c>
      <c r="H36" s="120" t="s">
        <v>240</v>
      </c>
    </row>
    <row r="37" spans="1:8" x14ac:dyDescent="0.2">
      <c r="A37" s="121" t="s">
        <v>194</v>
      </c>
      <c r="B37" s="122" t="s">
        <v>3</v>
      </c>
      <c r="C37" s="80">
        <v>863.05560912347414</v>
      </c>
      <c r="D37" s="80">
        <v>975.05598335973025</v>
      </c>
      <c r="E37" s="80">
        <v>867.22268743042514</v>
      </c>
      <c r="F37" s="22" t="s">
        <v>240</v>
      </c>
      <c r="G37" s="123">
        <v>0.48282848322868688</v>
      </c>
      <c r="H37" s="124">
        <v>-11.059190217749972</v>
      </c>
    </row>
    <row r="38" spans="1:8" x14ac:dyDescent="0.2">
      <c r="A38" s="125"/>
      <c r="B38" s="118" t="s">
        <v>240</v>
      </c>
      <c r="C38" s="82" t="s">
        <v>240</v>
      </c>
      <c r="D38" s="82" t="s">
        <v>240</v>
      </c>
      <c r="E38" s="82" t="s">
        <v>240</v>
      </c>
      <c r="F38" s="27"/>
      <c r="G38" s="126" t="s">
        <v>240</v>
      </c>
      <c r="H38" s="120" t="s">
        <v>240</v>
      </c>
    </row>
    <row r="39" spans="1:8" x14ac:dyDescent="0.2">
      <c r="A39" s="121" t="s">
        <v>195</v>
      </c>
      <c r="B39" s="122" t="s">
        <v>3</v>
      </c>
      <c r="C39" s="80">
        <v>121.5662117554343</v>
      </c>
      <c r="D39" s="80">
        <v>177.36069236121625</v>
      </c>
      <c r="E39" s="80">
        <v>221.85795067380315</v>
      </c>
      <c r="F39" s="22" t="s">
        <v>240</v>
      </c>
      <c r="G39" s="127">
        <v>82.499682658644304</v>
      </c>
      <c r="H39" s="124">
        <v>25.088568227937969</v>
      </c>
    </row>
    <row r="40" spans="1:8" x14ac:dyDescent="0.2">
      <c r="A40" s="125"/>
      <c r="B40" s="118" t="s">
        <v>240</v>
      </c>
      <c r="C40" s="82" t="s">
        <v>240</v>
      </c>
      <c r="D40" s="82" t="s">
        <v>240</v>
      </c>
      <c r="E40" s="82" t="s">
        <v>240</v>
      </c>
      <c r="F40" s="27"/>
      <c r="G40" s="119" t="s">
        <v>240</v>
      </c>
      <c r="H40" s="120" t="s">
        <v>240</v>
      </c>
    </row>
    <row r="41" spans="1:8" x14ac:dyDescent="0.2">
      <c r="A41" s="121" t="s">
        <v>228</v>
      </c>
      <c r="B41" s="122" t="s">
        <v>3</v>
      </c>
      <c r="C41" s="80">
        <v>259.88181809067305</v>
      </c>
      <c r="D41" s="80">
        <v>292.86950133351365</v>
      </c>
      <c r="E41" s="80">
        <v>311.10287318937685</v>
      </c>
      <c r="F41" s="22" t="s">
        <v>240</v>
      </c>
      <c r="G41" s="116">
        <v>19.709364616201313</v>
      </c>
      <c r="H41" s="117">
        <v>6.2257666888637146</v>
      </c>
    </row>
    <row r="42" spans="1:8" x14ac:dyDescent="0.2">
      <c r="A42" s="125"/>
      <c r="B42" s="118" t="s">
        <v>240</v>
      </c>
      <c r="C42" s="82" t="s">
        <v>240</v>
      </c>
      <c r="D42" s="82" t="s">
        <v>240</v>
      </c>
      <c r="E42" s="82" t="s">
        <v>240</v>
      </c>
      <c r="F42" s="27"/>
      <c r="G42" s="128" t="s">
        <v>240</v>
      </c>
      <c r="H42" s="117" t="s">
        <v>240</v>
      </c>
    </row>
    <row r="43" spans="1:8" x14ac:dyDescent="0.2">
      <c r="A43" s="121" t="s">
        <v>196</v>
      </c>
      <c r="B43" s="122" t="s">
        <v>3</v>
      </c>
      <c r="C43" s="80">
        <v>71.710858376738798</v>
      </c>
      <c r="D43" s="80">
        <v>86.419016282297378</v>
      </c>
      <c r="E43" s="80">
        <v>76.636327025573678</v>
      </c>
      <c r="F43" s="22" t="s">
        <v>240</v>
      </c>
      <c r="G43" s="127">
        <v>6.868511631751133</v>
      </c>
      <c r="H43" s="124">
        <v>-11.320065510543941</v>
      </c>
    </row>
    <row r="44" spans="1:8" x14ac:dyDescent="0.2">
      <c r="A44" s="125"/>
      <c r="B44" s="118" t="s">
        <v>240</v>
      </c>
      <c r="C44" s="82" t="s">
        <v>240</v>
      </c>
      <c r="D44" s="82" t="s">
        <v>240</v>
      </c>
      <c r="E44" s="82" t="s">
        <v>240</v>
      </c>
      <c r="F44" s="27"/>
      <c r="G44" s="119" t="s">
        <v>240</v>
      </c>
      <c r="H44" s="120" t="s">
        <v>240</v>
      </c>
    </row>
    <row r="45" spans="1:8" x14ac:dyDescent="0.2">
      <c r="A45" s="121" t="s">
        <v>197</v>
      </c>
      <c r="B45" s="122" t="s">
        <v>3</v>
      </c>
      <c r="C45" s="80">
        <v>27.703010589347755</v>
      </c>
      <c r="D45" s="80">
        <v>28.25942119445947</v>
      </c>
      <c r="E45" s="80">
        <v>27.45152200911474</v>
      </c>
      <c r="F45" s="22" t="s">
        <v>240</v>
      </c>
      <c r="G45" s="127">
        <v>-0.90780234668687854</v>
      </c>
      <c r="H45" s="124">
        <v>-2.8588667113363471</v>
      </c>
    </row>
    <row r="46" spans="1:8" x14ac:dyDescent="0.2">
      <c r="A46" s="121"/>
      <c r="B46" s="118" t="s">
        <v>240</v>
      </c>
      <c r="C46" s="82" t="s">
        <v>240</v>
      </c>
      <c r="D46" s="82" t="s">
        <v>240</v>
      </c>
      <c r="E46" s="82" t="s">
        <v>240</v>
      </c>
      <c r="F46" s="27"/>
      <c r="G46" s="119" t="s">
        <v>240</v>
      </c>
      <c r="H46" s="120" t="s">
        <v>240</v>
      </c>
    </row>
    <row r="47" spans="1:8" x14ac:dyDescent="0.2">
      <c r="A47" s="129" t="s">
        <v>198</v>
      </c>
      <c r="B47" s="122" t="s">
        <v>3</v>
      </c>
      <c r="C47" s="80">
        <v>13.782414659347754</v>
      </c>
      <c r="D47" s="80">
        <v>17.870146194459469</v>
      </c>
      <c r="E47" s="80">
        <v>17.408942229114736</v>
      </c>
      <c r="F47" s="22" t="s">
        <v>240</v>
      </c>
      <c r="G47" s="116">
        <v>26.312715582877445</v>
      </c>
      <c r="H47" s="117">
        <v>-2.5808628554349866</v>
      </c>
    </row>
    <row r="48" spans="1:8" x14ac:dyDescent="0.2">
      <c r="A48" s="125"/>
      <c r="B48" s="118" t="s">
        <v>240</v>
      </c>
      <c r="C48" s="82" t="s">
        <v>240</v>
      </c>
      <c r="D48" s="82" t="s">
        <v>240</v>
      </c>
      <c r="E48" s="82" t="s">
        <v>240</v>
      </c>
      <c r="F48" s="27"/>
      <c r="G48" s="128" t="s">
        <v>240</v>
      </c>
      <c r="H48" s="117" t="s">
        <v>240</v>
      </c>
    </row>
    <row r="49" spans="1:9" x14ac:dyDescent="0.2">
      <c r="A49" s="129" t="s">
        <v>199</v>
      </c>
      <c r="B49" s="122" t="s">
        <v>3</v>
      </c>
      <c r="C49" s="80">
        <v>13.016409659347756</v>
      </c>
      <c r="D49" s="80">
        <v>15.000097194459471</v>
      </c>
      <c r="E49" s="80">
        <v>12.076804229114737</v>
      </c>
      <c r="F49" s="22" t="s">
        <v>240</v>
      </c>
      <c r="G49" s="127">
        <v>-7.2186221456101691</v>
      </c>
      <c r="H49" s="124">
        <v>-19.488493490725517</v>
      </c>
    </row>
    <row r="50" spans="1:9" x14ac:dyDescent="0.2">
      <c r="A50" s="125"/>
      <c r="B50" s="118" t="s">
        <v>240</v>
      </c>
      <c r="C50" s="82" t="s">
        <v>240</v>
      </c>
      <c r="D50" s="82" t="s">
        <v>240</v>
      </c>
      <c r="E50" s="82" t="s">
        <v>240</v>
      </c>
      <c r="F50" s="27"/>
      <c r="G50" s="119" t="s">
        <v>240</v>
      </c>
      <c r="H50" s="120" t="s">
        <v>240</v>
      </c>
    </row>
    <row r="51" spans="1:9" x14ac:dyDescent="0.2">
      <c r="A51" s="129" t="s">
        <v>200</v>
      </c>
      <c r="B51" s="122" t="s">
        <v>3</v>
      </c>
      <c r="C51" s="80">
        <v>171.73617129673877</v>
      </c>
      <c r="D51" s="80">
        <v>212.43769997229737</v>
      </c>
      <c r="E51" s="80">
        <v>187.89631114557369</v>
      </c>
      <c r="F51" s="22" t="s">
        <v>240</v>
      </c>
      <c r="G51" s="127">
        <v>9.4098638200756284</v>
      </c>
      <c r="H51" s="124">
        <v>-11.552275716562534</v>
      </c>
    </row>
    <row r="52" spans="1:9" x14ac:dyDescent="0.2">
      <c r="A52" s="125"/>
      <c r="B52" s="118" t="s">
        <v>240</v>
      </c>
      <c r="C52" s="82" t="s">
        <v>240</v>
      </c>
      <c r="D52" s="82" t="s">
        <v>240</v>
      </c>
      <c r="E52" s="82" t="s">
        <v>240</v>
      </c>
      <c r="F52" s="27"/>
      <c r="G52" s="119" t="s">
        <v>240</v>
      </c>
      <c r="H52" s="120" t="s">
        <v>240</v>
      </c>
    </row>
    <row r="53" spans="1:9" x14ac:dyDescent="0.2">
      <c r="A53" s="121" t="s">
        <v>24</v>
      </c>
      <c r="B53" s="122" t="s">
        <v>3</v>
      </c>
      <c r="C53" s="80">
        <v>392.05449791217302</v>
      </c>
      <c r="D53" s="80">
        <v>347.46677183351363</v>
      </c>
      <c r="E53" s="80">
        <v>290.39421014937687</v>
      </c>
      <c r="F53" s="22" t="s">
        <v>240</v>
      </c>
      <c r="G53" s="116">
        <v>-25.930141932862057</v>
      </c>
      <c r="H53" s="117">
        <v>-16.425329358250892</v>
      </c>
      <c r="I53" s="130"/>
    </row>
    <row r="54" spans="1:9" ht="13.5" thickBot="1" x14ac:dyDescent="0.25">
      <c r="A54" s="131"/>
      <c r="B54" s="132" t="s">
        <v>240</v>
      </c>
      <c r="C54" s="86" t="s">
        <v>240</v>
      </c>
      <c r="D54" s="86" t="s">
        <v>240</v>
      </c>
      <c r="E54" s="86" t="s">
        <v>240</v>
      </c>
      <c r="F54" s="44"/>
      <c r="G54" s="133" t="s">
        <v>240</v>
      </c>
      <c r="H54" s="134" t="s">
        <v>240</v>
      </c>
      <c r="I54" s="130"/>
    </row>
    <row r="55" spans="1:9" x14ac:dyDescent="0.2">
      <c r="A55" s="137"/>
      <c r="B55" s="138"/>
      <c r="C55" s="21"/>
      <c r="D55" s="21"/>
      <c r="E55" s="21"/>
      <c r="F55" s="63"/>
      <c r="G55" s="128"/>
      <c r="H55" s="136"/>
      <c r="I55" s="130"/>
    </row>
    <row r="56" spans="1:9" x14ac:dyDescent="0.2">
      <c r="A56" s="137"/>
      <c r="B56" s="138"/>
      <c r="C56" s="21"/>
      <c r="D56" s="21"/>
      <c r="E56" s="21"/>
      <c r="F56" s="63"/>
      <c r="G56" s="128"/>
      <c r="H56" s="136"/>
      <c r="I56" s="130"/>
    </row>
    <row r="57" spans="1:9" x14ac:dyDescent="0.2">
      <c r="A57" s="137"/>
      <c r="B57" s="138"/>
      <c r="C57" s="21"/>
      <c r="D57" s="21"/>
      <c r="E57" s="21"/>
      <c r="F57" s="63"/>
      <c r="G57" s="128"/>
      <c r="H57" s="136"/>
      <c r="I57" s="130"/>
    </row>
    <row r="58" spans="1:9" x14ac:dyDescent="0.2">
      <c r="A58" s="137"/>
      <c r="B58" s="138"/>
      <c r="C58" s="21"/>
      <c r="D58" s="21"/>
      <c r="E58" s="21"/>
      <c r="F58" s="63"/>
      <c r="G58" s="128"/>
      <c r="H58" s="136"/>
      <c r="I58" s="130"/>
    </row>
    <row r="59" spans="1:9" x14ac:dyDescent="0.2">
      <c r="A59" s="139"/>
      <c r="B59" s="140"/>
      <c r="C59" s="49"/>
      <c r="D59" s="49"/>
      <c r="E59" s="49"/>
      <c r="F59" s="49"/>
      <c r="G59" s="141"/>
      <c r="H59" s="142"/>
      <c r="I59" s="130"/>
    </row>
    <row r="60" spans="1:9" x14ac:dyDescent="0.2">
      <c r="A60" s="143"/>
      <c r="B60" s="143"/>
      <c r="C60" s="143"/>
      <c r="D60" s="143"/>
      <c r="E60" s="143"/>
      <c r="F60" s="143"/>
      <c r="G60" s="143"/>
      <c r="H60" s="143"/>
    </row>
    <row r="61" spans="1:9" ht="12.75" customHeight="1" x14ac:dyDescent="0.2">
      <c r="A61" s="144" t="s">
        <v>241</v>
      </c>
      <c r="G61" s="145"/>
      <c r="H61" s="181">
        <v>21</v>
      </c>
    </row>
    <row r="62" spans="1:9" ht="12.75" customHeight="1" x14ac:dyDescent="0.2">
      <c r="A62" s="144" t="s">
        <v>242</v>
      </c>
      <c r="G62" s="145"/>
      <c r="H62" s="182"/>
    </row>
    <row r="67" ht="12.75" customHeight="1" x14ac:dyDescent="0.2"/>
    <row r="68" ht="12.75" customHeight="1" x14ac:dyDescent="0.2"/>
  </sheetData>
  <mergeCells count="6">
    <mergeCell ref="H61:H62"/>
    <mergeCell ref="G5:H5"/>
    <mergeCell ref="A7:A8"/>
    <mergeCell ref="C33:F33"/>
    <mergeCell ref="G33:H33"/>
    <mergeCell ref="A35:A36"/>
  </mergeCells>
  <hyperlinks>
    <hyperlink ref="A2" location="Innhold!A66" display="Tilbake til innholdsfortegnelsen" xr:uid="{00000000-0004-0000-10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8"/>
  <sheetViews>
    <sheetView showGridLines="0" showRowColHeaders="0" zoomScaleNormal="100" workbookViewId="0"/>
  </sheetViews>
  <sheetFormatPr defaultColWidth="11.42578125" defaultRowHeight="12.75" x14ac:dyDescent="0.2"/>
  <cols>
    <col min="1" max="1" width="26.42578125" style="98" customWidth="1"/>
    <col min="2" max="2" width="8.140625" style="98" customWidth="1"/>
    <col min="3" max="4" width="10.42578125" style="98" customWidth="1"/>
    <col min="5" max="5" width="9.85546875" style="98" customWidth="1"/>
    <col min="6" max="6" width="1.5703125" style="98" customWidth="1"/>
    <col min="7" max="7" width="7.5703125" style="98" customWidth="1"/>
    <col min="8" max="8" width="8.85546875" style="98" customWidth="1"/>
    <col min="9" max="16384" width="11.42578125" style="98"/>
  </cols>
  <sheetData>
    <row r="1" spans="1:8" ht="5.25" customHeight="1" x14ac:dyDescent="0.2"/>
    <row r="2" spans="1:8" x14ac:dyDescent="0.2">
      <c r="A2" s="92" t="s">
        <v>0</v>
      </c>
      <c r="B2" s="99"/>
      <c r="C2" s="99"/>
      <c r="D2" s="99"/>
      <c r="E2" s="99"/>
      <c r="F2" s="99"/>
      <c r="G2" s="99"/>
    </row>
    <row r="3" spans="1:8" ht="6" customHeight="1" x14ac:dyDescent="0.2">
      <c r="A3" s="3"/>
      <c r="B3" s="99"/>
      <c r="C3" s="99"/>
      <c r="D3" s="99"/>
      <c r="E3" s="99"/>
      <c r="F3" s="99"/>
      <c r="G3" s="99"/>
    </row>
    <row r="4" spans="1:8" ht="16.5" thickBot="1" x14ac:dyDescent="0.3">
      <c r="A4" s="100" t="s">
        <v>214</v>
      </c>
      <c r="B4" s="101"/>
      <c r="C4" s="101"/>
      <c r="D4" s="101"/>
      <c r="E4" s="101"/>
      <c r="F4" s="101"/>
      <c r="G4" s="101"/>
      <c r="H4" s="102"/>
    </row>
    <row r="5" spans="1:8" x14ac:dyDescent="0.2">
      <c r="A5" s="103"/>
      <c r="B5" s="104"/>
      <c r="C5" s="105"/>
      <c r="D5" s="104"/>
      <c r="E5" s="106"/>
      <c r="F5" s="107"/>
      <c r="G5" s="183" t="s">
        <v>1</v>
      </c>
      <c r="H5" s="184"/>
    </row>
    <row r="6" spans="1:8" x14ac:dyDescent="0.2">
      <c r="A6" s="108"/>
      <c r="B6" s="109"/>
      <c r="C6" s="110" t="s">
        <v>235</v>
      </c>
      <c r="D6" s="111" t="s">
        <v>236</v>
      </c>
      <c r="E6" s="111" t="s">
        <v>237</v>
      </c>
      <c r="F6" s="112"/>
      <c r="G6" s="113" t="s">
        <v>238</v>
      </c>
      <c r="H6" s="114" t="s">
        <v>239</v>
      </c>
    </row>
    <row r="7" spans="1:8" ht="12.75" customHeight="1" x14ac:dyDescent="0.2">
      <c r="A7" s="185" t="s">
        <v>201</v>
      </c>
      <c r="B7" s="115" t="s">
        <v>3</v>
      </c>
      <c r="C7" s="20">
        <v>1922</v>
      </c>
      <c r="D7" s="20">
        <v>2198</v>
      </c>
      <c r="E7" s="79">
        <v>2455</v>
      </c>
      <c r="F7" s="22" t="s">
        <v>240</v>
      </c>
      <c r="G7" s="116">
        <v>27.731529656607705</v>
      </c>
      <c r="H7" s="117">
        <v>11.692447679708835</v>
      </c>
    </row>
    <row r="8" spans="1:8" ht="12.75" customHeight="1" x14ac:dyDescent="0.2">
      <c r="A8" s="186"/>
      <c r="B8" s="118" t="s">
        <v>240</v>
      </c>
      <c r="C8" s="26" t="s">
        <v>240</v>
      </c>
      <c r="D8" s="26" t="s">
        <v>240</v>
      </c>
      <c r="E8" s="26" t="s">
        <v>240</v>
      </c>
      <c r="F8" s="27"/>
      <c r="G8" s="119" t="s">
        <v>240</v>
      </c>
      <c r="H8" s="120" t="s">
        <v>240</v>
      </c>
    </row>
    <row r="9" spans="1:8" x14ac:dyDescent="0.2">
      <c r="A9" s="121" t="s">
        <v>202</v>
      </c>
      <c r="B9" s="122" t="s">
        <v>3</v>
      </c>
      <c r="C9" s="20">
        <v>584</v>
      </c>
      <c r="D9" s="20">
        <v>608</v>
      </c>
      <c r="E9" s="20">
        <v>680</v>
      </c>
      <c r="F9" s="22" t="s">
        <v>240</v>
      </c>
      <c r="G9" s="123">
        <v>16.438356164383563</v>
      </c>
      <c r="H9" s="124">
        <v>11.842105263157904</v>
      </c>
    </row>
    <row r="10" spans="1:8" x14ac:dyDescent="0.2">
      <c r="A10" s="125"/>
      <c r="B10" s="118" t="s">
        <v>240</v>
      </c>
      <c r="C10" s="26" t="s">
        <v>240</v>
      </c>
      <c r="D10" s="26" t="s">
        <v>240</v>
      </c>
      <c r="E10" s="26" t="s">
        <v>240</v>
      </c>
      <c r="F10" s="27"/>
      <c r="G10" s="126" t="s">
        <v>240</v>
      </c>
      <c r="H10" s="120" t="s">
        <v>240</v>
      </c>
    </row>
    <row r="11" spans="1:8" x14ac:dyDescent="0.2">
      <c r="A11" s="121" t="s">
        <v>203</v>
      </c>
      <c r="B11" s="122" t="s">
        <v>3</v>
      </c>
      <c r="C11" s="20">
        <v>174</v>
      </c>
      <c r="D11" s="20">
        <v>162</v>
      </c>
      <c r="E11" s="20">
        <v>186</v>
      </c>
      <c r="F11" s="22" t="s">
        <v>240</v>
      </c>
      <c r="G11" s="127">
        <v>6.8965517241379217</v>
      </c>
      <c r="H11" s="124">
        <v>14.81481481481481</v>
      </c>
    </row>
    <row r="12" spans="1:8" x14ac:dyDescent="0.2">
      <c r="A12" s="125"/>
      <c r="B12" s="118" t="s">
        <v>240</v>
      </c>
      <c r="C12" s="26" t="s">
        <v>240</v>
      </c>
      <c r="D12" s="26" t="s">
        <v>240</v>
      </c>
      <c r="E12" s="26" t="s">
        <v>240</v>
      </c>
      <c r="F12" s="27"/>
      <c r="G12" s="119" t="s">
        <v>240</v>
      </c>
      <c r="H12" s="120" t="s">
        <v>240</v>
      </c>
    </row>
    <row r="13" spans="1:8" x14ac:dyDescent="0.2">
      <c r="A13" s="121" t="s">
        <v>204</v>
      </c>
      <c r="B13" s="122" t="s">
        <v>3</v>
      </c>
      <c r="C13" s="20">
        <v>91</v>
      </c>
      <c r="D13" s="20">
        <v>82</v>
      </c>
      <c r="E13" s="20">
        <v>88</v>
      </c>
      <c r="F13" s="22" t="s">
        <v>240</v>
      </c>
      <c r="G13" s="116">
        <v>-3.2967032967032992</v>
      </c>
      <c r="H13" s="117">
        <v>7.3170731707317174</v>
      </c>
    </row>
    <row r="14" spans="1:8" x14ac:dyDescent="0.2">
      <c r="A14" s="125"/>
      <c r="B14" s="118" t="s">
        <v>240</v>
      </c>
      <c r="C14" s="26" t="s">
        <v>240</v>
      </c>
      <c r="D14" s="26" t="s">
        <v>240</v>
      </c>
      <c r="E14" s="26" t="s">
        <v>240</v>
      </c>
      <c r="F14" s="27"/>
      <c r="G14" s="128" t="s">
        <v>240</v>
      </c>
      <c r="H14" s="117" t="s">
        <v>240</v>
      </c>
    </row>
    <row r="15" spans="1:8" x14ac:dyDescent="0.2">
      <c r="A15" s="121" t="s">
        <v>205</v>
      </c>
      <c r="B15" s="122" t="s">
        <v>3</v>
      </c>
      <c r="C15" s="20">
        <v>9</v>
      </c>
      <c r="D15" s="20">
        <v>15</v>
      </c>
      <c r="E15" s="20">
        <v>16</v>
      </c>
      <c r="F15" s="22" t="s">
        <v>240</v>
      </c>
      <c r="G15" s="127">
        <v>77.777777777777771</v>
      </c>
      <c r="H15" s="124">
        <v>6.6666666666666714</v>
      </c>
    </row>
    <row r="16" spans="1:8" x14ac:dyDescent="0.2">
      <c r="A16" s="125"/>
      <c r="B16" s="118" t="s">
        <v>240</v>
      </c>
      <c r="C16" s="26" t="s">
        <v>240</v>
      </c>
      <c r="D16" s="26" t="s">
        <v>240</v>
      </c>
      <c r="E16" s="26" t="s">
        <v>240</v>
      </c>
      <c r="F16" s="27"/>
      <c r="G16" s="119" t="s">
        <v>240</v>
      </c>
      <c r="H16" s="120" t="s">
        <v>240</v>
      </c>
    </row>
    <row r="17" spans="1:9" x14ac:dyDescent="0.2">
      <c r="A17" s="121" t="s">
        <v>206</v>
      </c>
      <c r="B17" s="122" t="s">
        <v>3</v>
      </c>
      <c r="C17" s="20">
        <v>86</v>
      </c>
      <c r="D17" s="20">
        <v>94</v>
      </c>
      <c r="E17" s="20">
        <v>96</v>
      </c>
      <c r="F17" s="22" t="s">
        <v>240</v>
      </c>
      <c r="G17" s="127">
        <v>11.627906976744185</v>
      </c>
      <c r="H17" s="124">
        <v>2.1276595744680833</v>
      </c>
    </row>
    <row r="18" spans="1:9" x14ac:dyDescent="0.2">
      <c r="A18" s="125"/>
      <c r="B18" s="118" t="s">
        <v>240</v>
      </c>
      <c r="C18" s="26" t="s">
        <v>240</v>
      </c>
      <c r="D18" s="26" t="s">
        <v>240</v>
      </c>
      <c r="E18" s="26" t="s">
        <v>240</v>
      </c>
      <c r="F18" s="27"/>
      <c r="G18" s="119" t="s">
        <v>240</v>
      </c>
      <c r="H18" s="120" t="s">
        <v>240</v>
      </c>
    </row>
    <row r="19" spans="1:9" x14ac:dyDescent="0.2">
      <c r="A19" s="121" t="s">
        <v>207</v>
      </c>
      <c r="B19" s="122" t="s">
        <v>3</v>
      </c>
      <c r="C19" s="20">
        <v>985</v>
      </c>
      <c r="D19" s="20">
        <v>1241</v>
      </c>
      <c r="E19" s="20">
        <v>1392</v>
      </c>
      <c r="F19" s="22" t="s">
        <v>240</v>
      </c>
      <c r="G19" s="116">
        <v>41.319796954314711</v>
      </c>
      <c r="H19" s="117">
        <v>12.167606768734899</v>
      </c>
    </row>
    <row r="20" spans="1:9" ht="13.5" thickBot="1" x14ac:dyDescent="0.25">
      <c r="A20" s="131"/>
      <c r="B20" s="132" t="s">
        <v>240</v>
      </c>
      <c r="C20" s="43" t="s">
        <v>240</v>
      </c>
      <c r="D20" s="43" t="s">
        <v>240</v>
      </c>
      <c r="E20" s="43" t="s">
        <v>240</v>
      </c>
      <c r="F20" s="44"/>
      <c r="G20" s="133" t="s">
        <v>240</v>
      </c>
      <c r="H20" s="134" t="s">
        <v>240</v>
      </c>
    </row>
    <row r="25" spans="1:9" x14ac:dyDescent="0.2">
      <c r="I25" s="130"/>
    </row>
    <row r="26" spans="1:9" x14ac:dyDescent="0.2">
      <c r="I26" s="130"/>
    </row>
    <row r="27" spans="1:9" x14ac:dyDescent="0.2">
      <c r="A27" s="135"/>
      <c r="B27" s="135"/>
      <c r="C27" s="64"/>
      <c r="D27" s="64"/>
      <c r="E27" s="21"/>
      <c r="F27" s="59"/>
      <c r="G27" s="128"/>
      <c r="H27" s="136"/>
      <c r="I27" s="130"/>
    </row>
    <row r="28" spans="1:9" x14ac:dyDescent="0.2">
      <c r="A28" s="135"/>
      <c r="B28" s="135"/>
      <c r="C28" s="64"/>
      <c r="D28" s="64"/>
      <c r="E28" s="21"/>
      <c r="F28" s="59"/>
      <c r="G28" s="128"/>
      <c r="H28" s="136"/>
      <c r="I28" s="130"/>
    </row>
    <row r="29" spans="1:9" x14ac:dyDescent="0.2">
      <c r="A29" s="135"/>
      <c r="B29" s="135"/>
      <c r="C29" s="64"/>
      <c r="D29" s="64"/>
      <c r="E29" s="21"/>
      <c r="F29" s="59"/>
      <c r="G29" s="128"/>
      <c r="H29" s="136"/>
      <c r="I29" s="130"/>
    </row>
    <row r="30" spans="1:9" x14ac:dyDescent="0.2">
      <c r="A30" s="137"/>
      <c r="B30" s="138"/>
      <c r="C30" s="21"/>
      <c r="D30" s="21"/>
      <c r="E30" s="21"/>
      <c r="F30" s="63"/>
      <c r="G30" s="128"/>
      <c r="H30" s="136"/>
      <c r="I30" s="130"/>
    </row>
    <row r="31" spans="1:9" x14ac:dyDescent="0.2">
      <c r="A31" s="139"/>
      <c r="B31" s="140"/>
      <c r="C31" s="49"/>
      <c r="D31" s="55"/>
      <c r="E31" s="49"/>
      <c r="F31" s="49"/>
      <c r="G31" s="141"/>
      <c r="H31" s="142"/>
      <c r="I31" s="130"/>
    </row>
    <row r="32" spans="1:9" ht="16.5" thickBot="1" x14ac:dyDescent="0.3">
      <c r="A32" s="100" t="s">
        <v>215</v>
      </c>
      <c r="B32" s="101"/>
      <c r="C32" s="101"/>
      <c r="D32" s="101"/>
      <c r="E32" s="101"/>
      <c r="F32" s="101"/>
      <c r="G32" s="101"/>
      <c r="H32" s="102"/>
    </row>
    <row r="33" spans="1:8" x14ac:dyDescent="0.2">
      <c r="A33" s="103"/>
      <c r="B33" s="104"/>
      <c r="C33" s="187" t="s">
        <v>16</v>
      </c>
      <c r="D33" s="183"/>
      <c r="E33" s="183"/>
      <c r="F33" s="188"/>
      <c r="G33" s="183" t="s">
        <v>1</v>
      </c>
      <c r="H33" s="184"/>
    </row>
    <row r="34" spans="1:8" x14ac:dyDescent="0.2">
      <c r="A34" s="108"/>
      <c r="B34" s="109"/>
      <c r="C34" s="110" t="s">
        <v>235</v>
      </c>
      <c r="D34" s="111" t="s">
        <v>236</v>
      </c>
      <c r="E34" s="111" t="s">
        <v>237</v>
      </c>
      <c r="F34" s="112"/>
      <c r="G34" s="113" t="s">
        <v>238</v>
      </c>
      <c r="H34" s="114" t="s">
        <v>239</v>
      </c>
    </row>
    <row r="35" spans="1:8" ht="12.75" customHeight="1" x14ac:dyDescent="0.2">
      <c r="A35" s="185" t="s">
        <v>201</v>
      </c>
      <c r="B35" s="115" t="s">
        <v>3</v>
      </c>
      <c r="C35" s="80">
        <v>604.64367061974212</v>
      </c>
      <c r="D35" s="80">
        <v>653.27095088339615</v>
      </c>
      <c r="E35" s="81">
        <v>853.09178278892455</v>
      </c>
      <c r="F35" s="22" t="s">
        <v>240</v>
      </c>
      <c r="G35" s="116">
        <v>41.090004616194932</v>
      </c>
      <c r="H35" s="117">
        <v>30.587741829836062</v>
      </c>
    </row>
    <row r="36" spans="1:8" ht="12.75" customHeight="1" x14ac:dyDescent="0.2">
      <c r="A36" s="186"/>
      <c r="B36" s="118" t="s">
        <v>240</v>
      </c>
      <c r="C36" s="82" t="s">
        <v>240</v>
      </c>
      <c r="D36" s="82" t="s">
        <v>240</v>
      </c>
      <c r="E36" s="82" t="s">
        <v>240</v>
      </c>
      <c r="F36" s="27"/>
      <c r="G36" s="119" t="s">
        <v>240</v>
      </c>
      <c r="H36" s="120" t="s">
        <v>240</v>
      </c>
    </row>
    <row r="37" spans="1:8" x14ac:dyDescent="0.2">
      <c r="A37" s="121" t="s">
        <v>202</v>
      </c>
      <c r="B37" s="122" t="s">
        <v>3</v>
      </c>
      <c r="C37" s="80">
        <v>308.46656184659793</v>
      </c>
      <c r="D37" s="80">
        <v>310.56113145390179</v>
      </c>
      <c r="E37" s="80">
        <v>430.04599200339771</v>
      </c>
      <c r="F37" s="22" t="s">
        <v>240</v>
      </c>
      <c r="G37" s="123">
        <v>39.414135985754569</v>
      </c>
      <c r="H37" s="124">
        <v>38.473861809468474</v>
      </c>
    </row>
    <row r="38" spans="1:8" x14ac:dyDescent="0.2">
      <c r="A38" s="125"/>
      <c r="B38" s="118" t="s">
        <v>240</v>
      </c>
      <c r="C38" s="82" t="s">
        <v>240</v>
      </c>
      <c r="D38" s="82" t="s">
        <v>240</v>
      </c>
      <c r="E38" s="82" t="s">
        <v>240</v>
      </c>
      <c r="F38" s="27"/>
      <c r="G38" s="126" t="s">
        <v>240</v>
      </c>
      <c r="H38" s="120" t="s">
        <v>240</v>
      </c>
    </row>
    <row r="39" spans="1:8" x14ac:dyDescent="0.2">
      <c r="A39" s="121" t="s">
        <v>203</v>
      </c>
      <c r="B39" s="122" t="s">
        <v>3</v>
      </c>
      <c r="C39" s="80">
        <v>88.260294782787156</v>
      </c>
      <c r="D39" s="80">
        <v>70.107496227077348</v>
      </c>
      <c r="E39" s="80">
        <v>108.78672946531714</v>
      </c>
      <c r="F39" s="22" t="s">
        <v>240</v>
      </c>
      <c r="G39" s="127">
        <v>23.256703065683752</v>
      </c>
      <c r="H39" s="124">
        <v>55.17132306787596</v>
      </c>
    </row>
    <row r="40" spans="1:8" x14ac:dyDescent="0.2">
      <c r="A40" s="125"/>
      <c r="B40" s="118" t="s">
        <v>240</v>
      </c>
      <c r="C40" s="82" t="s">
        <v>240</v>
      </c>
      <c r="D40" s="82" t="s">
        <v>240</v>
      </c>
      <c r="E40" s="82" t="s">
        <v>240</v>
      </c>
      <c r="F40" s="27"/>
      <c r="G40" s="119" t="s">
        <v>240</v>
      </c>
      <c r="H40" s="120" t="s">
        <v>240</v>
      </c>
    </row>
    <row r="41" spans="1:8" x14ac:dyDescent="0.2">
      <c r="A41" s="121" t="s">
        <v>204</v>
      </c>
      <c r="B41" s="122" t="s">
        <v>3</v>
      </c>
      <c r="C41" s="80">
        <v>37.832628796081941</v>
      </c>
      <c r="D41" s="80">
        <v>33.731899111737732</v>
      </c>
      <c r="E41" s="80">
        <v>49.515810250424707</v>
      </c>
      <c r="F41" s="22" t="s">
        <v>240</v>
      </c>
      <c r="G41" s="116">
        <v>30.881230900752797</v>
      </c>
      <c r="H41" s="117">
        <v>46.792239851075067</v>
      </c>
    </row>
    <row r="42" spans="1:8" x14ac:dyDescent="0.2">
      <c r="A42" s="125"/>
      <c r="B42" s="118" t="s">
        <v>240</v>
      </c>
      <c r="C42" s="82" t="s">
        <v>240</v>
      </c>
      <c r="D42" s="82" t="s">
        <v>240</v>
      </c>
      <c r="E42" s="82" t="s">
        <v>240</v>
      </c>
      <c r="F42" s="27"/>
      <c r="G42" s="128" t="s">
        <v>240</v>
      </c>
      <c r="H42" s="117" t="s">
        <v>240</v>
      </c>
    </row>
    <row r="43" spans="1:8" x14ac:dyDescent="0.2">
      <c r="A43" s="121" t="s">
        <v>205</v>
      </c>
      <c r="B43" s="122" t="s">
        <v>3</v>
      </c>
      <c r="C43" s="80">
        <v>5.5139225422974212</v>
      </c>
      <c r="D43" s="80">
        <v>4.9612889545339609</v>
      </c>
      <c r="E43" s="80">
        <v>5.7728773214892435</v>
      </c>
      <c r="F43" s="22" t="s">
        <v>240</v>
      </c>
      <c r="G43" s="127">
        <v>4.6963804298187881</v>
      </c>
      <c r="H43" s="124">
        <v>16.358417628822025</v>
      </c>
    </row>
    <row r="44" spans="1:8" x14ac:dyDescent="0.2">
      <c r="A44" s="125"/>
      <c r="B44" s="118" t="s">
        <v>240</v>
      </c>
      <c r="C44" s="82" t="s">
        <v>240</v>
      </c>
      <c r="D44" s="82" t="s">
        <v>240</v>
      </c>
      <c r="E44" s="82" t="s">
        <v>240</v>
      </c>
      <c r="F44" s="27"/>
      <c r="G44" s="119" t="s">
        <v>240</v>
      </c>
      <c r="H44" s="120" t="s">
        <v>240</v>
      </c>
    </row>
    <row r="45" spans="1:8" x14ac:dyDescent="0.2">
      <c r="A45" s="121" t="s">
        <v>206</v>
      </c>
      <c r="B45" s="122" t="s">
        <v>3</v>
      </c>
      <c r="C45" s="80">
        <v>37.334640711487104</v>
      </c>
      <c r="D45" s="80">
        <v>43.872952772669805</v>
      </c>
      <c r="E45" s="80">
        <v>51.342669607446226</v>
      </c>
      <c r="F45" s="22" t="s">
        <v>240</v>
      </c>
      <c r="G45" s="127">
        <v>37.520192049549138</v>
      </c>
      <c r="H45" s="124">
        <v>17.025790065877672</v>
      </c>
    </row>
    <row r="46" spans="1:8" x14ac:dyDescent="0.2">
      <c r="A46" s="125"/>
      <c r="B46" s="118" t="s">
        <v>240</v>
      </c>
      <c r="C46" s="82" t="s">
        <v>240</v>
      </c>
      <c r="D46" s="82" t="s">
        <v>240</v>
      </c>
      <c r="E46" s="82" t="s">
        <v>240</v>
      </c>
      <c r="F46" s="27"/>
      <c r="G46" s="119" t="s">
        <v>240</v>
      </c>
      <c r="H46" s="120" t="s">
        <v>240</v>
      </c>
    </row>
    <row r="47" spans="1:8" x14ac:dyDescent="0.2">
      <c r="A47" s="121" t="s">
        <v>207</v>
      </c>
      <c r="B47" s="122" t="s">
        <v>3</v>
      </c>
      <c r="C47" s="80">
        <v>127.23562194049052</v>
      </c>
      <c r="D47" s="80">
        <v>190.03618236347546</v>
      </c>
      <c r="E47" s="80">
        <v>207.6277041408494</v>
      </c>
      <c r="F47" s="22" t="s">
        <v>240</v>
      </c>
      <c r="G47" s="116">
        <v>63.183628117885974</v>
      </c>
      <c r="H47" s="117">
        <v>9.2569328422559209</v>
      </c>
    </row>
    <row r="48" spans="1:8" ht="13.5" thickBot="1" x14ac:dyDescent="0.25">
      <c r="A48" s="131"/>
      <c r="B48" s="132" t="s">
        <v>240</v>
      </c>
      <c r="C48" s="86" t="s">
        <v>240</v>
      </c>
      <c r="D48" s="86" t="s">
        <v>240</v>
      </c>
      <c r="E48" s="86" t="s">
        <v>240</v>
      </c>
      <c r="F48" s="44"/>
      <c r="G48" s="133" t="s">
        <v>240</v>
      </c>
      <c r="H48" s="134" t="s">
        <v>240</v>
      </c>
    </row>
    <row r="53" spans="1:9" x14ac:dyDescent="0.2">
      <c r="I53" s="130"/>
    </row>
    <row r="54" spans="1:9" x14ac:dyDescent="0.2">
      <c r="I54" s="130"/>
    </row>
    <row r="55" spans="1:9" x14ac:dyDescent="0.2">
      <c r="A55" s="137"/>
      <c r="B55" s="138"/>
      <c r="C55" s="21"/>
      <c r="D55" s="21"/>
      <c r="E55" s="21"/>
      <c r="F55" s="63"/>
      <c r="G55" s="128"/>
      <c r="H55" s="136"/>
      <c r="I55" s="130"/>
    </row>
    <row r="56" spans="1:9" x14ac:dyDescent="0.2">
      <c r="A56" s="137"/>
      <c r="B56" s="138"/>
      <c r="C56" s="21"/>
      <c r="D56" s="21"/>
      <c r="E56" s="21"/>
      <c r="F56" s="63"/>
      <c r="G56" s="128"/>
      <c r="H56" s="136"/>
      <c r="I56" s="130"/>
    </row>
    <row r="57" spans="1:9" x14ac:dyDescent="0.2">
      <c r="A57" s="137"/>
      <c r="B57" s="138"/>
      <c r="C57" s="21"/>
      <c r="D57" s="21"/>
      <c r="E57" s="21"/>
      <c r="F57" s="63"/>
      <c r="G57" s="128"/>
      <c r="H57" s="136"/>
      <c r="I57" s="130"/>
    </row>
    <row r="58" spans="1:9" x14ac:dyDescent="0.2">
      <c r="A58" s="137"/>
      <c r="B58" s="138"/>
      <c r="C58" s="21"/>
      <c r="D58" s="21"/>
      <c r="E58" s="21"/>
      <c r="F58" s="63"/>
      <c r="G58" s="128"/>
      <c r="H58" s="136"/>
      <c r="I58" s="130"/>
    </row>
    <row r="59" spans="1:9" x14ac:dyDescent="0.2">
      <c r="A59" s="139"/>
      <c r="B59" s="140"/>
      <c r="C59" s="49"/>
      <c r="D59" s="49"/>
      <c r="E59" s="49"/>
      <c r="F59" s="49"/>
      <c r="G59" s="141"/>
      <c r="H59" s="142"/>
      <c r="I59" s="130"/>
    </row>
    <row r="60" spans="1:9" x14ac:dyDescent="0.2">
      <c r="A60" s="143"/>
      <c r="B60" s="143"/>
      <c r="C60" s="143"/>
      <c r="D60" s="143"/>
      <c r="E60" s="143"/>
      <c r="F60" s="143"/>
      <c r="G60" s="143"/>
      <c r="H60" s="143"/>
    </row>
    <row r="61" spans="1:9" ht="12.75" customHeight="1" x14ac:dyDescent="0.2">
      <c r="A61" s="144" t="s">
        <v>241</v>
      </c>
      <c r="G61" s="145"/>
      <c r="H61" s="181">
        <v>22</v>
      </c>
    </row>
    <row r="62" spans="1:9" ht="12.75" customHeight="1" x14ac:dyDescent="0.2">
      <c r="A62" s="144" t="s">
        <v>242</v>
      </c>
      <c r="G62" s="145"/>
      <c r="H62" s="182"/>
    </row>
    <row r="67" ht="12.75" customHeight="1" x14ac:dyDescent="0.2"/>
    <row r="68" ht="12.75" customHeight="1" x14ac:dyDescent="0.2"/>
  </sheetData>
  <mergeCells count="6">
    <mergeCell ref="H61:H62"/>
    <mergeCell ref="G5:H5"/>
    <mergeCell ref="A7:A8"/>
    <mergeCell ref="C33:F33"/>
    <mergeCell ref="G33:H33"/>
    <mergeCell ref="A35:A36"/>
  </mergeCells>
  <hyperlinks>
    <hyperlink ref="A2" location="Innhold!A68" display="Tilbake til innholdsfortegnelsen" xr:uid="{00000000-0004-0000-1100-000000000000}"/>
  </hyperlinks>
  <pageMargins left="0.78740157480314965" right="0.78740157480314965" top="0.98425196850393704" bottom="0.19685039370078741" header="3.937007874015748E-2" footer="3.937007874015748E-2"/>
  <pageSetup paperSize="9" scale="95"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8"/>
  <sheetViews>
    <sheetView showGridLines="0" showRowColHeaders="0" zoomScaleNormal="100" workbookViewId="0"/>
  </sheetViews>
  <sheetFormatPr defaultColWidth="11.42578125" defaultRowHeight="12.75" x14ac:dyDescent="0.2"/>
  <cols>
    <col min="1" max="1" width="26.42578125" style="98" customWidth="1"/>
    <col min="2" max="2" width="8.140625" style="98" customWidth="1"/>
    <col min="3" max="4" width="10.42578125" style="98" customWidth="1"/>
    <col min="5" max="5" width="9.85546875" style="98" customWidth="1"/>
    <col min="6" max="6" width="1.5703125" style="98" customWidth="1"/>
    <col min="7" max="7" width="7.5703125" style="98" customWidth="1"/>
    <col min="8" max="8" width="8.85546875" style="98" customWidth="1"/>
    <col min="9" max="16384" width="11.42578125" style="98"/>
  </cols>
  <sheetData>
    <row r="1" spans="1:8" ht="5.25" customHeight="1" x14ac:dyDescent="0.2"/>
    <row r="2" spans="1:8" x14ac:dyDescent="0.2">
      <c r="A2" s="92" t="s">
        <v>0</v>
      </c>
      <c r="B2" s="99"/>
      <c r="C2" s="99"/>
      <c r="D2" s="99"/>
      <c r="E2" s="99"/>
      <c r="F2" s="99"/>
      <c r="G2" s="99"/>
    </row>
    <row r="3" spans="1:8" ht="6" customHeight="1" x14ac:dyDescent="0.2">
      <c r="A3" s="3"/>
      <c r="B3" s="99"/>
      <c r="C3" s="99"/>
      <c r="D3" s="99"/>
      <c r="E3" s="99"/>
      <c r="F3" s="99"/>
      <c r="G3" s="99"/>
    </row>
    <row r="4" spans="1:8" ht="16.5" thickBot="1" x14ac:dyDescent="0.3">
      <c r="A4" s="100" t="s">
        <v>216</v>
      </c>
      <c r="B4" s="101"/>
      <c r="C4" s="101"/>
      <c r="D4" s="101"/>
      <c r="E4" s="101"/>
      <c r="F4" s="101"/>
      <c r="G4" s="101"/>
      <c r="H4" s="102"/>
    </row>
    <row r="5" spans="1:8" x14ac:dyDescent="0.2">
      <c r="A5" s="103"/>
      <c r="B5" s="104"/>
      <c r="C5" s="105"/>
      <c r="D5" s="104"/>
      <c r="E5" s="106"/>
      <c r="F5" s="107"/>
      <c r="G5" s="183" t="s">
        <v>1</v>
      </c>
      <c r="H5" s="184"/>
    </row>
    <row r="6" spans="1:8" x14ac:dyDescent="0.2">
      <c r="A6" s="108"/>
      <c r="B6" s="109"/>
      <c r="C6" s="110" t="s">
        <v>235</v>
      </c>
      <c r="D6" s="111" t="s">
        <v>236</v>
      </c>
      <c r="E6" s="111" t="s">
        <v>237</v>
      </c>
      <c r="F6" s="112"/>
      <c r="G6" s="113" t="s">
        <v>238</v>
      </c>
      <c r="H6" s="114" t="s">
        <v>239</v>
      </c>
    </row>
    <row r="7" spans="1:8" ht="12.75" customHeight="1" x14ac:dyDescent="0.2">
      <c r="A7" s="185" t="s">
        <v>208</v>
      </c>
      <c r="B7" s="115" t="s">
        <v>3</v>
      </c>
      <c r="C7" s="20">
        <v>430654</v>
      </c>
      <c r="D7" s="20">
        <v>517184.1942857143</v>
      </c>
      <c r="E7" s="79">
        <v>615071.00685714278</v>
      </c>
      <c r="F7" s="22" t="s">
        <v>240</v>
      </c>
      <c r="G7" s="116">
        <v>42.822545908581532</v>
      </c>
      <c r="H7" s="117">
        <v>18.926876275989144</v>
      </c>
    </row>
    <row r="8" spans="1:8" ht="12.75" customHeight="1" x14ac:dyDescent="0.2">
      <c r="A8" s="186"/>
      <c r="B8" s="118" t="s">
        <v>240</v>
      </c>
      <c r="C8" s="26" t="s">
        <v>240</v>
      </c>
      <c r="D8" s="26" t="s">
        <v>240</v>
      </c>
      <c r="E8" s="26" t="s">
        <v>240</v>
      </c>
      <c r="F8" s="27"/>
      <c r="G8" s="119" t="s">
        <v>240</v>
      </c>
      <c r="H8" s="120" t="s">
        <v>240</v>
      </c>
    </row>
    <row r="9" spans="1:8" x14ac:dyDescent="0.2">
      <c r="A9" s="121" t="s">
        <v>227</v>
      </c>
      <c r="B9" s="122" t="s">
        <v>3</v>
      </c>
      <c r="C9" s="20">
        <v>14329</v>
      </c>
      <c r="D9" s="20">
        <v>17725.239999999998</v>
      </c>
      <c r="E9" s="20">
        <v>20242.031999999999</v>
      </c>
      <c r="F9" s="22" t="s">
        <v>240</v>
      </c>
      <c r="G9" s="123">
        <v>41.266187452020375</v>
      </c>
      <c r="H9" s="124">
        <v>14.19891634753607</v>
      </c>
    </row>
    <row r="10" spans="1:8" x14ac:dyDescent="0.2">
      <c r="A10" s="125"/>
      <c r="B10" s="118" t="s">
        <v>240</v>
      </c>
      <c r="C10" s="26" t="s">
        <v>240</v>
      </c>
      <c r="D10" s="26" t="s">
        <v>240</v>
      </c>
      <c r="E10" s="26" t="s">
        <v>240</v>
      </c>
      <c r="F10" s="27"/>
      <c r="G10" s="126" t="s">
        <v>240</v>
      </c>
      <c r="H10" s="120" t="s">
        <v>240</v>
      </c>
    </row>
    <row r="11" spans="1:8" x14ac:dyDescent="0.2">
      <c r="A11" s="121" t="s">
        <v>230</v>
      </c>
      <c r="B11" s="122" t="s">
        <v>3</v>
      </c>
      <c r="C11" s="20">
        <v>242248</v>
      </c>
      <c r="D11" s="20">
        <v>305203.95199999999</v>
      </c>
      <c r="E11" s="20">
        <v>379734.7536</v>
      </c>
      <c r="F11" s="22" t="s">
        <v>240</v>
      </c>
      <c r="G11" s="127">
        <v>56.75454641524388</v>
      </c>
      <c r="H11" s="124">
        <v>24.41999886030311</v>
      </c>
    </row>
    <row r="12" spans="1:8" x14ac:dyDescent="0.2">
      <c r="A12" s="125"/>
      <c r="B12" s="118" t="s">
        <v>240</v>
      </c>
      <c r="C12" s="26" t="s">
        <v>240</v>
      </c>
      <c r="D12" s="26" t="s">
        <v>240</v>
      </c>
      <c r="E12" s="26" t="s">
        <v>240</v>
      </c>
      <c r="F12" s="27"/>
      <c r="G12" s="119" t="s">
        <v>240</v>
      </c>
      <c r="H12" s="120" t="s">
        <v>240</v>
      </c>
    </row>
    <row r="13" spans="1:8" x14ac:dyDescent="0.2">
      <c r="A13" s="121" t="s">
        <v>209</v>
      </c>
      <c r="B13" s="122" t="s">
        <v>3</v>
      </c>
      <c r="C13" s="20">
        <v>135335</v>
      </c>
      <c r="D13" s="20">
        <v>138143.95199999999</v>
      </c>
      <c r="E13" s="20">
        <v>155281.7536</v>
      </c>
      <c r="F13" s="22" t="s">
        <v>240</v>
      </c>
      <c r="G13" s="116">
        <v>14.738798980308118</v>
      </c>
      <c r="H13" s="117">
        <v>12.405755989954599</v>
      </c>
    </row>
    <row r="14" spans="1:8" x14ac:dyDescent="0.2">
      <c r="A14" s="125"/>
      <c r="B14" s="118" t="s">
        <v>240</v>
      </c>
      <c r="C14" s="26" t="s">
        <v>240</v>
      </c>
      <c r="D14" s="26" t="s">
        <v>240</v>
      </c>
      <c r="E14" s="26" t="s">
        <v>240</v>
      </c>
      <c r="F14" s="27"/>
      <c r="G14" s="128" t="s">
        <v>240</v>
      </c>
      <c r="H14" s="117" t="s">
        <v>240</v>
      </c>
    </row>
    <row r="15" spans="1:8" x14ac:dyDescent="0.2">
      <c r="A15" s="121" t="s">
        <v>210</v>
      </c>
      <c r="B15" s="122" t="s">
        <v>3</v>
      </c>
      <c r="C15" s="20">
        <v>26769</v>
      </c>
      <c r="D15" s="20">
        <v>37676.991999999998</v>
      </c>
      <c r="E15" s="20">
        <v>48218.625599999999</v>
      </c>
      <c r="F15" s="22" t="s">
        <v>240</v>
      </c>
      <c r="G15" s="127">
        <v>80.128602487952492</v>
      </c>
      <c r="H15" s="124">
        <v>27.978968172406127</v>
      </c>
    </row>
    <row r="16" spans="1:8" x14ac:dyDescent="0.2">
      <c r="A16" s="125"/>
      <c r="B16" s="118" t="s">
        <v>240</v>
      </c>
      <c r="C16" s="26" t="s">
        <v>240</v>
      </c>
      <c r="D16" s="26" t="s">
        <v>240</v>
      </c>
      <c r="E16" s="26" t="s">
        <v>240</v>
      </c>
      <c r="F16" s="27"/>
      <c r="G16" s="119" t="s">
        <v>240</v>
      </c>
      <c r="H16" s="120" t="s">
        <v>240</v>
      </c>
    </row>
    <row r="17" spans="1:9" x14ac:dyDescent="0.2">
      <c r="A17" s="121" t="s">
        <v>211</v>
      </c>
      <c r="B17" s="122" t="s">
        <v>3</v>
      </c>
      <c r="C17" s="20">
        <v>28312</v>
      </c>
      <c r="D17" s="20">
        <v>39915.983999999997</v>
      </c>
      <c r="E17" s="20">
        <v>39247.251199999999</v>
      </c>
      <c r="F17" s="22" t="s">
        <v>240</v>
      </c>
      <c r="G17" s="116">
        <v>38.62408589997176</v>
      </c>
      <c r="H17" s="117">
        <v>-1.6753509070451429</v>
      </c>
    </row>
    <row r="18" spans="1:9" ht="13.5" thickBot="1" x14ac:dyDescent="0.25">
      <c r="A18" s="131"/>
      <c r="B18" s="132" t="s">
        <v>240</v>
      </c>
      <c r="C18" s="43" t="s">
        <v>240</v>
      </c>
      <c r="D18" s="43" t="s">
        <v>240</v>
      </c>
      <c r="E18" s="43" t="s">
        <v>240</v>
      </c>
      <c r="F18" s="44"/>
      <c r="G18" s="133" t="s">
        <v>240</v>
      </c>
      <c r="H18" s="134" t="s">
        <v>240</v>
      </c>
    </row>
    <row r="25" spans="1:9" x14ac:dyDescent="0.2">
      <c r="I25" s="130"/>
    </row>
    <row r="26" spans="1:9" x14ac:dyDescent="0.2">
      <c r="I26" s="130"/>
    </row>
    <row r="27" spans="1:9" x14ac:dyDescent="0.2">
      <c r="A27" s="135"/>
      <c r="B27" s="135"/>
      <c r="C27" s="64"/>
      <c r="D27" s="64"/>
      <c r="E27" s="21"/>
      <c r="F27" s="59"/>
      <c r="G27" s="128"/>
      <c r="H27" s="136"/>
      <c r="I27" s="130"/>
    </row>
    <row r="28" spans="1:9" x14ac:dyDescent="0.2">
      <c r="A28" s="135"/>
      <c r="B28" s="135"/>
      <c r="C28" s="64"/>
      <c r="D28" s="64"/>
      <c r="E28" s="21"/>
      <c r="F28" s="59"/>
      <c r="G28" s="128"/>
      <c r="H28" s="136"/>
      <c r="I28" s="130"/>
    </row>
    <row r="29" spans="1:9" x14ac:dyDescent="0.2">
      <c r="A29" s="135"/>
      <c r="B29" s="135"/>
      <c r="C29" s="64"/>
      <c r="D29" s="64"/>
      <c r="E29" s="21"/>
      <c r="F29" s="59"/>
      <c r="G29" s="128"/>
      <c r="H29" s="136"/>
      <c r="I29" s="130"/>
    </row>
    <row r="30" spans="1:9" x14ac:dyDescent="0.2">
      <c r="A30" s="137"/>
      <c r="B30" s="138"/>
      <c r="C30" s="21"/>
      <c r="D30" s="21"/>
      <c r="E30" s="21"/>
      <c r="F30" s="63"/>
      <c r="G30" s="128"/>
      <c r="H30" s="136"/>
      <c r="I30" s="130"/>
    </row>
    <row r="31" spans="1:9" x14ac:dyDescent="0.2">
      <c r="A31" s="139"/>
      <c r="B31" s="140"/>
      <c r="C31" s="49"/>
      <c r="D31" s="55"/>
      <c r="E31" s="49"/>
      <c r="F31" s="49"/>
      <c r="G31" s="141"/>
      <c r="H31" s="142"/>
      <c r="I31" s="130"/>
    </row>
    <row r="32" spans="1:9" ht="16.5" thickBot="1" x14ac:dyDescent="0.3">
      <c r="A32" s="100" t="s">
        <v>217</v>
      </c>
      <c r="B32" s="101"/>
      <c r="C32" s="101"/>
      <c r="D32" s="101"/>
      <c r="E32" s="101"/>
      <c r="F32" s="101"/>
      <c r="G32" s="101"/>
      <c r="H32" s="102"/>
    </row>
    <row r="33" spans="1:8" x14ac:dyDescent="0.2">
      <c r="A33" s="103"/>
      <c r="B33" s="104"/>
      <c r="C33" s="187" t="s">
        <v>16</v>
      </c>
      <c r="D33" s="183"/>
      <c r="E33" s="183"/>
      <c r="F33" s="188"/>
      <c r="G33" s="183" t="s">
        <v>1</v>
      </c>
      <c r="H33" s="184"/>
    </row>
    <row r="34" spans="1:8" x14ac:dyDescent="0.2">
      <c r="A34" s="108"/>
      <c r="B34" s="109"/>
      <c r="C34" s="110" t="s">
        <v>235</v>
      </c>
      <c r="D34" s="111" t="s">
        <v>236</v>
      </c>
      <c r="E34" s="111" t="s">
        <v>237</v>
      </c>
      <c r="F34" s="112"/>
      <c r="G34" s="113" t="s">
        <v>238</v>
      </c>
      <c r="H34" s="114" t="s">
        <v>239</v>
      </c>
    </row>
    <row r="35" spans="1:8" ht="12.75" customHeight="1" x14ac:dyDescent="0.2">
      <c r="A35" s="185" t="s">
        <v>208</v>
      </c>
      <c r="B35" s="115" t="s">
        <v>3</v>
      </c>
      <c r="C35" s="80">
        <v>1704.7751721129086</v>
      </c>
      <c r="D35" s="80">
        <v>2006.380833258675</v>
      </c>
      <c r="E35" s="81">
        <v>2389.6387678911087</v>
      </c>
      <c r="F35" s="22" t="s">
        <v>240</v>
      </c>
      <c r="G35" s="116">
        <v>40.173250231546717</v>
      </c>
      <c r="H35" s="117">
        <v>19.101953541390387</v>
      </c>
    </row>
    <row r="36" spans="1:8" ht="12.75" customHeight="1" x14ac:dyDescent="0.2">
      <c r="A36" s="186"/>
      <c r="B36" s="118" t="s">
        <v>240</v>
      </c>
      <c r="C36" s="82" t="s">
        <v>240</v>
      </c>
      <c r="D36" s="82" t="s">
        <v>240</v>
      </c>
      <c r="E36" s="82" t="s">
        <v>240</v>
      </c>
      <c r="F36" s="27"/>
      <c r="G36" s="119" t="s">
        <v>240</v>
      </c>
      <c r="H36" s="120" t="s">
        <v>240</v>
      </c>
    </row>
    <row r="37" spans="1:8" x14ac:dyDescent="0.2">
      <c r="A37" s="121" t="s">
        <v>227</v>
      </c>
      <c r="B37" s="122" t="s">
        <v>3</v>
      </c>
      <c r="C37" s="80">
        <v>526.16154959198388</v>
      </c>
      <c r="D37" s="80">
        <v>607.17797486114455</v>
      </c>
      <c r="E37" s="80">
        <v>715.30891609298362</v>
      </c>
      <c r="F37" s="22" t="s">
        <v>240</v>
      </c>
      <c r="G37" s="123">
        <v>35.948534560854085</v>
      </c>
      <c r="H37" s="124">
        <v>17.80877200899252</v>
      </c>
    </row>
    <row r="38" spans="1:8" x14ac:dyDescent="0.2">
      <c r="A38" s="125"/>
      <c r="B38" s="118" t="s">
        <v>240</v>
      </c>
      <c r="C38" s="82" t="s">
        <v>240</v>
      </c>
      <c r="D38" s="82" t="s">
        <v>240</v>
      </c>
      <c r="E38" s="82" t="s">
        <v>240</v>
      </c>
      <c r="F38" s="27"/>
      <c r="G38" s="126" t="s">
        <v>240</v>
      </c>
      <c r="H38" s="120" t="s">
        <v>240</v>
      </c>
    </row>
    <row r="39" spans="1:8" x14ac:dyDescent="0.2">
      <c r="A39" s="121" t="s">
        <v>230</v>
      </c>
      <c r="B39" s="122" t="s">
        <v>3</v>
      </c>
      <c r="C39" s="80">
        <v>333.48805947324132</v>
      </c>
      <c r="D39" s="80">
        <v>391.73746629468036</v>
      </c>
      <c r="E39" s="80">
        <v>511.21831718276928</v>
      </c>
      <c r="F39" s="22" t="s">
        <v>240</v>
      </c>
      <c r="G39" s="127">
        <v>53.29433923069405</v>
      </c>
      <c r="H39" s="124">
        <v>30.50023578755949</v>
      </c>
    </row>
    <row r="40" spans="1:8" x14ac:dyDescent="0.2">
      <c r="A40" s="125"/>
      <c r="B40" s="118" t="s">
        <v>240</v>
      </c>
      <c r="C40" s="82" t="s">
        <v>240</v>
      </c>
      <c r="D40" s="82" t="s">
        <v>240</v>
      </c>
      <c r="E40" s="82" t="s">
        <v>240</v>
      </c>
      <c r="F40" s="27"/>
      <c r="G40" s="119" t="s">
        <v>240</v>
      </c>
      <c r="H40" s="120" t="s">
        <v>240</v>
      </c>
    </row>
    <row r="41" spans="1:8" x14ac:dyDescent="0.2">
      <c r="A41" s="121" t="s">
        <v>209</v>
      </c>
      <c r="B41" s="122" t="s">
        <v>3</v>
      </c>
      <c r="C41" s="80">
        <v>565.42085865239414</v>
      </c>
      <c r="D41" s="80">
        <v>631.72522876898427</v>
      </c>
      <c r="E41" s="80">
        <v>716.65543288624542</v>
      </c>
      <c r="F41" s="22" t="s">
        <v>240</v>
      </c>
      <c r="G41" s="116">
        <v>26.747257714244739</v>
      </c>
      <c r="H41" s="117">
        <v>13.444168484890341</v>
      </c>
    </row>
    <row r="42" spans="1:8" x14ac:dyDescent="0.2">
      <c r="A42" s="125"/>
      <c r="B42" s="118" t="s">
        <v>240</v>
      </c>
      <c r="C42" s="82" t="s">
        <v>240</v>
      </c>
      <c r="D42" s="82" t="s">
        <v>240</v>
      </c>
      <c r="E42" s="82" t="s">
        <v>240</v>
      </c>
      <c r="F42" s="27"/>
      <c r="G42" s="128" t="s">
        <v>240</v>
      </c>
      <c r="H42" s="117" t="s">
        <v>240</v>
      </c>
    </row>
    <row r="43" spans="1:8" x14ac:dyDescent="0.2">
      <c r="A43" s="121" t="s">
        <v>210</v>
      </c>
      <c r="B43" s="122" t="s">
        <v>3</v>
      </c>
      <c r="C43" s="80">
        <v>125.46354583305789</v>
      </c>
      <c r="D43" s="80">
        <v>162.10541194477281</v>
      </c>
      <c r="E43" s="80">
        <v>191.87517029782006</v>
      </c>
      <c r="F43" s="22" t="s">
        <v>240</v>
      </c>
      <c r="G43" s="127">
        <v>52.933004582167342</v>
      </c>
      <c r="H43" s="124">
        <v>18.364444466042499</v>
      </c>
    </row>
    <row r="44" spans="1:8" x14ac:dyDescent="0.2">
      <c r="A44" s="125"/>
      <c r="B44" s="118" t="s">
        <v>240</v>
      </c>
      <c r="C44" s="82" t="s">
        <v>240</v>
      </c>
      <c r="D44" s="82" t="s">
        <v>240</v>
      </c>
      <c r="E44" s="82" t="s">
        <v>240</v>
      </c>
      <c r="F44" s="27"/>
      <c r="G44" s="119" t="s">
        <v>240</v>
      </c>
      <c r="H44" s="120" t="s">
        <v>240</v>
      </c>
    </row>
    <row r="45" spans="1:8" x14ac:dyDescent="0.2">
      <c r="A45" s="121" t="s">
        <v>211</v>
      </c>
      <c r="B45" s="122" t="s">
        <v>3</v>
      </c>
      <c r="C45" s="80">
        <v>154.24115856223148</v>
      </c>
      <c r="D45" s="80">
        <v>213.63475138909291</v>
      </c>
      <c r="E45" s="80">
        <v>254.58093143129051</v>
      </c>
      <c r="F45" s="22" t="s">
        <v>240</v>
      </c>
      <c r="G45" s="116">
        <v>65.053824675840389</v>
      </c>
      <c r="H45" s="117">
        <v>19.166441684210042</v>
      </c>
    </row>
    <row r="46" spans="1:8" ht="13.5" thickBot="1" x14ac:dyDescent="0.25">
      <c r="A46" s="131"/>
      <c r="B46" s="132" t="s">
        <v>240</v>
      </c>
      <c r="C46" s="86" t="s">
        <v>240</v>
      </c>
      <c r="D46" s="86" t="s">
        <v>240</v>
      </c>
      <c r="E46" s="86" t="s">
        <v>240</v>
      </c>
      <c r="F46" s="44"/>
      <c r="G46" s="133" t="s">
        <v>240</v>
      </c>
      <c r="H46" s="134" t="s">
        <v>240</v>
      </c>
    </row>
    <row r="53" spans="1:9" x14ac:dyDescent="0.2">
      <c r="I53" s="130"/>
    </row>
    <row r="54" spans="1:9" x14ac:dyDescent="0.2">
      <c r="I54" s="130"/>
    </row>
    <row r="55" spans="1:9" x14ac:dyDescent="0.2">
      <c r="A55" s="137"/>
      <c r="B55" s="138"/>
      <c r="C55" s="21"/>
      <c r="D55" s="21"/>
      <c r="E55" s="21"/>
      <c r="F55" s="63"/>
      <c r="G55" s="128"/>
      <c r="H55" s="136"/>
      <c r="I55" s="130"/>
    </row>
    <row r="56" spans="1:9" x14ac:dyDescent="0.2">
      <c r="A56" s="137"/>
      <c r="B56" s="138"/>
      <c r="C56" s="21"/>
      <c r="D56" s="21"/>
      <c r="E56" s="21"/>
      <c r="F56" s="63"/>
      <c r="G56" s="128"/>
      <c r="H56" s="136"/>
      <c r="I56" s="130"/>
    </row>
    <row r="57" spans="1:9" x14ac:dyDescent="0.2">
      <c r="A57" s="137"/>
      <c r="B57" s="138"/>
      <c r="C57" s="21"/>
      <c r="D57" s="21"/>
      <c r="E57" s="21"/>
      <c r="F57" s="63"/>
      <c r="G57" s="128"/>
      <c r="H57" s="136"/>
      <c r="I57" s="130"/>
    </row>
    <row r="58" spans="1:9" x14ac:dyDescent="0.2">
      <c r="A58" s="137"/>
      <c r="B58" s="138"/>
      <c r="C58" s="21"/>
      <c r="D58" s="21"/>
      <c r="E58" s="21"/>
      <c r="F58" s="63"/>
      <c r="G58" s="128"/>
      <c r="H58" s="136"/>
      <c r="I58" s="130"/>
    </row>
    <row r="59" spans="1:9" x14ac:dyDescent="0.2">
      <c r="A59" s="139"/>
      <c r="B59" s="140"/>
      <c r="C59" s="49"/>
      <c r="D59" s="49"/>
      <c r="E59" s="49"/>
      <c r="F59" s="49"/>
      <c r="G59" s="141"/>
      <c r="H59" s="142"/>
      <c r="I59" s="130"/>
    </row>
    <row r="60" spans="1:9" x14ac:dyDescent="0.2">
      <c r="A60" s="143"/>
      <c r="B60" s="143"/>
      <c r="C60" s="143"/>
      <c r="D60" s="143"/>
      <c r="E60" s="143"/>
      <c r="F60" s="143"/>
      <c r="G60" s="143"/>
      <c r="H60" s="143"/>
    </row>
    <row r="61" spans="1:9" ht="12.75" customHeight="1" x14ac:dyDescent="0.2">
      <c r="A61" s="144" t="s">
        <v>241</v>
      </c>
      <c r="G61" s="145"/>
      <c r="H61" s="181">
        <v>23</v>
      </c>
    </row>
    <row r="62" spans="1:9" ht="12.75" customHeight="1" x14ac:dyDescent="0.2">
      <c r="A62" s="144" t="s">
        <v>242</v>
      </c>
      <c r="G62" s="145"/>
      <c r="H62" s="182"/>
    </row>
    <row r="67" ht="12.75" customHeight="1" x14ac:dyDescent="0.2"/>
    <row r="68" ht="12.75" customHeight="1" x14ac:dyDescent="0.2"/>
  </sheetData>
  <mergeCells count="6">
    <mergeCell ref="H61:H62"/>
    <mergeCell ref="G5:H5"/>
    <mergeCell ref="A7:A8"/>
    <mergeCell ref="C33:F33"/>
    <mergeCell ref="G33:H33"/>
    <mergeCell ref="A35:A36"/>
  </mergeCells>
  <hyperlinks>
    <hyperlink ref="A2" location="Innhold!A70" display="Tilbake til innholdsfortegnelsen" xr:uid="{00000000-0004-0000-12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63"/>
  <sheetViews>
    <sheetView showGridLines="0" showRowColHeaders="0" zoomScaleNormal="100" workbookViewId="0"/>
  </sheetViews>
  <sheetFormatPr defaultColWidth="11.42578125" defaultRowHeight="12.75" customHeight="1" x14ac:dyDescent="0.2"/>
  <cols>
    <col min="1" max="1" width="11.42578125" style="89" customWidth="1"/>
    <col min="2" max="2" width="27.140625" style="1" customWidth="1"/>
    <col min="3" max="5" width="10.5703125" style="1" customWidth="1"/>
    <col min="6" max="8" width="7.5703125" style="1" customWidth="1"/>
    <col min="9" max="16384" width="11.42578125" style="1"/>
  </cols>
  <sheetData>
    <row r="2" spans="1:8" ht="12.75" customHeight="1" x14ac:dyDescent="0.2">
      <c r="B2" s="2"/>
      <c r="C2" s="2"/>
      <c r="D2" s="2"/>
      <c r="E2" s="2"/>
      <c r="F2" s="2"/>
      <c r="G2" s="2"/>
    </row>
    <row r="3" spans="1:8" ht="12.75" customHeight="1" x14ac:dyDescent="0.2">
      <c r="A3" s="90"/>
      <c r="B3" s="2"/>
      <c r="C3" s="2"/>
      <c r="D3" s="2"/>
      <c r="E3" s="2"/>
      <c r="F3" s="2"/>
      <c r="G3" s="2"/>
    </row>
    <row r="4" spans="1:8" ht="12.75" customHeight="1" x14ac:dyDescent="0.25">
      <c r="A4" s="90"/>
      <c r="C4" s="74"/>
      <c r="D4" s="74" t="s">
        <v>88</v>
      </c>
      <c r="E4" s="74"/>
      <c r="F4" s="74"/>
      <c r="G4" s="74"/>
      <c r="H4" s="74"/>
    </row>
    <row r="5" spans="1:8" ht="12.75" customHeight="1" x14ac:dyDescent="0.25">
      <c r="A5" s="90"/>
      <c r="B5" s="75"/>
      <c r="C5" s="74"/>
      <c r="D5" s="74"/>
      <c r="E5" s="74"/>
      <c r="F5" s="74"/>
      <c r="G5" s="74"/>
      <c r="H5" s="74"/>
    </row>
    <row r="6" spans="1:8" ht="12.75" customHeight="1" x14ac:dyDescent="0.25">
      <c r="A6" s="90"/>
      <c r="B6" s="73"/>
      <c r="C6" s="73"/>
      <c r="D6" s="73"/>
      <c r="E6" s="73"/>
      <c r="F6" s="73"/>
      <c r="G6" s="73"/>
      <c r="H6" s="73"/>
    </row>
    <row r="7" spans="1:8" ht="12.75" customHeight="1" x14ac:dyDescent="0.25">
      <c r="A7" s="90"/>
      <c r="B7" s="73"/>
      <c r="C7" s="73"/>
      <c r="D7" s="73"/>
      <c r="E7" s="73"/>
      <c r="F7" s="73"/>
      <c r="G7" s="73"/>
      <c r="H7" s="73"/>
    </row>
    <row r="8" spans="1:8" ht="12.75" customHeight="1" x14ac:dyDescent="0.25">
      <c r="A8" s="91" t="s">
        <v>114</v>
      </c>
      <c r="B8" s="73" t="s">
        <v>89</v>
      </c>
      <c r="C8" s="73"/>
      <c r="D8" s="73"/>
      <c r="E8" s="73"/>
      <c r="F8" s="73"/>
      <c r="G8" s="73"/>
      <c r="H8" s="76">
        <v>2</v>
      </c>
    </row>
    <row r="9" spans="1:8" ht="12.75" customHeight="1" x14ac:dyDescent="0.25">
      <c r="B9" s="73"/>
      <c r="C9" s="73"/>
      <c r="D9" s="73"/>
      <c r="E9" s="73"/>
      <c r="F9" s="73"/>
      <c r="G9" s="73"/>
      <c r="H9" s="76"/>
    </row>
    <row r="10" spans="1:8" ht="12.75" customHeight="1" x14ac:dyDescent="0.25">
      <c r="B10" s="73" t="s">
        <v>90</v>
      </c>
      <c r="C10" s="73"/>
      <c r="D10" s="73"/>
      <c r="E10" s="73"/>
      <c r="F10" s="73"/>
      <c r="G10" s="73"/>
      <c r="H10" s="76"/>
    </row>
    <row r="11" spans="1:8" ht="12.75" customHeight="1" x14ac:dyDescent="0.25">
      <c r="A11" s="91" t="s">
        <v>115</v>
      </c>
      <c r="B11" s="73" t="str">
        <f>+'Tab2'!A6&amp;" ……………………………………………"</f>
        <v>Figur 1. Antall meldte skader etter bransjer  ……………………………………………</v>
      </c>
      <c r="C11" s="73"/>
      <c r="D11" s="73"/>
      <c r="E11" s="73"/>
      <c r="F11" s="73"/>
      <c r="G11" s="73"/>
      <c r="H11" s="76">
        <v>4</v>
      </c>
    </row>
    <row r="12" spans="1:8" ht="12.75" customHeight="1" x14ac:dyDescent="0.25">
      <c r="B12" s="73" t="str">
        <f>+'Tab2'!A32&amp;" ……………………………"</f>
        <v>Figur 2. Antall meldte skader etter bransjer  ……………………………</v>
      </c>
      <c r="C12" s="73"/>
      <c r="D12" s="73"/>
      <c r="E12" s="73"/>
      <c r="F12" s="73"/>
      <c r="G12" s="73"/>
      <c r="H12" s="76">
        <v>4</v>
      </c>
    </row>
    <row r="13" spans="1:8" ht="12.75" customHeight="1" x14ac:dyDescent="0.25">
      <c r="B13" s="73" t="str">
        <f>+'Tab2'!I6&amp;"  ………………………………………………………………………………………………….."</f>
        <v>Figur 3. Anslått erstatning etter bransje, pr.   …………………………………………………………………………………………………..</v>
      </c>
      <c r="C13" s="73"/>
      <c r="D13" s="73"/>
      <c r="E13" s="73"/>
      <c r="F13" s="73"/>
      <c r="G13" s="73"/>
      <c r="H13" s="76">
        <v>5</v>
      </c>
    </row>
    <row r="14" spans="1:8" ht="12.75" customHeight="1" x14ac:dyDescent="0.25">
      <c r="B14" s="73" t="str">
        <f>+'Tab2'!I32&amp;"  ………………………………………………………………………………………………….."</f>
        <v>Figur 4. Vannskader pr. kvartal  …………………………………………………………………………………………………..</v>
      </c>
      <c r="C14" s="73"/>
      <c r="D14" s="73"/>
      <c r="E14" s="73"/>
      <c r="F14" s="73"/>
      <c r="G14" s="73"/>
      <c r="H14" s="76">
        <v>5</v>
      </c>
    </row>
    <row r="15" spans="1:8" ht="12.75" customHeight="1" x14ac:dyDescent="0.25">
      <c r="B15" s="73" t="str">
        <f>+'Tab2'!P6&amp;" ……………………………"</f>
        <v>Figur 5. Antall meldte skader i motorvogn kvartalsvis (i 1000) ……………………………</v>
      </c>
      <c r="C15" s="73"/>
      <c r="D15" s="73"/>
      <c r="E15" s="73"/>
      <c r="F15" s="73"/>
      <c r="G15" s="73"/>
      <c r="H15" s="76">
        <v>6</v>
      </c>
    </row>
    <row r="16" spans="1:8" ht="12.75" customHeight="1" x14ac:dyDescent="0.25">
      <c r="B16" s="73" t="str">
        <f>+'Tab2'!P32&amp;" ……………………………"</f>
        <v>Figur 6. Anslått erstatning etter skadetype, motorvogn  2023 ……………………………</v>
      </c>
      <c r="C16" s="73"/>
      <c r="D16" s="73"/>
      <c r="E16" s="73"/>
      <c r="F16" s="73"/>
      <c r="G16" s="73"/>
      <c r="H16" s="76">
        <v>6</v>
      </c>
    </row>
    <row r="17" spans="1:14" ht="12.75" customHeight="1" x14ac:dyDescent="0.25">
      <c r="B17" s="73" t="str">
        <f>+'Tab2'!W6&amp;" ……………………………………………………………"</f>
        <v>Figur 7. Antall meldte skader i de Brann-kombinerte bransjer etter skadetype  ……………………………………………………………</v>
      </c>
      <c r="C17" s="73"/>
      <c r="D17" s="73"/>
      <c r="E17" s="73"/>
      <c r="F17" s="73"/>
      <c r="G17" s="73"/>
      <c r="H17" s="76">
        <v>7</v>
      </c>
    </row>
    <row r="18" spans="1:14" ht="12.75" customHeight="1" x14ac:dyDescent="0.25">
      <c r="B18" s="73" t="str">
        <f>+'Tab2'!W32&amp;" ……………………………………………………………"</f>
        <v>Figur 8. Anslått erstatning i de Brann-kombinerte bransjer etter skadetype  ……………………………………………………………</v>
      </c>
      <c r="C18" s="73"/>
      <c r="D18" s="73"/>
      <c r="E18" s="73"/>
      <c r="F18" s="73"/>
      <c r="G18" s="73"/>
      <c r="H18" s="76">
        <v>7</v>
      </c>
    </row>
    <row r="19" spans="1:14" ht="12.75" customHeight="1" x14ac:dyDescent="0.25">
      <c r="B19" s="73" t="str">
        <f>+'Tab2'!AD6&amp;"  ………………………………………………………………………………………………….."</f>
        <v>Figur 9. Brannskader pr. kvartal  …………………………………………………………………………………………………..</v>
      </c>
      <c r="C19" s="73"/>
      <c r="D19" s="73"/>
      <c r="E19" s="73"/>
      <c r="F19" s="73"/>
      <c r="G19" s="73"/>
      <c r="H19" s="76">
        <v>8</v>
      </c>
    </row>
    <row r="20" spans="1:14" ht="12.75" customHeight="1" x14ac:dyDescent="0.25">
      <c r="B20" s="73" t="str">
        <f>+'Tab2'!AD32&amp;"  ………………………………………………………………………………………………….."</f>
        <v>Figur 10. Innbrudd, tyverier og ran pr. kvartal  …………………………………………………………………………………………………..</v>
      </c>
      <c r="C20" s="73"/>
      <c r="D20" s="73"/>
      <c r="E20" s="73"/>
      <c r="F20" s="73"/>
      <c r="G20" s="73"/>
      <c r="H20" s="76">
        <v>8</v>
      </c>
    </row>
    <row r="22" spans="1:14" ht="12.75" customHeight="1" x14ac:dyDescent="0.25">
      <c r="B22" s="73" t="s">
        <v>91</v>
      </c>
      <c r="C22" s="73"/>
      <c r="D22" s="73"/>
      <c r="E22" s="73"/>
      <c r="F22" s="73"/>
      <c r="G22" s="73"/>
      <c r="H22" s="76"/>
    </row>
    <row r="23" spans="1:14" ht="12.75" customHeight="1" x14ac:dyDescent="0.25">
      <c r="A23" s="91" t="s">
        <v>116</v>
      </c>
      <c r="B23" s="73" t="s">
        <v>131</v>
      </c>
      <c r="C23" s="73"/>
      <c r="D23" s="73"/>
      <c r="E23" s="73"/>
      <c r="F23" s="73"/>
      <c r="G23" s="73"/>
      <c r="H23" s="76">
        <v>9</v>
      </c>
    </row>
    <row r="24" spans="1:14" ht="12.75" customHeight="1" x14ac:dyDescent="0.25">
      <c r="A24" s="91" t="s">
        <v>117</v>
      </c>
      <c r="B24" s="73" t="s">
        <v>93</v>
      </c>
      <c r="C24" s="73"/>
      <c r="D24" s="73"/>
      <c r="E24" s="73"/>
      <c r="F24" s="73"/>
      <c r="G24" s="73"/>
      <c r="H24" s="76">
        <f>H23+1</f>
        <v>10</v>
      </c>
    </row>
    <row r="25" spans="1:14" ht="12.75" customHeight="1" x14ac:dyDescent="0.25">
      <c r="B25" s="73"/>
      <c r="C25" s="73"/>
      <c r="D25" s="73"/>
      <c r="E25" s="73"/>
      <c r="F25" s="73"/>
      <c r="G25" s="73"/>
      <c r="H25" s="76"/>
    </row>
    <row r="26" spans="1:14" ht="12.75" customHeight="1" x14ac:dyDescent="0.25">
      <c r="A26" s="91" t="s">
        <v>118</v>
      </c>
      <c r="B26" s="73" t="s">
        <v>132</v>
      </c>
      <c r="C26" s="73"/>
      <c r="D26" s="73"/>
      <c r="E26" s="73"/>
      <c r="F26" s="73"/>
      <c r="G26" s="73"/>
      <c r="H26" s="76">
        <f>+H24+1</f>
        <v>11</v>
      </c>
    </row>
    <row r="27" spans="1:14" ht="12.75" customHeight="1" x14ac:dyDescent="0.25">
      <c r="B27" s="73" t="s">
        <v>94</v>
      </c>
      <c r="C27" s="73"/>
      <c r="D27" s="73"/>
      <c r="E27" s="73"/>
      <c r="F27" s="73"/>
      <c r="G27" s="73"/>
      <c r="H27" s="76">
        <f>+H26</f>
        <v>11</v>
      </c>
      <c r="N27" s="77"/>
    </row>
    <row r="28" spans="1:14" ht="12.75" customHeight="1" x14ac:dyDescent="0.25">
      <c r="A28" s="91" t="s">
        <v>119</v>
      </c>
      <c r="B28" s="73" t="s">
        <v>133</v>
      </c>
      <c r="C28" s="73"/>
      <c r="D28" s="73"/>
      <c r="E28" s="73"/>
      <c r="F28" s="73"/>
      <c r="G28" s="73"/>
      <c r="H28" s="76">
        <f>+H26+1</f>
        <v>12</v>
      </c>
      <c r="N28" s="77"/>
    </row>
    <row r="29" spans="1:14" ht="12.75" customHeight="1" x14ac:dyDescent="0.25">
      <c r="B29" s="73" t="s">
        <v>95</v>
      </c>
      <c r="C29" s="73"/>
      <c r="D29" s="73"/>
      <c r="E29" s="73"/>
      <c r="F29" s="73"/>
      <c r="G29" s="73"/>
      <c r="H29" s="76">
        <f>+H28</f>
        <v>12</v>
      </c>
      <c r="N29" s="77"/>
    </row>
    <row r="30" spans="1:14" ht="12.75" customHeight="1" x14ac:dyDescent="0.25">
      <c r="B30" s="73"/>
      <c r="C30" s="73"/>
      <c r="D30" s="73"/>
      <c r="E30" s="73"/>
      <c r="F30" s="73"/>
      <c r="G30" s="73"/>
      <c r="H30" s="76"/>
      <c r="N30" s="77"/>
    </row>
    <row r="31" spans="1:14" ht="12.75" customHeight="1" x14ac:dyDescent="0.25">
      <c r="A31" s="91" t="s">
        <v>120</v>
      </c>
      <c r="B31" s="73" t="s">
        <v>134</v>
      </c>
      <c r="C31" s="73"/>
      <c r="D31" s="73"/>
      <c r="E31" s="73"/>
      <c r="F31" s="73"/>
      <c r="G31" s="73"/>
      <c r="H31" s="76">
        <f>+H29+1</f>
        <v>13</v>
      </c>
      <c r="N31" s="77"/>
    </row>
    <row r="32" spans="1:14" ht="12.75" customHeight="1" x14ac:dyDescent="0.25">
      <c r="B32" s="73" t="s">
        <v>96</v>
      </c>
      <c r="C32" s="73"/>
      <c r="D32" s="73"/>
      <c r="E32" s="73"/>
      <c r="F32" s="73"/>
      <c r="G32" s="73"/>
      <c r="H32" s="76">
        <f>+H31</f>
        <v>13</v>
      </c>
      <c r="N32" s="77"/>
    </row>
    <row r="33" spans="1:14" ht="12.75" customHeight="1" x14ac:dyDescent="0.25">
      <c r="A33" s="91" t="s">
        <v>121</v>
      </c>
      <c r="B33" s="73" t="s">
        <v>135</v>
      </c>
      <c r="C33" s="73"/>
      <c r="D33" s="73"/>
      <c r="E33" s="73"/>
      <c r="F33" s="73"/>
      <c r="G33" s="73"/>
      <c r="H33" s="76">
        <f>+H31+1</f>
        <v>14</v>
      </c>
      <c r="N33" s="77"/>
    </row>
    <row r="34" spans="1:14" ht="12.75" customHeight="1" x14ac:dyDescent="0.25">
      <c r="B34" s="73" t="s">
        <v>97</v>
      </c>
      <c r="C34" s="73"/>
      <c r="D34" s="73"/>
      <c r="E34" s="73"/>
      <c r="F34" s="73"/>
      <c r="G34" s="73"/>
      <c r="H34" s="76">
        <f>+H33</f>
        <v>14</v>
      </c>
      <c r="N34" s="77"/>
    </row>
    <row r="35" spans="1:14" ht="12.75" customHeight="1" x14ac:dyDescent="0.25">
      <c r="A35" s="91" t="s">
        <v>122</v>
      </c>
      <c r="B35" s="73" t="s">
        <v>136</v>
      </c>
      <c r="C35" s="73"/>
      <c r="D35" s="73"/>
      <c r="E35" s="73"/>
      <c r="F35" s="73"/>
      <c r="G35" s="73"/>
      <c r="H35" s="76">
        <f>+H34+1</f>
        <v>15</v>
      </c>
      <c r="N35" s="77"/>
    </row>
    <row r="36" spans="1:14" ht="12.75" customHeight="1" x14ac:dyDescent="0.25">
      <c r="B36" s="73" t="s">
        <v>100</v>
      </c>
      <c r="C36" s="73"/>
      <c r="D36" s="73"/>
      <c r="E36" s="73"/>
      <c r="F36" s="73"/>
      <c r="G36" s="73"/>
      <c r="H36" s="76">
        <f>+H35</f>
        <v>15</v>
      </c>
      <c r="N36" s="77"/>
    </row>
    <row r="37" spans="1:14" ht="12.75" customHeight="1" x14ac:dyDescent="0.25">
      <c r="A37" s="91" t="s">
        <v>123</v>
      </c>
      <c r="B37" s="73" t="s">
        <v>137</v>
      </c>
      <c r="C37" s="73"/>
      <c r="D37" s="73"/>
      <c r="E37" s="73"/>
      <c r="F37" s="73"/>
      <c r="G37" s="73"/>
      <c r="H37" s="76">
        <f>+H36+1</f>
        <v>16</v>
      </c>
      <c r="N37" s="77"/>
    </row>
    <row r="38" spans="1:14" ht="12.75" customHeight="1" x14ac:dyDescent="0.25">
      <c r="B38" s="73" t="s">
        <v>101</v>
      </c>
      <c r="C38" s="73"/>
      <c r="D38" s="73"/>
      <c r="E38" s="73"/>
      <c r="F38" s="73"/>
      <c r="G38" s="73"/>
      <c r="H38" s="76">
        <f>+H37</f>
        <v>16</v>
      </c>
      <c r="N38" s="77"/>
    </row>
    <row r="39" spans="1:14" ht="12.75" customHeight="1" x14ac:dyDescent="0.25">
      <c r="B39" s="73"/>
      <c r="C39" s="73"/>
      <c r="D39" s="73"/>
      <c r="E39" s="73"/>
      <c r="F39" s="73"/>
      <c r="G39" s="73"/>
      <c r="H39" s="76"/>
      <c r="N39" s="77"/>
    </row>
    <row r="40" spans="1:14" ht="12.75" customHeight="1" x14ac:dyDescent="0.25">
      <c r="A40" s="91" t="s">
        <v>124</v>
      </c>
      <c r="B40" s="73" t="s">
        <v>166</v>
      </c>
      <c r="C40" s="73"/>
      <c r="D40" s="73"/>
      <c r="E40" s="73"/>
      <c r="F40" s="73"/>
      <c r="G40" s="73"/>
      <c r="H40" s="76">
        <f>+H38+1</f>
        <v>17</v>
      </c>
      <c r="N40" s="77"/>
    </row>
    <row r="41" spans="1:14" ht="12.75" customHeight="1" x14ac:dyDescent="0.25">
      <c r="B41" s="73" t="s">
        <v>167</v>
      </c>
      <c r="C41" s="73"/>
      <c r="D41" s="73"/>
      <c r="E41" s="73"/>
      <c r="F41" s="73"/>
      <c r="G41" s="73"/>
      <c r="H41" s="76">
        <f>+H40</f>
        <v>17</v>
      </c>
      <c r="N41" s="77"/>
    </row>
    <row r="42" spans="1:14" ht="12.75" customHeight="1" x14ac:dyDescent="0.25">
      <c r="B42" s="73"/>
      <c r="C42" s="73"/>
      <c r="D42" s="73"/>
      <c r="E42" s="73"/>
      <c r="F42" s="73"/>
      <c r="G42" s="73"/>
      <c r="H42" s="76"/>
      <c r="N42" s="77"/>
    </row>
    <row r="43" spans="1:14" ht="12.75" customHeight="1" x14ac:dyDescent="0.25">
      <c r="A43" s="91" t="s">
        <v>172</v>
      </c>
      <c r="B43" s="73" t="s">
        <v>138</v>
      </c>
      <c r="H43" s="76">
        <f>+H40+1</f>
        <v>18</v>
      </c>
      <c r="N43" s="77"/>
    </row>
    <row r="44" spans="1:14" ht="12.75" customHeight="1" x14ac:dyDescent="0.25">
      <c r="B44" s="73" t="s">
        <v>104</v>
      </c>
      <c r="H44" s="76">
        <f>+H43</f>
        <v>18</v>
      </c>
      <c r="N44" s="77"/>
    </row>
    <row r="45" spans="1:14" ht="12.75" customHeight="1" x14ac:dyDescent="0.25">
      <c r="A45" s="91" t="s">
        <v>125</v>
      </c>
      <c r="B45" s="73" t="s">
        <v>139</v>
      </c>
      <c r="H45" s="76">
        <f>+H43+1</f>
        <v>19</v>
      </c>
      <c r="N45" s="77"/>
    </row>
    <row r="46" spans="1:14" ht="12.75" customHeight="1" x14ac:dyDescent="0.25">
      <c r="B46" s="73" t="s">
        <v>102</v>
      </c>
      <c r="H46" s="76">
        <f>+H45</f>
        <v>19</v>
      </c>
      <c r="N46" s="77"/>
    </row>
    <row r="47" spans="1:14" ht="12.75" customHeight="1" x14ac:dyDescent="0.25">
      <c r="A47" s="91" t="s">
        <v>126</v>
      </c>
      <c r="B47" s="73" t="s">
        <v>140</v>
      </c>
      <c r="H47" s="76">
        <f>+H46+1</f>
        <v>20</v>
      </c>
      <c r="N47" s="77"/>
    </row>
    <row r="48" spans="1:14" ht="12.75" customHeight="1" x14ac:dyDescent="0.25">
      <c r="B48" s="73" t="s">
        <v>103</v>
      </c>
      <c r="H48" s="76">
        <f>H47</f>
        <v>20</v>
      </c>
      <c r="N48" s="77"/>
    </row>
    <row r="49" spans="1:14" ht="12.75" customHeight="1" x14ac:dyDescent="0.25">
      <c r="A49" s="91"/>
      <c r="B49" s="73"/>
      <c r="C49" s="73"/>
      <c r="D49" s="73"/>
      <c r="E49" s="73"/>
      <c r="F49" s="73"/>
      <c r="G49" s="73"/>
      <c r="H49" s="76"/>
      <c r="N49" s="77"/>
    </row>
    <row r="50" spans="1:14" ht="12.75" customHeight="1" x14ac:dyDescent="0.25">
      <c r="A50" s="91"/>
      <c r="B50" s="73"/>
      <c r="C50" s="73"/>
      <c r="D50" s="73"/>
      <c r="E50" s="73"/>
      <c r="F50" s="73"/>
      <c r="G50" s="73"/>
      <c r="H50" s="76"/>
      <c r="N50" s="77"/>
    </row>
    <row r="51" spans="1:14" ht="12.75" customHeight="1" x14ac:dyDescent="0.25">
      <c r="A51" s="91"/>
      <c r="B51" s="73"/>
      <c r="C51" s="73"/>
      <c r="D51" s="73"/>
      <c r="E51" s="73"/>
      <c r="F51" s="73"/>
      <c r="G51" s="73"/>
      <c r="H51" s="76"/>
      <c r="N51" s="77"/>
    </row>
    <row r="52" spans="1:14" ht="12.75" customHeight="1" x14ac:dyDescent="0.25">
      <c r="A52" s="91"/>
      <c r="B52" s="73"/>
      <c r="C52" s="73"/>
      <c r="D52" s="73"/>
      <c r="E52" s="73"/>
      <c r="F52" s="73"/>
      <c r="G52" s="73"/>
      <c r="H52" s="76"/>
      <c r="N52" s="77"/>
    </row>
    <row r="53" spans="1:14" ht="12.75" customHeight="1" x14ac:dyDescent="0.25">
      <c r="A53" s="91"/>
      <c r="B53" s="73"/>
      <c r="C53" s="73"/>
      <c r="D53" s="73"/>
      <c r="E53" s="73"/>
      <c r="F53" s="73"/>
      <c r="G53" s="73"/>
      <c r="H53" s="76"/>
      <c r="N53" s="77"/>
    </row>
    <row r="54" spans="1:14" ht="12.75" customHeight="1" x14ac:dyDescent="0.25">
      <c r="A54" s="91"/>
      <c r="B54" s="73"/>
      <c r="C54" s="73"/>
      <c r="D54" s="73"/>
      <c r="E54" s="73"/>
      <c r="F54" s="73"/>
      <c r="G54" s="73"/>
      <c r="H54" s="76"/>
      <c r="N54" s="77"/>
    </row>
    <row r="55" spans="1:14" ht="12.75" customHeight="1" x14ac:dyDescent="0.25">
      <c r="A55" s="91"/>
      <c r="B55" s="73"/>
      <c r="C55" s="73"/>
      <c r="D55" s="73"/>
      <c r="E55" s="73"/>
      <c r="F55" s="73"/>
      <c r="G55" s="73"/>
      <c r="H55" s="76"/>
      <c r="N55" s="77"/>
    </row>
    <row r="56" spans="1:14" ht="12.75" customHeight="1" x14ac:dyDescent="0.25">
      <c r="A56" s="91"/>
      <c r="B56" s="73"/>
      <c r="C56" s="73"/>
      <c r="D56" s="73"/>
      <c r="E56" s="73"/>
      <c r="F56" s="73"/>
      <c r="G56" s="73"/>
      <c r="H56" s="76"/>
      <c r="N56" s="77"/>
    </row>
    <row r="57" spans="1:14" ht="12.75" customHeight="1" x14ac:dyDescent="0.25">
      <c r="A57" s="91"/>
      <c r="B57" s="73"/>
      <c r="C57" s="73"/>
      <c r="D57" s="73"/>
      <c r="E57" s="73"/>
      <c r="F57" s="73"/>
      <c r="G57" s="73"/>
      <c r="H57" s="76"/>
      <c r="N57" s="77"/>
    </row>
    <row r="58" spans="1:14" ht="12.75" customHeight="1" x14ac:dyDescent="0.25">
      <c r="B58" s="73"/>
      <c r="C58" s="73"/>
      <c r="D58" s="73"/>
      <c r="E58" s="73"/>
      <c r="F58" s="73"/>
      <c r="G58" s="73"/>
      <c r="H58" s="76"/>
      <c r="N58" s="77"/>
    </row>
    <row r="59" spans="1:14" ht="12.75" customHeight="1" x14ac:dyDescent="0.2">
      <c r="B59" s="48"/>
      <c r="C59" s="49"/>
      <c r="D59" s="49"/>
      <c r="E59" s="97"/>
      <c r="F59" s="49"/>
      <c r="G59" s="50"/>
      <c r="H59" s="51"/>
      <c r="N59" s="77"/>
    </row>
    <row r="60" spans="1:14" ht="12.75" customHeight="1" x14ac:dyDescent="0.2">
      <c r="B60" s="52"/>
      <c r="C60" s="52"/>
      <c r="D60" s="52"/>
      <c r="E60" s="52"/>
      <c r="F60" s="52"/>
      <c r="G60" s="52"/>
      <c r="H60" s="52"/>
      <c r="I60" s="77"/>
    </row>
    <row r="61" spans="1:14" ht="12.75" customHeight="1" x14ac:dyDescent="0.2">
      <c r="B61" s="54" t="str">
        <f>+B123</f>
        <v>Finans Norge / Skadeforsikringsstatistikk</v>
      </c>
      <c r="H61" s="169">
        <v>1</v>
      </c>
      <c r="I61" s="77"/>
    </row>
    <row r="62" spans="1:14" ht="12.75" customHeight="1" x14ac:dyDescent="0.2">
      <c r="B62" s="54" t="str">
        <f>+B124</f>
        <v>Skadestatistikk for landbasert forsikring 4. kvartal 2023</v>
      </c>
      <c r="H62" s="170"/>
      <c r="I62" s="77"/>
    </row>
    <row r="63" spans="1:14" ht="12.75" customHeight="1" x14ac:dyDescent="0.2">
      <c r="I63" s="77"/>
    </row>
    <row r="64" spans="1:14" ht="12.75" customHeight="1" x14ac:dyDescent="0.2">
      <c r="I64" s="77"/>
    </row>
    <row r="66" spans="1:13" ht="12.75" customHeight="1" x14ac:dyDescent="0.25">
      <c r="A66" s="91" t="s">
        <v>127</v>
      </c>
      <c r="B66" s="73" t="s">
        <v>218</v>
      </c>
      <c r="H66" s="76">
        <f>H48+1</f>
        <v>21</v>
      </c>
    </row>
    <row r="67" spans="1:13" ht="12.75" customHeight="1" x14ac:dyDescent="0.25">
      <c r="B67" s="73" t="s">
        <v>219</v>
      </c>
      <c r="H67" s="76">
        <f>H66</f>
        <v>21</v>
      </c>
    </row>
    <row r="68" spans="1:13" ht="12.75" customHeight="1" x14ac:dyDescent="0.25">
      <c r="A68" s="91" t="s">
        <v>128</v>
      </c>
      <c r="B68" s="73" t="s">
        <v>220</v>
      </c>
      <c r="H68" s="76">
        <f>H67+1</f>
        <v>22</v>
      </c>
    </row>
    <row r="69" spans="1:13" ht="12.75" customHeight="1" x14ac:dyDescent="0.25">
      <c r="B69" s="73" t="s">
        <v>221</v>
      </c>
      <c r="H69" s="76">
        <f>H68</f>
        <v>22</v>
      </c>
    </row>
    <row r="70" spans="1:13" ht="12.75" customHeight="1" x14ac:dyDescent="0.25">
      <c r="A70" s="91" t="s">
        <v>129</v>
      </c>
      <c r="B70" s="73" t="s">
        <v>222</v>
      </c>
      <c r="H70" s="76">
        <f>H69+1</f>
        <v>23</v>
      </c>
      <c r="J70"/>
      <c r="K70"/>
      <c r="L70"/>
      <c r="M70"/>
    </row>
    <row r="71" spans="1:13" ht="12.75" customHeight="1" x14ac:dyDescent="0.25">
      <c r="B71" s="73" t="s">
        <v>223</v>
      </c>
      <c r="H71" s="76">
        <f>H70</f>
        <v>23</v>
      </c>
      <c r="J71"/>
      <c r="K71" s="71"/>
      <c r="L71" s="72"/>
      <c r="M71" s="72"/>
    </row>
    <row r="72" spans="1:13" ht="12.75" customHeight="1" x14ac:dyDescent="0.2">
      <c r="J72"/>
      <c r="K72" s="70"/>
      <c r="L72"/>
      <c r="M72"/>
    </row>
    <row r="73" spans="1:13" ht="12.75" customHeight="1" x14ac:dyDescent="0.25">
      <c r="A73" s="91" t="s">
        <v>130</v>
      </c>
      <c r="B73" s="73" t="s">
        <v>141</v>
      </c>
      <c r="C73" s="73"/>
      <c r="D73" s="73"/>
      <c r="E73" s="73"/>
      <c r="F73" s="73"/>
      <c r="G73" s="73"/>
      <c r="H73" s="76">
        <f>+H71+1</f>
        <v>24</v>
      </c>
      <c r="J73"/>
      <c r="K73" s="69"/>
      <c r="L73" s="69"/>
      <c r="M73" s="69"/>
    </row>
    <row r="74" spans="1:13" ht="12.75" customHeight="1" x14ac:dyDescent="0.25">
      <c r="B74" s="73" t="s">
        <v>107</v>
      </c>
      <c r="C74" s="73"/>
      <c r="D74" s="73"/>
      <c r="E74" s="73"/>
      <c r="F74" s="73"/>
      <c r="G74" s="73"/>
      <c r="H74" s="76">
        <f>+H73</f>
        <v>24</v>
      </c>
      <c r="J74"/>
      <c r="K74" s="69"/>
      <c r="L74" s="69"/>
      <c r="M74" s="69"/>
    </row>
    <row r="75" spans="1:13" ht="12.75" customHeight="1" x14ac:dyDescent="0.25">
      <c r="A75" s="91" t="s">
        <v>224</v>
      </c>
      <c r="B75" s="73" t="s">
        <v>142</v>
      </c>
      <c r="C75" s="73"/>
      <c r="D75" s="73"/>
      <c r="E75" s="73"/>
      <c r="F75" s="73"/>
      <c r="G75" s="73"/>
      <c r="H75" s="76">
        <f>+H74+1</f>
        <v>25</v>
      </c>
      <c r="J75"/>
      <c r="K75" s="69"/>
      <c r="L75" s="69"/>
      <c r="M75" s="69"/>
    </row>
    <row r="76" spans="1:13" ht="12.75" customHeight="1" x14ac:dyDescent="0.25">
      <c r="B76" s="73" t="s">
        <v>105</v>
      </c>
      <c r="C76" s="73"/>
      <c r="D76" s="73"/>
      <c r="E76" s="73"/>
      <c r="F76" s="73"/>
      <c r="G76" s="73"/>
      <c r="H76" s="76">
        <f>+H75</f>
        <v>25</v>
      </c>
      <c r="J76"/>
      <c r="K76" s="69"/>
      <c r="L76" s="69"/>
      <c r="M76" s="69"/>
    </row>
    <row r="77" spans="1:13" ht="12.75" customHeight="1" x14ac:dyDescent="0.25">
      <c r="A77" s="91" t="s">
        <v>225</v>
      </c>
      <c r="B77" s="73" t="s">
        <v>143</v>
      </c>
      <c r="C77" s="73"/>
      <c r="D77" s="73"/>
      <c r="E77" s="73"/>
      <c r="F77" s="73"/>
      <c r="G77" s="73"/>
      <c r="H77" s="76">
        <f>+H76+1</f>
        <v>26</v>
      </c>
      <c r="J77"/>
      <c r="K77"/>
      <c r="L77"/>
      <c r="M77"/>
    </row>
    <row r="78" spans="1:13" ht="12.75" customHeight="1" x14ac:dyDescent="0.25">
      <c r="B78" s="73" t="s">
        <v>106</v>
      </c>
      <c r="C78" s="73"/>
      <c r="D78" s="73"/>
      <c r="E78" s="73"/>
      <c r="F78" s="73"/>
      <c r="G78" s="73"/>
      <c r="H78" s="76">
        <f>+H77</f>
        <v>26</v>
      </c>
      <c r="J78"/>
      <c r="K78"/>
      <c r="L78"/>
      <c r="M78"/>
    </row>
    <row r="79" spans="1:13" ht="12.75" customHeight="1" x14ac:dyDescent="0.2">
      <c r="B79"/>
      <c r="C79"/>
      <c r="D79"/>
      <c r="E79"/>
      <c r="F79"/>
      <c r="G79"/>
      <c r="I79"/>
      <c r="J79"/>
      <c r="K79"/>
      <c r="L79"/>
      <c r="M79"/>
    </row>
    <row r="80" spans="1:13" ht="12.75" customHeight="1" x14ac:dyDescent="0.25">
      <c r="A80" s="91" t="s">
        <v>226</v>
      </c>
      <c r="B80" s="73" t="s">
        <v>92</v>
      </c>
      <c r="C80" s="73"/>
      <c r="D80" s="73"/>
      <c r="E80" s="73"/>
      <c r="F80" s="73"/>
      <c r="G80" s="73"/>
      <c r="H80" s="76">
        <f>+H78+1</f>
        <v>27</v>
      </c>
      <c r="I80"/>
      <c r="J80"/>
      <c r="K80"/>
      <c r="L80"/>
      <c r="M80"/>
    </row>
    <row r="81" spans="2:13" ht="12.75" customHeight="1" x14ac:dyDescent="0.2">
      <c r="C81"/>
      <c r="D81"/>
      <c r="E81"/>
      <c r="F81"/>
      <c r="G81"/>
      <c r="I81" s="68"/>
      <c r="J81"/>
      <c r="K81"/>
      <c r="L81"/>
      <c r="M81"/>
    </row>
    <row r="82" spans="2:13" ht="12.75" customHeight="1" x14ac:dyDescent="0.2">
      <c r="C82"/>
      <c r="D82"/>
      <c r="E82"/>
      <c r="F82"/>
      <c r="G82"/>
      <c r="I82" s="68"/>
      <c r="J82"/>
      <c r="K82"/>
      <c r="L82"/>
      <c r="M82"/>
    </row>
    <row r="83" spans="2:13" ht="12.75" customHeight="1" x14ac:dyDescent="0.2">
      <c r="C83"/>
      <c r="D83"/>
      <c r="E83"/>
      <c r="F83"/>
      <c r="G83"/>
      <c r="I83" s="68"/>
      <c r="J83"/>
      <c r="K83"/>
      <c r="L83"/>
      <c r="M83"/>
    </row>
    <row r="84" spans="2:13" ht="12.75" customHeight="1" x14ac:dyDescent="0.2">
      <c r="C84"/>
      <c r="D84"/>
      <c r="E84"/>
      <c r="F84"/>
      <c r="G84"/>
      <c r="I84" s="68"/>
      <c r="J84"/>
      <c r="K84"/>
      <c r="L84"/>
      <c r="M84"/>
    </row>
    <row r="85" spans="2:13" ht="12.75" customHeight="1" x14ac:dyDescent="0.2">
      <c r="C85"/>
      <c r="D85"/>
      <c r="E85"/>
      <c r="F85"/>
      <c r="G85"/>
      <c r="I85" s="68"/>
      <c r="J85"/>
      <c r="K85"/>
      <c r="L85"/>
      <c r="M85"/>
    </row>
    <row r="86" spans="2:13" ht="12.75" customHeight="1" x14ac:dyDescent="0.2">
      <c r="C86"/>
      <c r="D86"/>
      <c r="E86"/>
      <c r="F86"/>
      <c r="G86"/>
      <c r="I86" s="68"/>
      <c r="J86"/>
      <c r="K86"/>
      <c r="L86"/>
      <c r="M86"/>
    </row>
    <row r="87" spans="2:13" ht="12.75" customHeight="1" x14ac:dyDescent="0.2">
      <c r="C87"/>
      <c r="D87"/>
      <c r="E87"/>
      <c r="F87"/>
      <c r="G87"/>
      <c r="I87" s="68"/>
      <c r="J87"/>
      <c r="K87"/>
      <c r="L87"/>
      <c r="M87"/>
    </row>
    <row r="88" spans="2:13" ht="12.75" customHeight="1" x14ac:dyDescent="0.2">
      <c r="C88"/>
      <c r="D88"/>
      <c r="E88"/>
      <c r="F88"/>
      <c r="G88"/>
      <c r="I88" s="68"/>
      <c r="J88"/>
      <c r="K88"/>
      <c r="L88"/>
      <c r="M88"/>
    </row>
    <row r="89" spans="2:13" ht="12.75" customHeight="1" x14ac:dyDescent="0.2">
      <c r="C89"/>
      <c r="D89"/>
      <c r="E89"/>
      <c r="F89"/>
      <c r="G89"/>
      <c r="I89"/>
      <c r="J89"/>
      <c r="K89"/>
      <c r="L89"/>
      <c r="M89"/>
    </row>
    <row r="90" spans="2:13" ht="12.75" customHeight="1" x14ac:dyDescent="0.2">
      <c r="C90"/>
      <c r="D90"/>
      <c r="E90"/>
      <c r="F90"/>
      <c r="G90"/>
      <c r="I90"/>
      <c r="J90"/>
      <c r="K90"/>
      <c r="L90"/>
      <c r="M90"/>
    </row>
    <row r="91" spans="2:13" ht="12.75" customHeight="1" x14ac:dyDescent="0.25">
      <c r="B91" s="88"/>
      <c r="C91"/>
      <c r="D91"/>
      <c r="E91"/>
      <c r="F91"/>
      <c r="G91"/>
      <c r="I91"/>
      <c r="J91"/>
      <c r="K91"/>
      <c r="L91"/>
      <c r="M91"/>
    </row>
    <row r="92" spans="2:13" ht="12.75" customHeight="1" x14ac:dyDescent="0.2">
      <c r="C92"/>
      <c r="D92"/>
      <c r="E92"/>
      <c r="F92"/>
      <c r="G92"/>
      <c r="I92"/>
      <c r="J92"/>
      <c r="K92"/>
      <c r="L92"/>
      <c r="M92"/>
    </row>
    <row r="93" spans="2:13" ht="12.75" customHeight="1" x14ac:dyDescent="0.2">
      <c r="C93"/>
      <c r="D93"/>
      <c r="E93"/>
      <c r="F93"/>
      <c r="G93"/>
      <c r="I93"/>
      <c r="J93"/>
      <c r="K93"/>
      <c r="L93"/>
      <c r="M93"/>
    </row>
    <row r="94" spans="2:13" ht="12.75" customHeight="1" x14ac:dyDescent="0.2">
      <c r="B94"/>
      <c r="C94"/>
      <c r="D94"/>
      <c r="E94"/>
      <c r="F94"/>
      <c r="G94"/>
      <c r="I94"/>
      <c r="J94"/>
      <c r="K94"/>
      <c r="L94"/>
      <c r="M94"/>
    </row>
    <row r="95" spans="2:13" ht="12.75" customHeight="1" x14ac:dyDescent="0.2">
      <c r="B95"/>
      <c r="C95"/>
      <c r="D95"/>
      <c r="E95"/>
      <c r="F95"/>
      <c r="G95"/>
      <c r="I95"/>
      <c r="J95"/>
      <c r="K95"/>
      <c r="L95"/>
      <c r="M95"/>
    </row>
    <row r="96" spans="2:13" ht="12.75" customHeight="1" x14ac:dyDescent="0.2">
      <c r="C96"/>
      <c r="D96"/>
      <c r="E96"/>
      <c r="F96"/>
      <c r="G96"/>
      <c r="I96"/>
      <c r="J96"/>
      <c r="K96"/>
      <c r="L96"/>
      <c r="M96"/>
    </row>
    <row r="97" spans="2:13" ht="12.75" customHeight="1" x14ac:dyDescent="0.2">
      <c r="C97"/>
      <c r="D97"/>
      <c r="E97"/>
      <c r="F97"/>
      <c r="G97"/>
      <c r="I97"/>
      <c r="J97"/>
      <c r="K97"/>
      <c r="L97"/>
      <c r="M97"/>
    </row>
    <row r="98" spans="2:13" ht="12.75" customHeight="1" x14ac:dyDescent="0.2">
      <c r="B98"/>
      <c r="C98"/>
      <c r="D98"/>
      <c r="E98"/>
      <c r="F98"/>
      <c r="G98"/>
      <c r="I98"/>
      <c r="J98"/>
      <c r="K98"/>
      <c r="L98"/>
      <c r="M98"/>
    </row>
    <row r="99" spans="2:13" ht="12.75" customHeight="1" x14ac:dyDescent="0.2">
      <c r="C99"/>
      <c r="D99"/>
      <c r="E99"/>
      <c r="F99"/>
      <c r="G99"/>
      <c r="I99"/>
      <c r="J99"/>
      <c r="K99"/>
      <c r="L99"/>
      <c r="M99"/>
    </row>
    <row r="100" spans="2:13" ht="12.75" customHeight="1" x14ac:dyDescent="0.2">
      <c r="C100"/>
      <c r="D100"/>
      <c r="E100"/>
      <c r="F100"/>
      <c r="G100"/>
      <c r="I100"/>
      <c r="J100"/>
      <c r="K100"/>
      <c r="L100"/>
      <c r="M100"/>
    </row>
    <row r="101" spans="2:13" ht="12.75" customHeight="1" x14ac:dyDescent="0.2">
      <c r="B101"/>
      <c r="C101"/>
      <c r="D101"/>
      <c r="E101"/>
      <c r="F101"/>
      <c r="G101"/>
      <c r="I101"/>
      <c r="J101"/>
      <c r="K101"/>
      <c r="L101"/>
      <c r="M101"/>
    </row>
    <row r="102" spans="2:13" ht="12.75" customHeight="1" x14ac:dyDescent="0.2">
      <c r="B102"/>
      <c r="C102"/>
      <c r="D102"/>
      <c r="E102"/>
      <c r="F102"/>
      <c r="G102"/>
      <c r="I102"/>
      <c r="J102"/>
      <c r="K102"/>
      <c r="L102"/>
      <c r="M102"/>
    </row>
    <row r="103" spans="2:13" ht="12.75" customHeight="1" x14ac:dyDescent="0.2">
      <c r="B103"/>
      <c r="C103"/>
      <c r="D103"/>
      <c r="E103"/>
      <c r="F103"/>
      <c r="G103"/>
      <c r="I103"/>
      <c r="J103"/>
      <c r="K103"/>
      <c r="L103"/>
      <c r="M103"/>
    </row>
    <row r="104" spans="2:13" ht="12.75" customHeight="1" x14ac:dyDescent="0.2">
      <c r="B104"/>
      <c r="C104"/>
      <c r="D104"/>
      <c r="E104"/>
      <c r="F104"/>
      <c r="G104"/>
      <c r="I104"/>
      <c r="J104"/>
      <c r="K104"/>
      <c r="L104"/>
      <c r="M104"/>
    </row>
    <row r="105" spans="2:13" ht="12.75" customHeight="1" x14ac:dyDescent="0.2">
      <c r="B105"/>
      <c r="C105"/>
      <c r="D105"/>
      <c r="E105"/>
      <c r="F105"/>
      <c r="G105"/>
      <c r="I105"/>
      <c r="J105"/>
      <c r="K105"/>
      <c r="L105"/>
      <c r="M105"/>
    </row>
    <row r="106" spans="2:13" ht="12.75" customHeight="1" x14ac:dyDescent="0.2">
      <c r="B106"/>
      <c r="C106"/>
      <c r="D106"/>
      <c r="E106"/>
      <c r="F106"/>
      <c r="G106"/>
      <c r="I106"/>
      <c r="J106"/>
      <c r="K106"/>
      <c r="L106"/>
      <c r="M106"/>
    </row>
    <row r="107" spans="2:13" ht="12.75" customHeight="1" x14ac:dyDescent="0.2">
      <c r="B107"/>
      <c r="C107"/>
      <c r="D107"/>
      <c r="E107"/>
      <c r="F107"/>
      <c r="G107"/>
      <c r="I107"/>
      <c r="J107"/>
      <c r="K107"/>
      <c r="L107"/>
      <c r="M107"/>
    </row>
    <row r="108" spans="2:13" ht="12.75" customHeight="1" x14ac:dyDescent="0.2">
      <c r="B108"/>
      <c r="C108"/>
      <c r="D108"/>
      <c r="E108"/>
      <c r="F108"/>
      <c r="G108"/>
      <c r="I108"/>
      <c r="J108"/>
      <c r="K108"/>
      <c r="L108"/>
      <c r="M108"/>
    </row>
    <row r="109" spans="2:13" ht="12.75" customHeight="1" x14ac:dyDescent="0.2">
      <c r="B109"/>
      <c r="C109"/>
      <c r="D109"/>
      <c r="E109"/>
      <c r="F109"/>
      <c r="G109"/>
      <c r="I109"/>
      <c r="J109"/>
      <c r="K109"/>
      <c r="L109"/>
      <c r="M109"/>
    </row>
    <row r="110" spans="2:13" ht="12.75" customHeight="1" x14ac:dyDescent="0.2">
      <c r="B110"/>
      <c r="C110"/>
      <c r="D110"/>
      <c r="E110"/>
      <c r="F110"/>
      <c r="G110"/>
      <c r="I110"/>
      <c r="J110"/>
      <c r="K110"/>
      <c r="L110"/>
      <c r="M110"/>
    </row>
    <row r="111" spans="2:13" ht="12.75" customHeight="1" x14ac:dyDescent="0.2">
      <c r="B111"/>
      <c r="C111"/>
      <c r="D111"/>
      <c r="E111"/>
      <c r="F111"/>
      <c r="G111"/>
      <c r="I111"/>
      <c r="J111"/>
      <c r="K111"/>
      <c r="L111"/>
      <c r="M111"/>
    </row>
    <row r="112" spans="2:13" ht="12.75" customHeight="1" x14ac:dyDescent="0.2">
      <c r="B112"/>
      <c r="C112"/>
      <c r="D112"/>
      <c r="E112"/>
      <c r="F112"/>
      <c r="G112"/>
      <c r="I112"/>
      <c r="J112"/>
      <c r="K112"/>
      <c r="L112"/>
      <c r="M112"/>
    </row>
    <row r="113" spans="2:13" ht="12.75" customHeight="1" x14ac:dyDescent="0.2">
      <c r="B113"/>
      <c r="C113"/>
      <c r="D113"/>
      <c r="E113"/>
      <c r="F113"/>
      <c r="G113"/>
      <c r="I113"/>
      <c r="J113"/>
      <c r="K113"/>
      <c r="L113"/>
      <c r="M113"/>
    </row>
    <row r="114" spans="2:13" ht="12.75" customHeight="1" x14ac:dyDescent="0.2">
      <c r="B114"/>
      <c r="C114"/>
      <c r="D114"/>
      <c r="E114"/>
      <c r="F114"/>
      <c r="G114"/>
      <c r="I114"/>
      <c r="J114"/>
      <c r="K114"/>
      <c r="L114"/>
      <c r="M114"/>
    </row>
    <row r="115" spans="2:13" ht="12.75" customHeight="1" x14ac:dyDescent="0.2">
      <c r="B115"/>
      <c r="C115"/>
      <c r="D115"/>
      <c r="E115"/>
      <c r="F115"/>
      <c r="G115"/>
      <c r="L115"/>
    </row>
    <row r="116" spans="2:13" ht="12.75" customHeight="1" x14ac:dyDescent="0.2">
      <c r="B116"/>
      <c r="C116"/>
      <c r="D116"/>
      <c r="E116"/>
      <c r="F116"/>
      <c r="G116"/>
      <c r="L116"/>
    </row>
    <row r="117" spans="2:13" ht="12.75" customHeight="1" x14ac:dyDescent="0.2">
      <c r="B117"/>
      <c r="C117"/>
      <c r="D117"/>
      <c r="E117"/>
      <c r="F117"/>
      <c r="G117"/>
      <c r="I117"/>
      <c r="J117"/>
      <c r="K117"/>
      <c r="L117"/>
    </row>
    <row r="118" spans="2:13" ht="12.75" customHeight="1" x14ac:dyDescent="0.2">
      <c r="B118"/>
      <c r="C118"/>
      <c r="D118"/>
      <c r="E118"/>
      <c r="F118"/>
      <c r="G118"/>
      <c r="I118"/>
      <c r="J118"/>
      <c r="K118"/>
      <c r="L118"/>
    </row>
    <row r="119" spans="2:13" ht="12.75" customHeight="1" x14ac:dyDescent="0.2">
      <c r="B119"/>
      <c r="C119"/>
      <c r="D119"/>
      <c r="E119"/>
      <c r="F119"/>
      <c r="G119"/>
      <c r="I119"/>
      <c r="J119"/>
      <c r="K119"/>
      <c r="L119"/>
    </row>
    <row r="120" spans="2:13" ht="12.75" customHeight="1" x14ac:dyDescent="0.2">
      <c r="B120"/>
      <c r="C120"/>
      <c r="D120"/>
      <c r="E120"/>
      <c r="F120"/>
      <c r="G120"/>
      <c r="I120"/>
      <c r="J120"/>
      <c r="K120"/>
      <c r="L120"/>
    </row>
    <row r="121" spans="2:13" ht="12.75" customHeight="1" x14ac:dyDescent="0.2">
      <c r="B121"/>
      <c r="C121"/>
      <c r="D121"/>
      <c r="E121"/>
      <c r="F121"/>
      <c r="G121"/>
      <c r="I121"/>
      <c r="J121"/>
      <c r="K121"/>
      <c r="L121"/>
    </row>
    <row r="122" spans="2:13" ht="12.75" customHeight="1" x14ac:dyDescent="0.2">
      <c r="B122" s="52"/>
      <c r="C122" s="52"/>
      <c r="D122" s="52"/>
      <c r="E122" s="52"/>
      <c r="F122" s="52"/>
      <c r="G122" s="52"/>
      <c r="H122" s="52"/>
      <c r="I122"/>
      <c r="J122" s="69"/>
      <c r="K122" s="69"/>
      <c r="L122" s="69"/>
    </row>
    <row r="123" spans="2:13" ht="12.75" customHeight="1" x14ac:dyDescent="0.2">
      <c r="B123" s="54" t="str">
        <f>"Finans Norge / Skadeforsikringsstatistikk"</f>
        <v>Finans Norge / Skadeforsikringsstatistikk</v>
      </c>
      <c r="H123" s="169">
        <v>2</v>
      </c>
      <c r="I123"/>
      <c r="J123" s="69"/>
      <c r="K123" s="69"/>
      <c r="L123" s="69"/>
    </row>
    <row r="124" spans="2:13" ht="12.75" customHeight="1" x14ac:dyDescent="0.2">
      <c r="B124" s="54" t="str">
        <f>"Skadestatistikk for landbasert forsikring 4. kvartal 2023"</f>
        <v>Skadestatistikk for landbasert forsikring 4. kvartal 2023</v>
      </c>
      <c r="H124" s="170"/>
      <c r="I124"/>
      <c r="J124"/>
      <c r="K124"/>
      <c r="L124"/>
    </row>
    <row r="125" spans="2:13" ht="12.75" customHeight="1" x14ac:dyDescent="0.2">
      <c r="B125" s="78"/>
      <c r="C125"/>
      <c r="D125"/>
      <c r="E125"/>
      <c r="F125"/>
      <c r="G125"/>
      <c r="I125"/>
      <c r="J125"/>
      <c r="K125"/>
      <c r="L125"/>
    </row>
    <row r="126" spans="2:13" ht="12.75" customHeight="1" x14ac:dyDescent="0.2">
      <c r="B126"/>
      <c r="C126"/>
      <c r="D126"/>
      <c r="E126"/>
      <c r="F126"/>
      <c r="G126"/>
      <c r="I126"/>
      <c r="J126"/>
      <c r="K126"/>
      <c r="L126"/>
    </row>
    <row r="127" spans="2:13" ht="12.75" customHeight="1" x14ac:dyDescent="0.2">
      <c r="B127"/>
      <c r="C127"/>
      <c r="D127"/>
      <c r="E127"/>
      <c r="F127"/>
      <c r="G127"/>
      <c r="L127"/>
    </row>
    <row r="128" spans="2:13" ht="12.75" customHeight="1" x14ac:dyDescent="0.2">
      <c r="B128"/>
      <c r="C128"/>
      <c r="D128"/>
      <c r="E128"/>
      <c r="F128"/>
      <c r="G128"/>
      <c r="L128"/>
    </row>
    <row r="129" spans="2:12" ht="12.75" customHeight="1" x14ac:dyDescent="0.2">
      <c r="B129"/>
      <c r="C129"/>
      <c r="D129"/>
      <c r="E129"/>
      <c r="F129"/>
      <c r="G129"/>
      <c r="I129" s="68"/>
      <c r="J129"/>
      <c r="K129"/>
      <c r="L129"/>
    </row>
    <row r="130" spans="2:12" ht="12.75" customHeight="1" x14ac:dyDescent="0.2">
      <c r="B130"/>
      <c r="C130"/>
      <c r="D130"/>
      <c r="E130"/>
      <c r="F130"/>
      <c r="G130"/>
      <c r="I130"/>
      <c r="J130"/>
      <c r="K130"/>
      <c r="L130"/>
    </row>
    <row r="131" spans="2:12" ht="12.75" customHeight="1" x14ac:dyDescent="0.2">
      <c r="B131"/>
      <c r="C131"/>
      <c r="D131"/>
      <c r="E131"/>
      <c r="F131"/>
      <c r="G131"/>
      <c r="I131"/>
      <c r="J131"/>
      <c r="K131"/>
      <c r="L131"/>
    </row>
    <row r="132" spans="2:12" ht="12.75" customHeight="1" x14ac:dyDescent="0.2">
      <c r="B132"/>
      <c r="C132"/>
      <c r="D132"/>
      <c r="E132"/>
      <c r="F132"/>
      <c r="G132"/>
      <c r="I132"/>
      <c r="J132"/>
      <c r="K132" s="69"/>
      <c r="L132" s="69"/>
    </row>
    <row r="133" spans="2:12" ht="12.75" customHeight="1" x14ac:dyDescent="0.2">
      <c r="B133"/>
      <c r="C133"/>
      <c r="D133"/>
      <c r="E133"/>
      <c r="F133"/>
      <c r="G133"/>
      <c r="I133"/>
      <c r="J133"/>
      <c r="K133" s="69"/>
      <c r="L133" s="69"/>
    </row>
    <row r="134" spans="2:12" ht="12.75" customHeight="1" x14ac:dyDescent="0.2">
      <c r="B134"/>
      <c r="C134"/>
      <c r="D134"/>
      <c r="E134"/>
      <c r="F134"/>
      <c r="G134"/>
      <c r="I134"/>
      <c r="J134"/>
      <c r="K134" s="69"/>
      <c r="L134" s="69"/>
    </row>
    <row r="135" spans="2:12" ht="12.75" customHeight="1" x14ac:dyDescent="0.2">
      <c r="B135"/>
      <c r="C135"/>
      <c r="D135"/>
      <c r="E135"/>
      <c r="F135"/>
      <c r="G135"/>
      <c r="I135"/>
      <c r="J135"/>
      <c r="K135"/>
      <c r="L135"/>
    </row>
    <row r="136" spans="2:12" ht="12.75" customHeight="1" x14ac:dyDescent="0.2">
      <c r="B136"/>
      <c r="C136"/>
      <c r="D136"/>
      <c r="E136"/>
      <c r="F136"/>
      <c r="G136"/>
      <c r="I136"/>
      <c r="J136"/>
      <c r="K136"/>
      <c r="L136"/>
    </row>
    <row r="137" spans="2:12" ht="12.75" customHeight="1" x14ac:dyDescent="0.2">
      <c r="B137"/>
      <c r="C137"/>
      <c r="D137"/>
      <c r="E137"/>
      <c r="F137"/>
      <c r="G137"/>
      <c r="I137"/>
      <c r="J137"/>
      <c r="K137"/>
      <c r="L137"/>
    </row>
    <row r="138" spans="2:12" ht="12.75" customHeight="1" x14ac:dyDescent="0.2">
      <c r="B138"/>
      <c r="C138"/>
      <c r="D138"/>
      <c r="E138"/>
      <c r="F138"/>
      <c r="G138"/>
    </row>
    <row r="139" spans="2:12" ht="12.75" customHeight="1" x14ac:dyDescent="0.2">
      <c r="B139"/>
      <c r="C139"/>
      <c r="D139"/>
      <c r="E139"/>
      <c r="F139"/>
      <c r="G139"/>
    </row>
    <row r="140" spans="2:12" ht="12.75" customHeight="1" x14ac:dyDescent="0.2">
      <c r="B140"/>
      <c r="C140"/>
      <c r="D140"/>
      <c r="E140"/>
      <c r="F140"/>
      <c r="G140"/>
      <c r="I140" s="68"/>
      <c r="J140"/>
      <c r="K140"/>
      <c r="L140"/>
    </row>
    <row r="141" spans="2:12" ht="12.75" customHeight="1" x14ac:dyDescent="0.2">
      <c r="B141"/>
      <c r="C141"/>
      <c r="D141"/>
      <c r="E141"/>
      <c r="F141"/>
      <c r="G141"/>
      <c r="I141"/>
      <c r="J141"/>
      <c r="K141"/>
      <c r="L141"/>
    </row>
    <row r="142" spans="2:12" ht="12.75" customHeight="1" x14ac:dyDescent="0.2">
      <c r="B142"/>
      <c r="C142"/>
      <c r="D142"/>
      <c r="E142"/>
      <c r="F142"/>
      <c r="G142"/>
      <c r="I142"/>
      <c r="J142"/>
      <c r="K142"/>
      <c r="L142"/>
    </row>
    <row r="143" spans="2:12" ht="12.75" customHeight="1" x14ac:dyDescent="0.2">
      <c r="B143"/>
      <c r="C143"/>
      <c r="D143"/>
      <c r="E143"/>
      <c r="F143"/>
      <c r="G143"/>
      <c r="I143"/>
      <c r="J143"/>
      <c r="K143" s="69"/>
      <c r="L143" s="69"/>
    </row>
    <row r="144" spans="2:12" ht="12.75" customHeight="1" x14ac:dyDescent="0.2">
      <c r="B144"/>
      <c r="C144"/>
      <c r="D144"/>
      <c r="E144"/>
      <c r="F144"/>
      <c r="G144"/>
      <c r="I144"/>
      <c r="J144"/>
      <c r="K144" s="69"/>
      <c r="L144" s="69"/>
    </row>
    <row r="145" spans="2:12" ht="12.75" customHeight="1" x14ac:dyDescent="0.2">
      <c r="B145"/>
      <c r="C145"/>
      <c r="D145"/>
      <c r="E145"/>
      <c r="F145"/>
      <c r="G145"/>
      <c r="I145"/>
      <c r="J145"/>
      <c r="K145" s="69"/>
      <c r="L145" s="69"/>
    </row>
    <row r="146" spans="2:12" ht="12.75" customHeight="1" x14ac:dyDescent="0.2">
      <c r="B146"/>
      <c r="C146"/>
      <c r="D146"/>
      <c r="E146"/>
      <c r="F146"/>
      <c r="G146"/>
      <c r="I146"/>
      <c r="J146"/>
      <c r="K146"/>
      <c r="L146"/>
    </row>
    <row r="147" spans="2:12" ht="12.75" customHeight="1" x14ac:dyDescent="0.2">
      <c r="B147"/>
      <c r="C147"/>
      <c r="D147"/>
      <c r="E147"/>
      <c r="F147"/>
      <c r="G147"/>
      <c r="H147"/>
      <c r="I147"/>
      <c r="J147"/>
      <c r="K147"/>
      <c r="L147"/>
    </row>
    <row r="148" spans="2:12" ht="12.75" customHeight="1" x14ac:dyDescent="0.2">
      <c r="B148"/>
      <c r="C148"/>
      <c r="D148"/>
      <c r="E148"/>
      <c r="F148"/>
      <c r="G148"/>
      <c r="H148"/>
      <c r="I148"/>
      <c r="J148"/>
      <c r="K148"/>
      <c r="L148"/>
    </row>
    <row r="149" spans="2:12" ht="12.75" customHeight="1" x14ac:dyDescent="0.2">
      <c r="B149"/>
      <c r="C149"/>
      <c r="D149"/>
      <c r="E149"/>
      <c r="F149"/>
      <c r="G149"/>
      <c r="H149"/>
      <c r="I149"/>
      <c r="J149" s="69"/>
      <c r="K149" s="69"/>
    </row>
    <row r="150" spans="2:12" ht="12.75" customHeight="1" x14ac:dyDescent="0.2">
      <c r="B150"/>
      <c r="C150" s="69"/>
      <c r="D150" s="69"/>
      <c r="E150"/>
      <c r="F150"/>
      <c r="G150"/>
      <c r="H150"/>
      <c r="I150"/>
      <c r="J150" s="69"/>
      <c r="K150" s="69"/>
    </row>
    <row r="151" spans="2:12" ht="12.75" customHeight="1" x14ac:dyDescent="0.2">
      <c r="B151"/>
      <c r="C151"/>
      <c r="D151"/>
      <c r="E151"/>
      <c r="G151"/>
      <c r="H151"/>
      <c r="I151"/>
      <c r="J151"/>
      <c r="K151"/>
    </row>
    <row r="152" spans="2:12" ht="12.75" customHeight="1" x14ac:dyDescent="0.2">
      <c r="B152"/>
      <c r="C152"/>
      <c r="D152"/>
      <c r="E152"/>
      <c r="G152"/>
      <c r="H152"/>
      <c r="I152"/>
      <c r="J152"/>
      <c r="K152"/>
    </row>
    <row r="153" spans="2:12" ht="12.75" customHeight="1" x14ac:dyDescent="0.2">
      <c r="B153"/>
      <c r="C153"/>
      <c r="D153"/>
      <c r="E153"/>
      <c r="G153"/>
      <c r="H153"/>
      <c r="I153"/>
      <c r="J153"/>
      <c r="K153"/>
    </row>
    <row r="154" spans="2:12" ht="12.75" customHeight="1" x14ac:dyDescent="0.2">
      <c r="B154"/>
      <c r="C154" s="69"/>
      <c r="D154" s="69"/>
      <c r="E154"/>
      <c r="G154"/>
      <c r="H154"/>
      <c r="I154"/>
      <c r="J154"/>
      <c r="K154"/>
    </row>
    <row r="155" spans="2:12" ht="12.75" customHeight="1" x14ac:dyDescent="0.2">
      <c r="B155"/>
      <c r="C155" s="69"/>
      <c r="D155" s="69"/>
      <c r="E155"/>
      <c r="G155"/>
      <c r="H155"/>
      <c r="I155"/>
      <c r="J155"/>
      <c r="K155"/>
    </row>
    <row r="156" spans="2:12" ht="12.75" customHeight="1" x14ac:dyDescent="0.2">
      <c r="B156"/>
      <c r="C156" s="69"/>
      <c r="D156" s="69"/>
      <c r="E156"/>
      <c r="G156"/>
    </row>
    <row r="157" spans="2:12" ht="12.75" customHeight="1" x14ac:dyDescent="0.2">
      <c r="B157"/>
      <c r="C157"/>
      <c r="D157"/>
      <c r="E157"/>
      <c r="G157"/>
    </row>
    <row r="158" spans="2:12" ht="12.75" customHeight="1" x14ac:dyDescent="0.2">
      <c r="B158"/>
      <c r="C158" s="69"/>
      <c r="D158" s="69"/>
      <c r="E158"/>
      <c r="G158"/>
    </row>
    <row r="159" spans="2:12" ht="12.75" customHeight="1" x14ac:dyDescent="0.2">
      <c r="B159"/>
      <c r="C159" s="69"/>
      <c r="D159" s="69"/>
      <c r="E159"/>
      <c r="G159"/>
    </row>
    <row r="160" spans="2:12" ht="12.75" customHeight="1" x14ac:dyDescent="0.2">
      <c r="B160"/>
      <c r="C160" s="69"/>
      <c r="D160" s="69"/>
      <c r="E160"/>
      <c r="G160"/>
    </row>
    <row r="161" spans="2:7" ht="12.75" customHeight="1" x14ac:dyDescent="0.2">
      <c r="B161"/>
      <c r="C161"/>
      <c r="D161"/>
      <c r="E161"/>
      <c r="G161"/>
    </row>
    <row r="162" spans="2:7" ht="12.75" customHeight="1" x14ac:dyDescent="0.2">
      <c r="B162"/>
      <c r="C162" s="69"/>
      <c r="D162" s="69"/>
      <c r="E162"/>
      <c r="G162"/>
    </row>
    <row r="163" spans="2:7" ht="12.75" customHeight="1" x14ac:dyDescent="0.2">
      <c r="B163"/>
      <c r="C163" s="69"/>
      <c r="D163" s="69"/>
      <c r="E163"/>
      <c r="G163"/>
    </row>
  </sheetData>
  <mergeCells count="2">
    <mergeCell ref="H61:H62"/>
    <mergeCell ref="H123:H124"/>
  </mergeCells>
  <phoneticPr fontId="0" type="noConversion"/>
  <hyperlinks>
    <hyperlink ref="A8" location="Tab1!A2" display="Tab1" xr:uid="{00000000-0004-0000-0100-000000000000}"/>
    <hyperlink ref="A11" location="Tab2!A2" display="Tab2" xr:uid="{00000000-0004-0000-0100-000001000000}"/>
    <hyperlink ref="A23" location="Tab3!A2" display="Tab3" xr:uid="{00000000-0004-0000-0100-000002000000}"/>
    <hyperlink ref="A24" location="Tab4!A2" display="Tab4" xr:uid="{00000000-0004-0000-0100-000003000000}"/>
    <hyperlink ref="A26" location="Tab5!A2" display="Tab5" xr:uid="{00000000-0004-0000-0100-000004000000}"/>
    <hyperlink ref="A28" location="Tab6!A2" display="Tab6" xr:uid="{00000000-0004-0000-0100-000005000000}"/>
    <hyperlink ref="A31" location="Tab7!A2" display="Tab7" xr:uid="{00000000-0004-0000-0100-000006000000}"/>
    <hyperlink ref="A33" location="Tab8!A2" display="Tab8" xr:uid="{00000000-0004-0000-0100-000007000000}"/>
    <hyperlink ref="A35" location="Tab9!A2" display="Tab9" xr:uid="{00000000-0004-0000-0100-000008000000}"/>
    <hyperlink ref="A37" location="Tab10!A2" display="Tab10" xr:uid="{00000000-0004-0000-0100-000009000000}"/>
    <hyperlink ref="A40" location="Tab11!A2" display="Tab11" xr:uid="{00000000-0004-0000-0100-00000A000000}"/>
    <hyperlink ref="A43" location="'Tab12'!A2" display="Tab12" xr:uid="{00000000-0004-0000-0100-00000B000000}"/>
    <hyperlink ref="A45" location="'Tab13'!A2" display="Tab13" xr:uid="{00000000-0004-0000-0100-00000C000000}"/>
    <hyperlink ref="A73" location="'Tab18'!A2" display="Tab18" xr:uid="{00000000-0004-0000-0100-00000D000000}"/>
    <hyperlink ref="A75" location="'Tab19'!A2" display="Tab19" xr:uid="{00000000-0004-0000-0100-00000E000000}"/>
    <hyperlink ref="A77" location="'Tab20'!A2" display="Tab20" xr:uid="{00000000-0004-0000-0100-00000F000000}"/>
    <hyperlink ref="A47" location="'Tab14'!A2" display="Tab14" xr:uid="{00000000-0004-0000-0100-000010000000}"/>
    <hyperlink ref="A80" location="'Tab21'!A2" display="Tab21" xr:uid="{00000000-0004-0000-0100-000011000000}"/>
    <hyperlink ref="A66" location="'Tab15'!A2" display="Tab15" xr:uid="{00000000-0004-0000-0100-000012000000}"/>
    <hyperlink ref="A68" location="'Tab16'!A2" display="Tab16" xr:uid="{00000000-0004-0000-0100-000013000000}"/>
    <hyperlink ref="A70" location="'Tab17'!A2" display="Tab17" xr:uid="{00000000-0004-0000-0100-000014000000}"/>
  </hyperlinks>
  <pageMargins left="0.78740157480314965" right="0.78740157480314965" top="0.98425196850393704" bottom="0.19685039370078741" header="3.937007874015748E-2" footer="3.937007874015748E-2"/>
  <pageSetup paperSize="9" scale="93" fitToWidth="0" fitToHeight="0" orientation="portrait" horizontalDpi="300" verticalDpi="300" r:id="rId1"/>
  <headerFooter alignWithMargins="0"/>
  <rowBreaks count="1" manualBreakCount="1">
    <brk id="61"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154</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x14ac:dyDescent="0.2">
      <c r="A7" s="174" t="s">
        <v>61</v>
      </c>
      <c r="B7" s="19" t="s">
        <v>3</v>
      </c>
      <c r="C7" s="20">
        <v>169642</v>
      </c>
      <c r="D7" s="20">
        <v>354485</v>
      </c>
      <c r="E7" s="79">
        <v>384965.43589743588</v>
      </c>
      <c r="F7" s="22" t="s">
        <v>240</v>
      </c>
      <c r="G7" s="23">
        <v>126.92814037646096</v>
      </c>
      <c r="H7" s="24">
        <v>8.5985121789175452</v>
      </c>
    </row>
    <row r="8" spans="1:8" x14ac:dyDescent="0.2">
      <c r="A8" s="175"/>
      <c r="B8" s="25" t="s">
        <v>240</v>
      </c>
      <c r="C8" s="26" t="s">
        <v>240</v>
      </c>
      <c r="D8" s="26" t="s">
        <v>240</v>
      </c>
      <c r="E8" s="26" t="s">
        <v>240</v>
      </c>
      <c r="F8" s="27"/>
      <c r="G8" s="28" t="s">
        <v>240</v>
      </c>
      <c r="H8" s="29" t="s">
        <v>240</v>
      </c>
    </row>
    <row r="9" spans="1:8" x14ac:dyDescent="0.2">
      <c r="A9" s="30" t="s">
        <v>62</v>
      </c>
      <c r="B9" s="31" t="s">
        <v>3</v>
      </c>
      <c r="C9" s="20">
        <v>68285.765704347825</v>
      </c>
      <c r="D9" s="20">
        <v>136349.47408515849</v>
      </c>
      <c r="E9" s="21">
        <v>131013.74166666667</v>
      </c>
      <c r="F9" s="22" t="s">
        <v>240</v>
      </c>
      <c r="G9" s="32">
        <v>91.860983493848266</v>
      </c>
      <c r="H9" s="33">
        <v>-3.9132768602828207</v>
      </c>
    </row>
    <row r="10" spans="1:8" x14ac:dyDescent="0.2">
      <c r="A10" s="34"/>
      <c r="B10" s="25" t="s">
        <v>240</v>
      </c>
      <c r="C10" s="26" t="s">
        <v>240</v>
      </c>
      <c r="D10" s="26" t="s">
        <v>240</v>
      </c>
      <c r="E10" s="26" t="s">
        <v>240</v>
      </c>
      <c r="F10" s="27"/>
      <c r="G10" s="35" t="s">
        <v>240</v>
      </c>
      <c r="H10" s="29" t="s">
        <v>240</v>
      </c>
    </row>
    <row r="11" spans="1:8" x14ac:dyDescent="0.2">
      <c r="A11" s="30" t="s">
        <v>47</v>
      </c>
      <c r="B11" s="31" t="s">
        <v>3</v>
      </c>
      <c r="C11" s="20">
        <v>10166.449391304348</v>
      </c>
      <c r="D11" s="20">
        <v>16391.626309345666</v>
      </c>
      <c r="E11" s="21">
        <v>15309.62361111111</v>
      </c>
      <c r="F11" s="22" t="s">
        <v>240</v>
      </c>
      <c r="G11" s="37">
        <v>50.589680052957959</v>
      </c>
      <c r="H11" s="33">
        <v>-6.6009478121011824</v>
      </c>
    </row>
    <row r="12" spans="1:8" x14ac:dyDescent="0.2">
      <c r="A12" s="34"/>
      <c r="B12" s="25" t="s">
        <v>240</v>
      </c>
      <c r="C12" s="26" t="s">
        <v>240</v>
      </c>
      <c r="D12" s="26" t="s">
        <v>240</v>
      </c>
      <c r="E12" s="26" t="s">
        <v>240</v>
      </c>
      <c r="F12" s="27"/>
      <c r="G12" s="28" t="s">
        <v>240</v>
      </c>
      <c r="H12" s="29" t="s">
        <v>240</v>
      </c>
    </row>
    <row r="13" spans="1:8" x14ac:dyDescent="0.2">
      <c r="A13" s="30" t="s">
        <v>48</v>
      </c>
      <c r="B13" s="31" t="s">
        <v>3</v>
      </c>
      <c r="C13" s="20">
        <v>31090.407304347827</v>
      </c>
      <c r="D13" s="20">
        <v>83374.360223098891</v>
      </c>
      <c r="E13" s="21">
        <v>106839.91666666667</v>
      </c>
      <c r="F13" s="22" t="s">
        <v>240</v>
      </c>
      <c r="G13" s="23">
        <v>243.64270503373456</v>
      </c>
      <c r="H13" s="24">
        <v>28.144811403382306</v>
      </c>
    </row>
    <row r="14" spans="1:8" x14ac:dyDescent="0.2">
      <c r="A14" s="34"/>
      <c r="B14" s="25" t="s">
        <v>240</v>
      </c>
      <c r="C14" s="26" t="s">
        <v>240</v>
      </c>
      <c r="D14" s="26" t="s">
        <v>240</v>
      </c>
      <c r="E14" s="26" t="s">
        <v>240</v>
      </c>
      <c r="F14" s="27"/>
      <c r="G14" s="38" t="s">
        <v>240</v>
      </c>
      <c r="H14" s="24" t="s">
        <v>240</v>
      </c>
    </row>
    <row r="15" spans="1:8" x14ac:dyDescent="0.2">
      <c r="A15" s="30" t="s">
        <v>49</v>
      </c>
      <c r="B15" s="31" t="s">
        <v>3</v>
      </c>
      <c r="C15" s="20">
        <v>59019.676591304349</v>
      </c>
      <c r="D15" s="20">
        <v>110930.49911576656</v>
      </c>
      <c r="E15" s="21">
        <v>112952.245</v>
      </c>
      <c r="F15" s="22" t="s">
        <v>240</v>
      </c>
      <c r="G15" s="37">
        <v>91.380657305468503</v>
      </c>
      <c r="H15" s="33">
        <v>1.8225338390694077</v>
      </c>
    </row>
    <row r="16" spans="1:8" x14ac:dyDescent="0.2">
      <c r="A16" s="34"/>
      <c r="B16" s="25" t="s">
        <v>240</v>
      </c>
      <c r="C16" s="26" t="s">
        <v>240</v>
      </c>
      <c r="D16" s="26" t="s">
        <v>240</v>
      </c>
      <c r="E16" s="26" t="s">
        <v>240</v>
      </c>
      <c r="F16" s="27"/>
      <c r="G16" s="28" t="s">
        <v>240</v>
      </c>
      <c r="H16" s="29" t="s">
        <v>240</v>
      </c>
    </row>
    <row r="17" spans="1:9" x14ac:dyDescent="0.2">
      <c r="A17" s="30" t="s">
        <v>50</v>
      </c>
      <c r="B17" s="31" t="s">
        <v>3</v>
      </c>
      <c r="C17" s="20">
        <v>31031.005565217391</v>
      </c>
      <c r="D17" s="20">
        <v>52626.456672561559</v>
      </c>
      <c r="E17" s="21">
        <v>70319.748333333337</v>
      </c>
      <c r="F17" s="22" t="s">
        <v>240</v>
      </c>
      <c r="G17" s="37">
        <v>126.61124592157802</v>
      </c>
      <c r="H17" s="33">
        <v>33.620526213380288</v>
      </c>
    </row>
    <row r="18" spans="1:9" ht="13.5" thickBot="1" x14ac:dyDescent="0.25">
      <c r="A18" s="56"/>
      <c r="B18" s="42" t="s">
        <v>240</v>
      </c>
      <c r="C18" s="43" t="s">
        <v>240</v>
      </c>
      <c r="D18" s="43" t="s">
        <v>240</v>
      </c>
      <c r="E18" s="43" t="s">
        <v>240</v>
      </c>
      <c r="F18" s="44"/>
      <c r="G18" s="57" t="s">
        <v>240</v>
      </c>
      <c r="H18" s="46" t="s">
        <v>240</v>
      </c>
    </row>
    <row r="19" spans="1:9" x14ac:dyDescent="0.2">
      <c r="A19" s="58"/>
      <c r="B19" s="58"/>
      <c r="C19" s="21"/>
      <c r="D19" s="21"/>
      <c r="E19" s="21"/>
      <c r="F19" s="59"/>
      <c r="G19" s="38"/>
      <c r="H19" s="60"/>
      <c r="I19" s="61"/>
    </row>
    <row r="20" spans="1:9" x14ac:dyDescent="0.2">
      <c r="A20" s="58"/>
      <c r="B20" s="62"/>
      <c r="C20" s="21"/>
      <c r="D20" s="21"/>
      <c r="E20" s="21"/>
      <c r="F20" s="63"/>
      <c r="G20" s="38"/>
      <c r="H20" s="60"/>
      <c r="I20" s="61"/>
    </row>
    <row r="21" spans="1:9" x14ac:dyDescent="0.2">
      <c r="A21" s="58"/>
      <c r="B21" s="58"/>
      <c r="C21" s="21"/>
      <c r="D21" s="21"/>
      <c r="E21" s="21"/>
      <c r="F21" s="59"/>
      <c r="G21" s="38"/>
      <c r="H21" s="60"/>
      <c r="I21" s="61"/>
    </row>
    <row r="22" spans="1:9" x14ac:dyDescent="0.2">
      <c r="A22" s="58"/>
      <c r="B22" s="62"/>
      <c r="C22" s="21"/>
      <c r="D22" s="21"/>
      <c r="E22" s="21"/>
      <c r="F22" s="63"/>
      <c r="G22" s="38"/>
      <c r="H22" s="60"/>
      <c r="I22" s="61"/>
    </row>
    <row r="23" spans="1:9" x14ac:dyDescent="0.2">
      <c r="A23" s="58"/>
      <c r="B23" s="58"/>
      <c r="C23" s="21"/>
      <c r="D23" s="21"/>
      <c r="E23" s="21"/>
      <c r="F23" s="59"/>
      <c r="G23" s="38"/>
      <c r="H23" s="60"/>
      <c r="I23" s="61"/>
    </row>
    <row r="24" spans="1:9" x14ac:dyDescent="0.2">
      <c r="A24" s="58"/>
      <c r="B24" s="62"/>
      <c r="C24" s="21"/>
      <c r="D24" s="21"/>
      <c r="E24" s="21"/>
      <c r="F24" s="63"/>
      <c r="G24" s="38"/>
      <c r="H24" s="60"/>
      <c r="I24" s="61"/>
    </row>
    <row r="25" spans="1:9" x14ac:dyDescent="0.2">
      <c r="A25" s="58"/>
      <c r="B25" s="58"/>
      <c r="C25" s="21"/>
      <c r="D25" s="21"/>
      <c r="E25" s="21"/>
      <c r="F25" s="59"/>
      <c r="G25" s="38"/>
      <c r="H25" s="60"/>
      <c r="I25" s="61"/>
    </row>
    <row r="26" spans="1:9" x14ac:dyDescent="0.2">
      <c r="A26" s="58"/>
      <c r="B26" s="62"/>
      <c r="C26" s="21"/>
      <c r="D26" s="21"/>
      <c r="E26" s="21"/>
      <c r="F26" s="63"/>
      <c r="G26" s="38"/>
      <c r="H26" s="60"/>
      <c r="I26" s="61"/>
    </row>
    <row r="27" spans="1:9" x14ac:dyDescent="0.2">
      <c r="A27" s="58"/>
      <c r="B27" s="58"/>
      <c r="C27" s="21"/>
      <c r="D27" s="21"/>
      <c r="E27" s="21"/>
      <c r="F27" s="59"/>
      <c r="G27" s="38"/>
      <c r="H27" s="60"/>
      <c r="I27" s="61"/>
    </row>
    <row r="28" spans="1:9" x14ac:dyDescent="0.2">
      <c r="A28" s="58"/>
      <c r="B28" s="62"/>
      <c r="C28" s="21"/>
      <c r="D28" s="21"/>
      <c r="E28" s="21"/>
      <c r="F28" s="63"/>
      <c r="G28" s="38"/>
      <c r="H28" s="60"/>
      <c r="I28" s="61"/>
    </row>
    <row r="29" spans="1:9" x14ac:dyDescent="0.2">
      <c r="A29" s="58"/>
      <c r="B29" s="58"/>
      <c r="C29" s="64"/>
      <c r="D29" s="64"/>
      <c r="E29" s="21"/>
      <c r="F29" s="59"/>
      <c r="G29" s="38"/>
      <c r="H29" s="60"/>
      <c r="I29" s="61"/>
    </row>
    <row r="30" spans="1:9" x14ac:dyDescent="0.2">
      <c r="A30" s="65"/>
      <c r="B30" s="62"/>
      <c r="C30" s="21"/>
      <c r="D30" s="21"/>
      <c r="E30" s="21"/>
      <c r="F30" s="63"/>
      <c r="G30" s="38"/>
      <c r="H30" s="60"/>
      <c r="I30" s="61"/>
    </row>
    <row r="31" spans="1:9" x14ac:dyDescent="0.2">
      <c r="A31" s="47"/>
      <c r="B31" s="48"/>
      <c r="C31" s="49"/>
      <c r="D31" s="55"/>
      <c r="E31" s="49"/>
      <c r="F31" s="49"/>
      <c r="G31" s="50"/>
      <c r="H31" s="51"/>
      <c r="I31" s="61"/>
    </row>
    <row r="32" spans="1:9" ht="16.5" thickBot="1" x14ac:dyDescent="0.3">
      <c r="A32" s="4" t="s">
        <v>71</v>
      </c>
      <c r="B32" s="5"/>
      <c r="C32" s="5"/>
      <c r="D32" s="5"/>
      <c r="E32" s="5"/>
      <c r="F32" s="5"/>
      <c r="G32" s="5"/>
      <c r="H32" s="6"/>
    </row>
    <row r="33" spans="1:9" x14ac:dyDescent="0.2">
      <c r="A33" s="7"/>
      <c r="B33" s="8"/>
      <c r="C33" s="178" t="s">
        <v>16</v>
      </c>
      <c r="D33" s="172"/>
      <c r="E33" s="172"/>
      <c r="F33" s="179"/>
      <c r="G33" s="172" t="s">
        <v>1</v>
      </c>
      <c r="H33" s="173"/>
    </row>
    <row r="34" spans="1:9" x14ac:dyDescent="0.2">
      <c r="A34" s="12"/>
      <c r="B34" s="13"/>
      <c r="C34" s="14" t="s">
        <v>235</v>
      </c>
      <c r="D34" s="15" t="s">
        <v>236</v>
      </c>
      <c r="E34" s="15" t="s">
        <v>237</v>
      </c>
      <c r="F34" s="16"/>
      <c r="G34" s="17" t="s">
        <v>238</v>
      </c>
      <c r="H34" s="18" t="s">
        <v>239</v>
      </c>
    </row>
    <row r="35" spans="1:9" ht="12.75" customHeight="1" x14ac:dyDescent="0.2">
      <c r="A35" s="174" t="s">
        <v>61</v>
      </c>
      <c r="B35" s="19" t="s">
        <v>3</v>
      </c>
      <c r="C35" s="80">
        <v>773.78802688841324</v>
      </c>
      <c r="D35" s="80">
        <v>2098.2771570466793</v>
      </c>
      <c r="E35" s="81">
        <v>2609.2794365951395</v>
      </c>
      <c r="F35" s="22" t="s">
        <v>240</v>
      </c>
      <c r="G35" s="23">
        <v>237.20855659755762</v>
      </c>
      <c r="H35" s="24">
        <v>24.353421464478743</v>
      </c>
    </row>
    <row r="36" spans="1:9" ht="12.75" customHeight="1" x14ac:dyDescent="0.2">
      <c r="A36" s="175"/>
      <c r="B36" s="25" t="s">
        <v>240</v>
      </c>
      <c r="C36" s="82" t="s">
        <v>240</v>
      </c>
      <c r="D36" s="82" t="s">
        <v>240</v>
      </c>
      <c r="E36" s="82" t="s">
        <v>240</v>
      </c>
      <c r="F36" s="27"/>
      <c r="G36" s="28" t="s">
        <v>240</v>
      </c>
      <c r="H36" s="29" t="s">
        <v>240</v>
      </c>
    </row>
    <row r="37" spans="1:9" x14ac:dyDescent="0.2">
      <c r="A37" s="30" t="s">
        <v>62</v>
      </c>
      <c r="B37" s="31" t="s">
        <v>3</v>
      </c>
      <c r="C37" s="80">
        <v>165.50438323851947</v>
      </c>
      <c r="D37" s="80">
        <v>427.03020527351094</v>
      </c>
      <c r="E37" s="83">
        <v>438.63025170549503</v>
      </c>
      <c r="F37" s="22" t="s">
        <v>240</v>
      </c>
      <c r="G37" s="32">
        <v>165.02636553942835</v>
      </c>
      <c r="H37" s="33">
        <v>2.7164463517409274</v>
      </c>
    </row>
    <row r="38" spans="1:9" x14ac:dyDescent="0.2">
      <c r="A38" s="34"/>
      <c r="B38" s="25" t="s">
        <v>240</v>
      </c>
      <c r="C38" s="82" t="s">
        <v>240</v>
      </c>
      <c r="D38" s="82" t="s">
        <v>240</v>
      </c>
      <c r="E38" s="82" t="s">
        <v>240</v>
      </c>
      <c r="F38" s="27"/>
      <c r="G38" s="35" t="s">
        <v>240</v>
      </c>
      <c r="H38" s="29" t="s">
        <v>240</v>
      </c>
    </row>
    <row r="39" spans="1:9" x14ac:dyDescent="0.2">
      <c r="A39" s="30" t="s">
        <v>47</v>
      </c>
      <c r="B39" s="31" t="s">
        <v>3</v>
      </c>
      <c r="C39" s="80">
        <v>138.51362542790139</v>
      </c>
      <c r="D39" s="80">
        <v>241.80665297843359</v>
      </c>
      <c r="E39" s="83">
        <v>222.04429755480402</v>
      </c>
      <c r="F39" s="22" t="s">
        <v>240</v>
      </c>
      <c r="G39" s="37">
        <v>60.305021884205701</v>
      </c>
      <c r="H39" s="33">
        <v>-8.1727922620028863</v>
      </c>
    </row>
    <row r="40" spans="1:9" x14ac:dyDescent="0.2">
      <c r="A40" s="34"/>
      <c r="B40" s="25" t="s">
        <v>240</v>
      </c>
      <c r="C40" s="82" t="s">
        <v>240</v>
      </c>
      <c r="D40" s="82" t="s">
        <v>240</v>
      </c>
      <c r="E40" s="82" t="s">
        <v>240</v>
      </c>
      <c r="F40" s="27"/>
      <c r="G40" s="28" t="s">
        <v>240</v>
      </c>
      <c r="H40" s="29" t="s">
        <v>240</v>
      </c>
    </row>
    <row r="41" spans="1:9" x14ac:dyDescent="0.2">
      <c r="A41" s="30" t="s">
        <v>48</v>
      </c>
      <c r="B41" s="31" t="s">
        <v>3</v>
      </c>
      <c r="C41" s="80">
        <v>213.24163166368561</v>
      </c>
      <c r="D41" s="80">
        <v>744.84448253314326</v>
      </c>
      <c r="E41" s="83">
        <v>1161.5367167447694</v>
      </c>
      <c r="F41" s="22" t="s">
        <v>240</v>
      </c>
      <c r="G41" s="23">
        <v>444.70447805271385</v>
      </c>
      <c r="H41" s="24">
        <v>55.943521632126021</v>
      </c>
    </row>
    <row r="42" spans="1:9" x14ac:dyDescent="0.2">
      <c r="A42" s="34"/>
      <c r="B42" s="25" t="s">
        <v>240</v>
      </c>
      <c r="C42" s="82" t="s">
        <v>240</v>
      </c>
      <c r="D42" s="82" t="s">
        <v>240</v>
      </c>
      <c r="E42" s="82" t="s">
        <v>240</v>
      </c>
      <c r="F42" s="27"/>
      <c r="G42" s="38" t="s">
        <v>240</v>
      </c>
      <c r="H42" s="24" t="s">
        <v>240</v>
      </c>
    </row>
    <row r="43" spans="1:9" x14ac:dyDescent="0.2">
      <c r="A43" s="30" t="s">
        <v>49</v>
      </c>
      <c r="B43" s="31" t="s">
        <v>3</v>
      </c>
      <c r="C43" s="80">
        <v>169.9578574247042</v>
      </c>
      <c r="D43" s="80">
        <v>522.60520499379584</v>
      </c>
      <c r="E43" s="83">
        <v>578.69738744012159</v>
      </c>
      <c r="F43" s="22" t="s">
        <v>240</v>
      </c>
      <c r="G43" s="37">
        <v>240.49463567549367</v>
      </c>
      <c r="H43" s="33">
        <v>10.733184803812208</v>
      </c>
    </row>
    <row r="44" spans="1:9" x14ac:dyDescent="0.2">
      <c r="A44" s="34"/>
      <c r="B44" s="25" t="s">
        <v>240</v>
      </c>
      <c r="C44" s="82" t="s">
        <v>240</v>
      </c>
      <c r="D44" s="82" t="s">
        <v>240</v>
      </c>
      <c r="E44" s="82" t="s">
        <v>240</v>
      </c>
      <c r="F44" s="27"/>
      <c r="G44" s="28" t="s">
        <v>240</v>
      </c>
      <c r="H44" s="29" t="s">
        <v>240</v>
      </c>
    </row>
    <row r="45" spans="1:9" x14ac:dyDescent="0.2">
      <c r="A45" s="30" t="s">
        <v>50</v>
      </c>
      <c r="B45" s="31" t="s">
        <v>3</v>
      </c>
      <c r="C45" s="80">
        <v>86.570529133602676</v>
      </c>
      <c r="D45" s="80">
        <v>161.99061126779566</v>
      </c>
      <c r="E45" s="83">
        <v>208.37078314994898</v>
      </c>
      <c r="F45" s="22" t="s">
        <v>240</v>
      </c>
      <c r="G45" s="37">
        <v>140.6948244804814</v>
      </c>
      <c r="H45" s="33">
        <v>28.631395066149679</v>
      </c>
    </row>
    <row r="46" spans="1:9" ht="13.5" thickBot="1" x14ac:dyDescent="0.25">
      <c r="A46" s="56"/>
      <c r="B46" s="42" t="s">
        <v>240</v>
      </c>
      <c r="C46" s="86" t="s">
        <v>240</v>
      </c>
      <c r="D46" s="86" t="s">
        <v>240</v>
      </c>
      <c r="E46" s="86" t="s">
        <v>240</v>
      </c>
      <c r="F46" s="44"/>
      <c r="G46" s="57" t="s">
        <v>240</v>
      </c>
      <c r="H46" s="46" t="s">
        <v>240</v>
      </c>
    </row>
    <row r="47" spans="1:9" x14ac:dyDescent="0.2">
      <c r="A47" s="58"/>
      <c r="B47" s="58"/>
      <c r="C47" s="21"/>
      <c r="D47" s="21"/>
      <c r="E47" s="21"/>
      <c r="F47" s="59"/>
      <c r="G47" s="38"/>
      <c r="H47" s="60"/>
      <c r="I47" s="61"/>
    </row>
    <row r="48" spans="1:9" x14ac:dyDescent="0.2">
      <c r="A48" s="58"/>
      <c r="B48" s="62"/>
      <c r="C48" s="21"/>
      <c r="D48" s="21"/>
      <c r="E48" s="21"/>
      <c r="F48" s="63"/>
      <c r="G48" s="38"/>
      <c r="H48" s="60"/>
      <c r="I48" s="61"/>
    </row>
    <row r="49" spans="1:9" x14ac:dyDescent="0.2">
      <c r="A49" s="58"/>
      <c r="B49" s="58"/>
      <c r="C49" s="21"/>
      <c r="D49" s="21"/>
      <c r="E49" s="96"/>
      <c r="F49" s="59"/>
      <c r="G49" s="38"/>
      <c r="H49" s="60"/>
      <c r="I49" s="61"/>
    </row>
    <row r="50" spans="1:9" x14ac:dyDescent="0.2">
      <c r="A50" s="58"/>
      <c r="B50" s="62"/>
      <c r="C50" s="21"/>
      <c r="D50" s="21"/>
      <c r="E50" s="21"/>
      <c r="F50" s="63"/>
      <c r="G50" s="38"/>
      <c r="H50" s="60"/>
      <c r="I50" s="61"/>
    </row>
    <row r="51" spans="1:9" x14ac:dyDescent="0.2">
      <c r="A51" s="58"/>
      <c r="B51" s="58"/>
      <c r="C51" s="21"/>
      <c r="D51" s="21"/>
      <c r="E51" s="21"/>
      <c r="F51" s="59"/>
      <c r="G51" s="38"/>
      <c r="H51" s="60"/>
      <c r="I51" s="61"/>
    </row>
    <row r="52" spans="1:9" x14ac:dyDescent="0.2">
      <c r="A52" s="58"/>
      <c r="B52" s="62"/>
      <c r="C52" s="21"/>
      <c r="D52" s="21"/>
      <c r="E52" s="21"/>
      <c r="F52" s="63"/>
      <c r="G52" s="38"/>
      <c r="H52" s="60"/>
      <c r="I52" s="61"/>
    </row>
    <row r="53" spans="1:9" x14ac:dyDescent="0.2">
      <c r="A53" s="58"/>
      <c r="B53" s="58"/>
      <c r="C53" s="21"/>
      <c r="D53" s="21"/>
      <c r="E53" s="21"/>
      <c r="F53" s="59"/>
      <c r="G53" s="38"/>
      <c r="H53" s="60"/>
      <c r="I53" s="61"/>
    </row>
    <row r="54" spans="1:9" x14ac:dyDescent="0.2">
      <c r="A54" s="58"/>
      <c r="B54" s="62"/>
      <c r="C54" s="21"/>
      <c r="D54" s="21"/>
      <c r="E54" s="21"/>
      <c r="F54" s="63"/>
      <c r="G54" s="38"/>
      <c r="H54" s="60"/>
      <c r="I54" s="61"/>
    </row>
    <row r="55" spans="1:9" x14ac:dyDescent="0.2">
      <c r="A55" s="58"/>
      <c r="B55" s="58"/>
      <c r="C55" s="21"/>
      <c r="D55" s="21"/>
      <c r="E55" s="21"/>
      <c r="F55" s="59"/>
      <c r="G55" s="38"/>
      <c r="H55" s="60"/>
      <c r="I55" s="61"/>
    </row>
    <row r="56" spans="1:9" x14ac:dyDescent="0.2">
      <c r="A56" s="58"/>
      <c r="B56" s="62"/>
      <c r="C56" s="21"/>
      <c r="D56" s="21"/>
      <c r="E56" s="21"/>
      <c r="F56" s="63"/>
      <c r="G56" s="38"/>
      <c r="H56" s="60"/>
      <c r="I56" s="61"/>
    </row>
    <row r="57" spans="1:9" x14ac:dyDescent="0.2">
      <c r="A57" s="58"/>
      <c r="B57" s="58"/>
      <c r="C57" s="64"/>
      <c r="D57" s="64"/>
      <c r="E57" s="21"/>
      <c r="F57" s="59"/>
      <c r="G57" s="38"/>
      <c r="H57" s="60"/>
      <c r="I57" s="61"/>
    </row>
    <row r="58" spans="1:9" x14ac:dyDescent="0.2">
      <c r="A58" s="65"/>
      <c r="B58" s="62"/>
      <c r="C58" s="21"/>
      <c r="D58" s="21"/>
      <c r="E58" s="21"/>
      <c r="F58" s="63"/>
      <c r="G58" s="38"/>
      <c r="H58" s="60"/>
      <c r="I58" s="61"/>
    </row>
    <row r="59" spans="1:9" x14ac:dyDescent="0.2">
      <c r="A59" s="47"/>
      <c r="B59" s="48"/>
      <c r="C59" s="49"/>
      <c r="D59" s="49"/>
      <c r="E59" s="49"/>
      <c r="F59" s="49"/>
      <c r="G59" s="50"/>
      <c r="H59" s="51"/>
    </row>
    <row r="60" spans="1:9" x14ac:dyDescent="0.2">
      <c r="A60" s="52"/>
      <c r="B60" s="52"/>
      <c r="C60" s="52"/>
      <c r="D60" s="52"/>
      <c r="E60" s="52"/>
      <c r="F60" s="52"/>
      <c r="G60" s="52"/>
      <c r="H60" s="52"/>
    </row>
    <row r="61" spans="1:9" ht="12.75" customHeight="1" x14ac:dyDescent="0.2">
      <c r="A61" s="54" t="s">
        <v>241</v>
      </c>
      <c r="G61" s="53"/>
      <c r="H61" s="177">
        <v>24</v>
      </c>
    </row>
    <row r="62" spans="1:9" ht="12.75" customHeight="1" x14ac:dyDescent="0.2">
      <c r="A62" s="54" t="s">
        <v>242</v>
      </c>
      <c r="G62" s="53"/>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73" display="Tilbake til innholdsfortegnelsen" xr:uid="{00000000-0004-0000-13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155</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x14ac:dyDescent="0.2">
      <c r="A7" s="174" t="s">
        <v>51</v>
      </c>
      <c r="B7" s="19" t="s">
        <v>3</v>
      </c>
      <c r="C7" s="20">
        <v>12717.945965835412</v>
      </c>
      <c r="D7" s="20">
        <v>11276.932267581047</v>
      </c>
      <c r="E7" s="79">
        <v>11960.346633416459</v>
      </c>
      <c r="F7" s="22" t="s">
        <v>240</v>
      </c>
      <c r="G7" s="23">
        <v>-5.956931523801984</v>
      </c>
      <c r="H7" s="24">
        <v>6.0602861631092111</v>
      </c>
    </row>
    <row r="8" spans="1:8" x14ac:dyDescent="0.2">
      <c r="A8" s="175"/>
      <c r="B8" s="25" t="s">
        <v>240</v>
      </c>
      <c r="C8" s="26" t="s">
        <v>240</v>
      </c>
      <c r="D8" s="26" t="s">
        <v>240</v>
      </c>
      <c r="E8" s="26" t="s">
        <v>240</v>
      </c>
      <c r="F8" s="27"/>
      <c r="G8" s="28" t="s">
        <v>240</v>
      </c>
      <c r="H8" s="29" t="s">
        <v>240</v>
      </c>
    </row>
    <row r="9" spans="1:8" x14ac:dyDescent="0.2">
      <c r="A9" s="30" t="s">
        <v>12</v>
      </c>
      <c r="B9" s="31" t="s">
        <v>3</v>
      </c>
      <c r="C9" s="20">
        <v>291.84243322999998</v>
      </c>
      <c r="D9" s="20">
        <v>275.00228392999998</v>
      </c>
      <c r="E9" s="21">
        <v>217.86099999999999</v>
      </c>
      <c r="F9" s="22" t="s">
        <v>240</v>
      </c>
      <c r="G9" s="32">
        <v>-25.349786325176197</v>
      </c>
      <c r="H9" s="33">
        <v>-20.778476132418206</v>
      </c>
    </row>
    <row r="10" spans="1:8" x14ac:dyDescent="0.2">
      <c r="A10" s="34"/>
      <c r="B10" s="25" t="s">
        <v>240</v>
      </c>
      <c r="C10" s="26" t="s">
        <v>240</v>
      </c>
      <c r="D10" s="26" t="s">
        <v>240</v>
      </c>
      <c r="E10" s="26" t="s">
        <v>240</v>
      </c>
      <c r="F10" s="27"/>
      <c r="G10" s="35" t="s">
        <v>240</v>
      </c>
      <c r="H10" s="29" t="s">
        <v>240</v>
      </c>
    </row>
    <row r="11" spans="1:8" x14ac:dyDescent="0.2">
      <c r="A11" s="30" t="s">
        <v>18</v>
      </c>
      <c r="B11" s="31" t="s">
        <v>3</v>
      </c>
      <c r="C11" s="20">
        <v>282.73697329200002</v>
      </c>
      <c r="D11" s="20">
        <v>244.80091357200001</v>
      </c>
      <c r="E11" s="21">
        <v>283.14439999999996</v>
      </c>
      <c r="F11" s="22" t="s">
        <v>240</v>
      </c>
      <c r="G11" s="37">
        <v>0.14410096538000516</v>
      </c>
      <c r="H11" s="33">
        <v>15.663130446905996</v>
      </c>
    </row>
    <row r="12" spans="1:8" x14ac:dyDescent="0.2">
      <c r="A12" s="34"/>
      <c r="B12" s="25" t="s">
        <v>240</v>
      </c>
      <c r="C12" s="26" t="s">
        <v>240</v>
      </c>
      <c r="D12" s="26" t="s">
        <v>240</v>
      </c>
      <c r="E12" s="26" t="s">
        <v>240</v>
      </c>
      <c r="F12" s="27"/>
      <c r="G12" s="28" t="s">
        <v>240</v>
      </c>
      <c r="H12" s="29" t="s">
        <v>240</v>
      </c>
    </row>
    <row r="13" spans="1:8" x14ac:dyDescent="0.2">
      <c r="A13" s="30" t="s">
        <v>63</v>
      </c>
      <c r="B13" s="31" t="s">
        <v>3</v>
      </c>
      <c r="C13" s="20">
        <v>1106.9091246124999</v>
      </c>
      <c r="D13" s="20">
        <v>1216.5085647374999</v>
      </c>
      <c r="E13" s="21">
        <v>1307.72875</v>
      </c>
      <c r="F13" s="22" t="s">
        <v>240</v>
      </c>
      <c r="G13" s="23">
        <v>18.142376905403296</v>
      </c>
      <c r="H13" s="24">
        <v>7.4985238827466532</v>
      </c>
    </row>
    <row r="14" spans="1:8" x14ac:dyDescent="0.2">
      <c r="A14" s="34"/>
      <c r="B14" s="25" t="s">
        <v>240</v>
      </c>
      <c r="C14" s="26" t="s">
        <v>240</v>
      </c>
      <c r="D14" s="26" t="s">
        <v>240</v>
      </c>
      <c r="E14" s="26" t="s">
        <v>240</v>
      </c>
      <c r="F14" s="27"/>
      <c r="G14" s="38" t="s">
        <v>240</v>
      </c>
      <c r="H14" s="24" t="s">
        <v>240</v>
      </c>
    </row>
    <row r="15" spans="1:8" x14ac:dyDescent="0.2">
      <c r="A15" s="30" t="s">
        <v>52</v>
      </c>
      <c r="B15" s="31" t="s">
        <v>3</v>
      </c>
      <c r="C15" s="20">
        <v>7814.2425815249999</v>
      </c>
      <c r="D15" s="20">
        <v>6663.0399687749996</v>
      </c>
      <c r="E15" s="21">
        <v>6527.0675000000001</v>
      </c>
      <c r="F15" s="22" t="s">
        <v>240</v>
      </c>
      <c r="G15" s="37">
        <v>-16.472166919519921</v>
      </c>
      <c r="H15" s="33">
        <v>-2.0406971804492713</v>
      </c>
    </row>
    <row r="16" spans="1:8" x14ac:dyDescent="0.2">
      <c r="A16" s="34"/>
      <c r="B16" s="25" t="s">
        <v>240</v>
      </c>
      <c r="C16" s="26" t="s">
        <v>240</v>
      </c>
      <c r="D16" s="26" t="s">
        <v>240</v>
      </c>
      <c r="E16" s="26" t="s">
        <v>240</v>
      </c>
      <c r="F16" s="27"/>
      <c r="G16" s="28" t="s">
        <v>240</v>
      </c>
      <c r="H16" s="29" t="s">
        <v>240</v>
      </c>
    </row>
    <row r="17" spans="1:9" x14ac:dyDescent="0.2">
      <c r="A17" s="30" t="s">
        <v>50</v>
      </c>
      <c r="B17" s="31" t="s">
        <v>3</v>
      </c>
      <c r="C17" s="20">
        <v>4350.2121661500005</v>
      </c>
      <c r="D17" s="20">
        <v>4182.0114196499999</v>
      </c>
      <c r="E17" s="21">
        <v>4904.3050000000003</v>
      </c>
      <c r="F17" s="22" t="s">
        <v>240</v>
      </c>
      <c r="G17" s="37">
        <v>12.737145056085382</v>
      </c>
      <c r="H17" s="33">
        <v>17.27143969421418</v>
      </c>
    </row>
    <row r="18" spans="1:9" ht="13.5" thickBot="1" x14ac:dyDescent="0.25">
      <c r="A18" s="56"/>
      <c r="B18" s="42" t="s">
        <v>240</v>
      </c>
      <c r="C18" s="43" t="s">
        <v>240</v>
      </c>
      <c r="D18" s="43" t="s">
        <v>240</v>
      </c>
      <c r="E18" s="43" t="s">
        <v>240</v>
      </c>
      <c r="F18" s="44"/>
      <c r="G18" s="57" t="s">
        <v>240</v>
      </c>
      <c r="H18" s="46" t="s">
        <v>240</v>
      </c>
    </row>
    <row r="19" spans="1:9" x14ac:dyDescent="0.2">
      <c r="A19" s="58"/>
      <c r="B19" s="58"/>
      <c r="C19" s="21"/>
      <c r="D19" s="21"/>
      <c r="E19" s="21"/>
      <c r="F19" s="59"/>
      <c r="G19" s="38"/>
      <c r="H19" s="60"/>
      <c r="I19" s="61"/>
    </row>
    <row r="20" spans="1:9" x14ac:dyDescent="0.2">
      <c r="A20" s="58"/>
      <c r="B20" s="62"/>
      <c r="C20" s="21"/>
      <c r="D20" s="21"/>
      <c r="E20" s="21"/>
      <c r="F20" s="63"/>
      <c r="G20" s="38"/>
      <c r="H20" s="60"/>
      <c r="I20" s="61"/>
    </row>
    <row r="21" spans="1:9" x14ac:dyDescent="0.2">
      <c r="A21" s="58"/>
      <c r="B21" s="58"/>
      <c r="C21" s="21"/>
      <c r="D21" s="21"/>
      <c r="E21" s="21"/>
      <c r="F21" s="59"/>
      <c r="G21" s="38"/>
      <c r="H21" s="60"/>
      <c r="I21" s="61"/>
    </row>
    <row r="22" spans="1:9" x14ac:dyDescent="0.2">
      <c r="A22" s="58"/>
      <c r="B22" s="62"/>
      <c r="C22" s="21"/>
      <c r="D22" s="21"/>
      <c r="E22" s="21"/>
      <c r="F22" s="63"/>
      <c r="G22" s="38"/>
      <c r="H22" s="60"/>
      <c r="I22" s="61"/>
    </row>
    <row r="23" spans="1:9" x14ac:dyDescent="0.2">
      <c r="A23" s="58"/>
      <c r="B23" s="58"/>
      <c r="C23" s="21"/>
      <c r="D23" s="21"/>
      <c r="E23" s="21"/>
      <c r="F23" s="59"/>
      <c r="G23" s="38"/>
      <c r="H23" s="60"/>
      <c r="I23" s="61"/>
    </row>
    <row r="24" spans="1:9" x14ac:dyDescent="0.2">
      <c r="A24" s="58"/>
      <c r="B24" s="62"/>
      <c r="C24" s="21"/>
      <c r="D24" s="21"/>
      <c r="E24" s="21"/>
      <c r="F24" s="63"/>
      <c r="G24" s="38"/>
      <c r="H24" s="60"/>
      <c r="I24" s="61"/>
    </row>
    <row r="25" spans="1:9" x14ac:dyDescent="0.2">
      <c r="A25" s="58"/>
      <c r="B25" s="58"/>
      <c r="C25" s="21"/>
      <c r="D25" s="21"/>
      <c r="E25" s="21"/>
      <c r="F25" s="59"/>
      <c r="G25" s="38"/>
      <c r="H25" s="60"/>
      <c r="I25" s="61"/>
    </row>
    <row r="26" spans="1:9" x14ac:dyDescent="0.2">
      <c r="A26" s="58"/>
      <c r="B26" s="62"/>
      <c r="C26" s="21"/>
      <c r="D26" s="21"/>
      <c r="E26" s="21"/>
      <c r="F26" s="63"/>
      <c r="G26" s="38"/>
      <c r="H26" s="60"/>
      <c r="I26" s="61"/>
    </row>
    <row r="27" spans="1:9" x14ac:dyDescent="0.2">
      <c r="A27" s="58"/>
      <c r="B27" s="58"/>
      <c r="C27" s="21"/>
      <c r="D27" s="21"/>
      <c r="E27" s="21"/>
      <c r="F27" s="59"/>
      <c r="G27" s="38"/>
      <c r="H27" s="60"/>
      <c r="I27" s="61"/>
    </row>
    <row r="28" spans="1:9" x14ac:dyDescent="0.2">
      <c r="A28" s="58"/>
      <c r="B28" s="62"/>
      <c r="C28" s="21"/>
      <c r="D28" s="21"/>
      <c r="E28" s="21"/>
      <c r="F28" s="63"/>
      <c r="G28" s="38"/>
      <c r="H28" s="60"/>
      <c r="I28" s="61"/>
    </row>
    <row r="29" spans="1:9" x14ac:dyDescent="0.2">
      <c r="A29" s="58"/>
      <c r="B29" s="58"/>
      <c r="C29" s="64"/>
      <c r="D29" s="64"/>
      <c r="E29" s="21"/>
      <c r="F29" s="59"/>
      <c r="G29" s="38"/>
      <c r="H29" s="60"/>
      <c r="I29" s="61"/>
    </row>
    <row r="30" spans="1:9" x14ac:dyDescent="0.2">
      <c r="A30" s="65"/>
      <c r="B30" s="62"/>
      <c r="C30" s="21"/>
      <c r="D30" s="21"/>
      <c r="E30" s="21"/>
      <c r="F30" s="63"/>
      <c r="G30" s="38"/>
      <c r="H30" s="60"/>
      <c r="I30" s="61"/>
    </row>
    <row r="31" spans="1:9" x14ac:dyDescent="0.2">
      <c r="A31" s="47"/>
      <c r="B31" s="48"/>
      <c r="C31" s="49"/>
      <c r="D31" s="55"/>
      <c r="E31" s="49"/>
      <c r="F31" s="49"/>
      <c r="G31" s="50"/>
      <c r="H31" s="51"/>
      <c r="I31" s="61"/>
    </row>
    <row r="32" spans="1:9" ht="16.5" thickBot="1" x14ac:dyDescent="0.3">
      <c r="A32" s="4" t="s">
        <v>70</v>
      </c>
      <c r="B32" s="5"/>
      <c r="C32" s="5"/>
      <c r="D32" s="5"/>
      <c r="E32" s="5"/>
      <c r="F32" s="5"/>
      <c r="G32" s="5"/>
      <c r="H32" s="6"/>
    </row>
    <row r="33" spans="1:9" x14ac:dyDescent="0.2">
      <c r="A33" s="7"/>
      <c r="B33" s="8"/>
      <c r="C33" s="178" t="s">
        <v>16</v>
      </c>
      <c r="D33" s="172"/>
      <c r="E33" s="172"/>
      <c r="F33" s="179"/>
      <c r="G33" s="172" t="s">
        <v>1</v>
      </c>
      <c r="H33" s="173"/>
    </row>
    <row r="34" spans="1:9" x14ac:dyDescent="0.2">
      <c r="A34" s="12"/>
      <c r="B34" s="13"/>
      <c r="C34" s="14" t="s">
        <v>235</v>
      </c>
      <c r="D34" s="15" t="s">
        <v>236</v>
      </c>
      <c r="E34" s="15" t="s">
        <v>237</v>
      </c>
      <c r="F34" s="16"/>
      <c r="G34" s="17" t="s">
        <v>238</v>
      </c>
      <c r="H34" s="18" t="s">
        <v>239</v>
      </c>
    </row>
    <row r="35" spans="1:9" ht="12.75" customHeight="1" x14ac:dyDescent="0.2">
      <c r="A35" s="174" t="s">
        <v>51</v>
      </c>
      <c r="B35" s="19" t="s">
        <v>3</v>
      </c>
      <c r="C35" s="80">
        <v>593.00593686028037</v>
      </c>
      <c r="D35" s="80">
        <v>599.94610259804858</v>
      </c>
      <c r="E35" s="81">
        <v>662.09127275885123</v>
      </c>
      <c r="F35" s="22" t="s">
        <v>240</v>
      </c>
      <c r="G35" s="23">
        <v>11.650024325953453</v>
      </c>
      <c r="H35" s="24">
        <v>10.358458850167509</v>
      </c>
    </row>
    <row r="36" spans="1:9" ht="12.75" customHeight="1" x14ac:dyDescent="0.2">
      <c r="A36" s="175"/>
      <c r="B36" s="25" t="s">
        <v>240</v>
      </c>
      <c r="C36" s="82" t="s">
        <v>240</v>
      </c>
      <c r="D36" s="82" t="s">
        <v>240</v>
      </c>
      <c r="E36" s="82" t="s">
        <v>240</v>
      </c>
      <c r="F36" s="27"/>
      <c r="G36" s="28" t="s">
        <v>240</v>
      </c>
      <c r="H36" s="29" t="s">
        <v>240</v>
      </c>
    </row>
    <row r="37" spans="1:9" x14ac:dyDescent="0.2">
      <c r="A37" s="30" t="s">
        <v>12</v>
      </c>
      <c r="B37" s="31" t="s">
        <v>3</v>
      </c>
      <c r="C37" s="80">
        <v>4.3967812578006047</v>
      </c>
      <c r="D37" s="80">
        <v>6.0730403122216252</v>
      </c>
      <c r="E37" s="83">
        <v>3.4669047888267976</v>
      </c>
      <c r="F37" s="22" t="s">
        <v>240</v>
      </c>
      <c r="G37" s="32">
        <v>-21.149027310013551</v>
      </c>
      <c r="H37" s="33">
        <v>-42.913193218068024</v>
      </c>
    </row>
    <row r="38" spans="1:9" x14ac:dyDescent="0.2">
      <c r="A38" s="34"/>
      <c r="B38" s="25" t="s">
        <v>240</v>
      </c>
      <c r="C38" s="82" t="s">
        <v>240</v>
      </c>
      <c r="D38" s="82" t="s">
        <v>240</v>
      </c>
      <c r="E38" s="82" t="s">
        <v>240</v>
      </c>
      <c r="F38" s="27"/>
      <c r="G38" s="35" t="s">
        <v>240</v>
      </c>
      <c r="H38" s="29" t="s">
        <v>240</v>
      </c>
    </row>
    <row r="39" spans="1:9" x14ac:dyDescent="0.2">
      <c r="A39" s="30" t="s">
        <v>18</v>
      </c>
      <c r="B39" s="31" t="s">
        <v>3</v>
      </c>
      <c r="C39" s="80">
        <v>32.676635325528288</v>
      </c>
      <c r="D39" s="80">
        <v>41.588474536253699</v>
      </c>
      <c r="E39" s="83">
        <v>38.907787125825024</v>
      </c>
      <c r="F39" s="22" t="s">
        <v>240</v>
      </c>
      <c r="G39" s="37">
        <v>19.069135295667095</v>
      </c>
      <c r="H39" s="33">
        <v>-6.4457459436071787</v>
      </c>
    </row>
    <row r="40" spans="1:9" x14ac:dyDescent="0.2">
      <c r="A40" s="34"/>
      <c r="B40" s="25" t="s">
        <v>240</v>
      </c>
      <c r="C40" s="82" t="s">
        <v>240</v>
      </c>
      <c r="D40" s="82" t="s">
        <v>240</v>
      </c>
      <c r="E40" s="82" t="s">
        <v>240</v>
      </c>
      <c r="F40" s="27"/>
      <c r="G40" s="28" t="s">
        <v>240</v>
      </c>
      <c r="H40" s="29" t="s">
        <v>240</v>
      </c>
    </row>
    <row r="41" spans="1:9" x14ac:dyDescent="0.2">
      <c r="A41" s="30" t="s">
        <v>63</v>
      </c>
      <c r="B41" s="31" t="s">
        <v>3</v>
      </c>
      <c r="C41" s="80">
        <v>55.697563804012269</v>
      </c>
      <c r="D41" s="80">
        <v>69.98089542611072</v>
      </c>
      <c r="E41" s="83">
        <v>88.607126070883524</v>
      </c>
      <c r="F41" s="22" t="s">
        <v>240</v>
      </c>
      <c r="G41" s="23">
        <v>59.086179034100866</v>
      </c>
      <c r="H41" s="24">
        <v>26.616165070993276</v>
      </c>
    </row>
    <row r="42" spans="1:9" x14ac:dyDescent="0.2">
      <c r="A42" s="34"/>
      <c r="B42" s="25" t="s">
        <v>240</v>
      </c>
      <c r="C42" s="82" t="s">
        <v>240</v>
      </c>
      <c r="D42" s="82" t="s">
        <v>240</v>
      </c>
      <c r="E42" s="82" t="s">
        <v>240</v>
      </c>
      <c r="F42" s="27"/>
      <c r="G42" s="38" t="s">
        <v>240</v>
      </c>
      <c r="H42" s="24" t="s">
        <v>240</v>
      </c>
    </row>
    <row r="43" spans="1:9" x14ac:dyDescent="0.2">
      <c r="A43" s="30" t="s">
        <v>52</v>
      </c>
      <c r="B43" s="31" t="s">
        <v>3</v>
      </c>
      <c r="C43" s="80">
        <v>365.06667916418689</v>
      </c>
      <c r="D43" s="80">
        <v>341.68380831054014</v>
      </c>
      <c r="E43" s="83">
        <v>341.93154235431871</v>
      </c>
      <c r="F43" s="22" t="s">
        <v>240</v>
      </c>
      <c r="G43" s="37">
        <v>-6.3372359435365695</v>
      </c>
      <c r="H43" s="33">
        <v>7.2503887440106496E-2</v>
      </c>
    </row>
    <row r="44" spans="1:9" x14ac:dyDescent="0.2">
      <c r="A44" s="34"/>
      <c r="B44" s="25" t="s">
        <v>240</v>
      </c>
      <c r="C44" s="82" t="s">
        <v>240</v>
      </c>
      <c r="D44" s="82" t="s">
        <v>240</v>
      </c>
      <c r="E44" s="82" t="s">
        <v>240</v>
      </c>
      <c r="F44" s="27"/>
      <c r="G44" s="28" t="s">
        <v>240</v>
      </c>
      <c r="H44" s="29" t="s">
        <v>240</v>
      </c>
    </row>
    <row r="45" spans="1:9" x14ac:dyDescent="0.2">
      <c r="A45" s="30" t="s">
        <v>50</v>
      </c>
      <c r="B45" s="31" t="s">
        <v>3</v>
      </c>
      <c r="C45" s="80">
        <v>135.16827730875235</v>
      </c>
      <c r="D45" s="80">
        <v>140.61988401292237</v>
      </c>
      <c r="E45" s="83">
        <v>189.17791241899712</v>
      </c>
      <c r="F45" s="22" t="s">
        <v>240</v>
      </c>
      <c r="G45" s="37">
        <v>39.957330363007856</v>
      </c>
      <c r="H45" s="33">
        <v>34.53140979807128</v>
      </c>
    </row>
    <row r="46" spans="1:9" ht="13.5" thickBot="1" x14ac:dyDescent="0.25">
      <c r="A46" s="56"/>
      <c r="B46" s="42" t="s">
        <v>240</v>
      </c>
      <c r="C46" s="86" t="s">
        <v>240</v>
      </c>
      <c r="D46" s="86" t="s">
        <v>240</v>
      </c>
      <c r="E46" s="86" t="s">
        <v>240</v>
      </c>
      <c r="F46" s="44"/>
      <c r="G46" s="57" t="s">
        <v>240</v>
      </c>
      <c r="H46" s="46" t="s">
        <v>240</v>
      </c>
    </row>
    <row r="47" spans="1:9" x14ac:dyDescent="0.2">
      <c r="A47" s="58"/>
      <c r="B47" s="58"/>
      <c r="C47" s="21"/>
      <c r="D47" s="21"/>
      <c r="E47" s="21"/>
      <c r="F47" s="59"/>
      <c r="G47" s="38"/>
      <c r="H47" s="60"/>
      <c r="I47" s="61"/>
    </row>
    <row r="48" spans="1:9" x14ac:dyDescent="0.2">
      <c r="A48" s="58"/>
      <c r="B48" s="62"/>
      <c r="C48" s="21"/>
      <c r="D48" s="21"/>
      <c r="E48" s="21"/>
      <c r="F48" s="63"/>
      <c r="G48" s="38"/>
      <c r="H48" s="60"/>
      <c r="I48" s="61"/>
    </row>
    <row r="49" spans="1:9" x14ac:dyDescent="0.2">
      <c r="A49" s="58"/>
      <c r="B49" s="58"/>
      <c r="C49" s="21"/>
      <c r="D49" s="21"/>
      <c r="E49" s="96"/>
      <c r="F49" s="59"/>
      <c r="G49" s="38"/>
      <c r="H49" s="60"/>
      <c r="I49" s="61"/>
    </row>
    <row r="50" spans="1:9" x14ac:dyDescent="0.2">
      <c r="A50" s="58"/>
      <c r="B50" s="62"/>
      <c r="C50" s="21"/>
      <c r="D50" s="21"/>
      <c r="E50" s="21"/>
      <c r="F50" s="63"/>
      <c r="G50" s="38"/>
      <c r="H50" s="60"/>
      <c r="I50" s="61"/>
    </row>
    <row r="51" spans="1:9" x14ac:dyDescent="0.2">
      <c r="A51" s="58"/>
      <c r="B51" s="58"/>
      <c r="C51" s="21"/>
      <c r="D51" s="21"/>
      <c r="E51" s="21"/>
      <c r="F51" s="59"/>
      <c r="G51" s="38"/>
      <c r="H51" s="60"/>
      <c r="I51" s="61"/>
    </row>
    <row r="52" spans="1:9" x14ac:dyDescent="0.2">
      <c r="A52" s="58"/>
      <c r="B52" s="62"/>
      <c r="C52" s="21"/>
      <c r="D52" s="21"/>
      <c r="E52" s="21"/>
      <c r="F52" s="63"/>
      <c r="G52" s="38"/>
      <c r="H52" s="60"/>
      <c r="I52" s="61"/>
    </row>
    <row r="53" spans="1:9" x14ac:dyDescent="0.2">
      <c r="A53" s="58"/>
      <c r="B53" s="58"/>
      <c r="C53" s="21"/>
      <c r="D53" s="21"/>
      <c r="E53" s="21"/>
      <c r="F53" s="59"/>
      <c r="G53" s="38"/>
      <c r="H53" s="60"/>
      <c r="I53" s="61"/>
    </row>
    <row r="54" spans="1:9" x14ac:dyDescent="0.2">
      <c r="A54" s="58"/>
      <c r="B54" s="62"/>
      <c r="C54" s="21"/>
      <c r="D54" s="21"/>
      <c r="E54" s="21"/>
      <c r="F54" s="63"/>
      <c r="G54" s="38"/>
      <c r="H54" s="60"/>
      <c r="I54" s="61"/>
    </row>
    <row r="55" spans="1:9" x14ac:dyDescent="0.2">
      <c r="A55" s="58"/>
      <c r="B55" s="58"/>
      <c r="C55" s="21"/>
      <c r="D55" s="21"/>
      <c r="E55" s="21"/>
      <c r="F55" s="59"/>
      <c r="G55" s="38"/>
      <c r="H55" s="60"/>
      <c r="I55" s="61"/>
    </row>
    <row r="56" spans="1:9" x14ac:dyDescent="0.2">
      <c r="A56" s="58"/>
      <c r="B56" s="62"/>
      <c r="C56" s="21"/>
      <c r="D56" s="21"/>
      <c r="E56" s="21"/>
      <c r="F56" s="63"/>
      <c r="G56" s="38"/>
      <c r="H56" s="60"/>
      <c r="I56" s="61"/>
    </row>
    <row r="57" spans="1:9" x14ac:dyDescent="0.2">
      <c r="A57" s="58"/>
      <c r="B57" s="58"/>
      <c r="C57" s="64"/>
      <c r="D57" s="64"/>
      <c r="E57" s="21"/>
      <c r="F57" s="59"/>
      <c r="G57" s="38"/>
      <c r="H57" s="60"/>
      <c r="I57" s="61"/>
    </row>
    <row r="58" spans="1:9" x14ac:dyDescent="0.2">
      <c r="A58" s="65"/>
      <c r="B58" s="62"/>
      <c r="C58" s="21"/>
      <c r="D58" s="21"/>
      <c r="E58" s="21"/>
      <c r="F58" s="63"/>
      <c r="G58" s="38"/>
      <c r="H58" s="60"/>
      <c r="I58" s="61"/>
    </row>
    <row r="59" spans="1:9" x14ac:dyDescent="0.2">
      <c r="A59" s="47"/>
      <c r="B59" s="48"/>
      <c r="C59" s="49"/>
      <c r="D59" s="49"/>
      <c r="E59" s="49"/>
      <c r="F59" s="49"/>
      <c r="G59" s="50"/>
      <c r="H59" s="51"/>
    </row>
    <row r="60" spans="1:9" x14ac:dyDescent="0.2">
      <c r="A60" s="52"/>
      <c r="B60" s="52"/>
      <c r="C60" s="52"/>
      <c r="D60" s="52"/>
      <c r="E60" s="52"/>
      <c r="F60" s="52"/>
      <c r="G60" s="52"/>
      <c r="H60" s="52"/>
    </row>
    <row r="61" spans="1:9" ht="12.75" customHeight="1" x14ac:dyDescent="0.2">
      <c r="A61" s="54" t="s">
        <v>241</v>
      </c>
      <c r="H61" s="169">
        <v>25</v>
      </c>
    </row>
    <row r="62" spans="1:9" ht="12.75" customHeight="1" x14ac:dyDescent="0.2">
      <c r="A62" s="54" t="s">
        <v>242</v>
      </c>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75" display="Tilbake til innholdsfortegnelsen" xr:uid="{00000000-0004-0000-14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156</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ht="12.75" customHeight="1" x14ac:dyDescent="0.2">
      <c r="A7" s="174" t="s">
        <v>64</v>
      </c>
      <c r="B7" s="19" t="s">
        <v>3</v>
      </c>
      <c r="C7" s="20">
        <v>11455.784425960001</v>
      </c>
      <c r="D7" s="20">
        <v>12078.23712256</v>
      </c>
      <c r="E7" s="79">
        <v>13236.988000000001</v>
      </c>
      <c r="F7" s="22" t="s">
        <v>240</v>
      </c>
      <c r="G7" s="23">
        <v>15.548508140600205</v>
      </c>
      <c r="H7" s="24">
        <v>9.5937086321617357</v>
      </c>
    </row>
    <row r="8" spans="1:8" ht="12.75" customHeight="1" x14ac:dyDescent="0.2">
      <c r="A8" s="175"/>
      <c r="B8" s="25" t="s">
        <v>240</v>
      </c>
      <c r="C8" s="26" t="s">
        <v>240</v>
      </c>
      <c r="D8" s="26" t="s">
        <v>240</v>
      </c>
      <c r="E8" s="26" t="s">
        <v>240</v>
      </c>
      <c r="F8" s="27"/>
      <c r="G8" s="28" t="s">
        <v>240</v>
      </c>
      <c r="H8" s="29" t="s">
        <v>240</v>
      </c>
    </row>
    <row r="9" spans="1:8" x14ac:dyDescent="0.2">
      <c r="A9" s="30" t="s">
        <v>53</v>
      </c>
      <c r="B9" s="31" t="s">
        <v>3</v>
      </c>
      <c r="C9" s="20">
        <v>2.2378442596000001</v>
      </c>
      <c r="D9" s="20">
        <v>5.2623712255999999</v>
      </c>
      <c r="E9" s="21">
        <v>2.2898800000000001</v>
      </c>
      <c r="F9" s="22" t="s">
        <v>240</v>
      </c>
      <c r="G9" s="32">
        <v>2.3252619201168585</v>
      </c>
      <c r="H9" s="33">
        <v>-56.485776053571463</v>
      </c>
    </row>
    <row r="10" spans="1:8" x14ac:dyDescent="0.2">
      <c r="A10" s="34"/>
      <c r="B10" s="25" t="s">
        <v>240</v>
      </c>
      <c r="C10" s="26" t="s">
        <v>240</v>
      </c>
      <c r="D10" s="26" t="s">
        <v>240</v>
      </c>
      <c r="E10" s="26" t="s">
        <v>240</v>
      </c>
      <c r="F10" s="27"/>
      <c r="G10" s="35" t="s">
        <v>240</v>
      </c>
      <c r="H10" s="29" t="s">
        <v>240</v>
      </c>
    </row>
    <row r="11" spans="1:8" x14ac:dyDescent="0.2">
      <c r="A11" s="30" t="s">
        <v>54</v>
      </c>
      <c r="B11" s="31" t="s">
        <v>3</v>
      </c>
      <c r="C11" s="20">
        <v>691.18922129800001</v>
      </c>
      <c r="D11" s="20">
        <v>467.31185612799999</v>
      </c>
      <c r="E11" s="21">
        <v>499.44940000000003</v>
      </c>
      <c r="F11" s="22" t="s">
        <v>240</v>
      </c>
      <c r="G11" s="37">
        <v>-27.740568774774502</v>
      </c>
      <c r="H11" s="33">
        <v>6.8771086054357085</v>
      </c>
    </row>
    <row r="12" spans="1:8" x14ac:dyDescent="0.2">
      <c r="A12" s="34"/>
      <c r="B12" s="25" t="s">
        <v>240</v>
      </c>
      <c r="C12" s="26" t="s">
        <v>240</v>
      </c>
      <c r="D12" s="26" t="s">
        <v>240</v>
      </c>
      <c r="E12" s="26" t="s">
        <v>240</v>
      </c>
      <c r="F12" s="27"/>
      <c r="G12" s="28" t="s">
        <v>240</v>
      </c>
      <c r="H12" s="29" t="s">
        <v>240</v>
      </c>
    </row>
    <row r="13" spans="1:8" x14ac:dyDescent="0.2">
      <c r="A13" s="30" t="s">
        <v>66</v>
      </c>
      <c r="B13" s="31" t="s">
        <v>3</v>
      </c>
      <c r="C13" s="20">
        <v>33.475688519199998</v>
      </c>
      <c r="D13" s="20">
        <v>38.524742451199998</v>
      </c>
      <c r="E13" s="21">
        <v>14.57976</v>
      </c>
      <c r="F13" s="22" t="s">
        <v>240</v>
      </c>
      <c r="G13" s="23">
        <v>-56.446721053585584</v>
      </c>
      <c r="H13" s="24">
        <v>-62.154815133499071</v>
      </c>
    </row>
    <row r="14" spans="1:8" x14ac:dyDescent="0.2">
      <c r="A14" s="34"/>
      <c r="B14" s="25" t="s">
        <v>240</v>
      </c>
      <c r="C14" s="26" t="s">
        <v>240</v>
      </c>
      <c r="D14" s="26" t="s">
        <v>240</v>
      </c>
      <c r="E14" s="26" t="s">
        <v>240</v>
      </c>
      <c r="F14" s="27"/>
      <c r="G14" s="38" t="s">
        <v>240</v>
      </c>
      <c r="H14" s="24" t="s">
        <v>240</v>
      </c>
    </row>
    <row r="15" spans="1:8" x14ac:dyDescent="0.2">
      <c r="A15" s="30" t="s">
        <v>55</v>
      </c>
      <c r="B15" s="31" t="s">
        <v>3</v>
      </c>
      <c r="C15" s="20">
        <v>8374.0275407680001</v>
      </c>
      <c r="D15" s="20">
        <v>7995.9896980479998</v>
      </c>
      <c r="E15" s="21">
        <v>7483.1903999999995</v>
      </c>
      <c r="F15" s="22" t="s">
        <v>240</v>
      </c>
      <c r="G15" s="37">
        <v>-10.638096619948541</v>
      </c>
      <c r="H15" s="33">
        <v>-6.4132060872112646</v>
      </c>
    </row>
    <row r="16" spans="1:8" x14ac:dyDescent="0.2">
      <c r="A16" s="34"/>
      <c r="B16" s="25" t="s">
        <v>240</v>
      </c>
      <c r="C16" s="26" t="s">
        <v>240</v>
      </c>
      <c r="D16" s="26" t="s">
        <v>240</v>
      </c>
      <c r="E16" s="26" t="s">
        <v>240</v>
      </c>
      <c r="F16" s="27"/>
      <c r="G16" s="28" t="s">
        <v>240</v>
      </c>
      <c r="H16" s="29" t="s">
        <v>240</v>
      </c>
    </row>
    <row r="17" spans="1:9" x14ac:dyDescent="0.2">
      <c r="A17" s="30" t="s">
        <v>67</v>
      </c>
      <c r="B17" s="31" t="s">
        <v>3</v>
      </c>
      <c r="C17" s="20">
        <v>770.18922129800001</v>
      </c>
      <c r="D17" s="20">
        <v>1376.311856128</v>
      </c>
      <c r="E17" s="21">
        <v>1805.4494</v>
      </c>
      <c r="F17" s="22" t="s">
        <v>240</v>
      </c>
      <c r="G17" s="37">
        <v>134.41634212398816</v>
      </c>
      <c r="H17" s="33">
        <v>31.180254820974909</v>
      </c>
    </row>
    <row r="18" spans="1:9" x14ac:dyDescent="0.2">
      <c r="A18" s="30"/>
      <c r="B18" s="25" t="s">
        <v>240</v>
      </c>
      <c r="C18" s="26" t="s">
        <v>240</v>
      </c>
      <c r="D18" s="26" t="s">
        <v>240</v>
      </c>
      <c r="E18" s="26" t="s">
        <v>240</v>
      </c>
      <c r="F18" s="27"/>
      <c r="G18" s="28" t="s">
        <v>240</v>
      </c>
      <c r="H18" s="29" t="s">
        <v>240</v>
      </c>
    </row>
    <row r="19" spans="1:9" x14ac:dyDescent="0.2">
      <c r="A19" s="39" t="s">
        <v>56</v>
      </c>
      <c r="B19" s="31" t="s">
        <v>3</v>
      </c>
      <c r="C19" s="20">
        <v>80.237844259599996</v>
      </c>
      <c r="D19" s="20">
        <v>102.26237122560001</v>
      </c>
      <c r="E19" s="21">
        <v>0.28988000000000003</v>
      </c>
      <c r="F19" s="22" t="s">
        <v>240</v>
      </c>
      <c r="G19" s="23">
        <v>-99.638724092509108</v>
      </c>
      <c r="H19" s="24">
        <v>-99.716533074164204</v>
      </c>
    </row>
    <row r="20" spans="1:9" x14ac:dyDescent="0.2">
      <c r="A20" s="34"/>
      <c r="B20" s="25" t="s">
        <v>240</v>
      </c>
      <c r="C20" s="26" t="s">
        <v>240</v>
      </c>
      <c r="D20" s="26" t="s">
        <v>240</v>
      </c>
      <c r="E20" s="26" t="s">
        <v>240</v>
      </c>
      <c r="F20" s="27"/>
      <c r="G20" s="38" t="s">
        <v>240</v>
      </c>
      <c r="H20" s="24" t="s">
        <v>240</v>
      </c>
    </row>
    <row r="21" spans="1:9" x14ac:dyDescent="0.2">
      <c r="A21" s="39" t="s">
        <v>68</v>
      </c>
      <c r="B21" s="31" t="s">
        <v>3</v>
      </c>
      <c r="C21" s="20">
        <v>2.2378442596000001</v>
      </c>
      <c r="D21" s="20">
        <v>53.262371225599999</v>
      </c>
      <c r="E21" s="21">
        <v>13.28988</v>
      </c>
      <c r="F21" s="22" t="s">
        <v>240</v>
      </c>
      <c r="G21" s="37">
        <v>493.86974509010201</v>
      </c>
      <c r="H21" s="33">
        <v>-75.048275744786295</v>
      </c>
    </row>
    <row r="22" spans="1:9" x14ac:dyDescent="0.2">
      <c r="A22" s="34"/>
      <c r="B22" s="25" t="s">
        <v>240</v>
      </c>
      <c r="C22" s="26" t="s">
        <v>240</v>
      </c>
      <c r="D22" s="26" t="s">
        <v>240</v>
      </c>
      <c r="E22" s="26" t="s">
        <v>240</v>
      </c>
      <c r="F22" s="27"/>
      <c r="G22" s="28" t="s">
        <v>240</v>
      </c>
      <c r="H22" s="29" t="s">
        <v>240</v>
      </c>
    </row>
    <row r="23" spans="1:9" x14ac:dyDescent="0.2">
      <c r="A23" s="30" t="s">
        <v>69</v>
      </c>
      <c r="B23" s="31" t="s">
        <v>3</v>
      </c>
      <c r="C23" s="20">
        <v>1525.1892212980001</v>
      </c>
      <c r="D23" s="20">
        <v>2065.3118561279998</v>
      </c>
      <c r="E23" s="21">
        <v>3454.4494</v>
      </c>
      <c r="F23" s="22" t="s">
        <v>240</v>
      </c>
      <c r="G23" s="23">
        <v>126.49316896300368</v>
      </c>
      <c r="H23" s="24">
        <v>67.260425574485595</v>
      </c>
    </row>
    <row r="24" spans="1:9" ht="13.5" thickBot="1" x14ac:dyDescent="0.25">
      <c r="A24" s="56"/>
      <c r="B24" s="42" t="s">
        <v>240</v>
      </c>
      <c r="C24" s="43" t="s">
        <v>240</v>
      </c>
      <c r="D24" s="43" t="s">
        <v>240</v>
      </c>
      <c r="E24" s="43" t="s">
        <v>240</v>
      </c>
      <c r="F24" s="44"/>
      <c r="G24" s="57" t="s">
        <v>240</v>
      </c>
      <c r="H24" s="46" t="s">
        <v>240</v>
      </c>
    </row>
    <row r="25" spans="1:9" x14ac:dyDescent="0.2">
      <c r="A25" s="58"/>
      <c r="B25" s="58"/>
      <c r="C25" s="64"/>
      <c r="D25" s="64"/>
      <c r="E25" s="21"/>
      <c r="F25" s="59"/>
      <c r="G25" s="38"/>
      <c r="H25" s="60"/>
      <c r="I25" s="61"/>
    </row>
    <row r="26" spans="1:9" x14ac:dyDescent="0.2">
      <c r="A26" s="58"/>
      <c r="B26" s="58"/>
      <c r="C26" s="64"/>
      <c r="D26" s="64"/>
      <c r="E26" s="21"/>
      <c r="F26" s="59"/>
      <c r="G26" s="38"/>
      <c r="H26" s="60"/>
      <c r="I26" s="61"/>
    </row>
    <row r="27" spans="1:9" x14ac:dyDescent="0.2">
      <c r="A27" s="58"/>
      <c r="B27" s="58"/>
      <c r="C27" s="64"/>
      <c r="D27" s="64"/>
      <c r="E27" s="21"/>
      <c r="F27" s="59"/>
      <c r="G27" s="38"/>
      <c r="H27" s="60"/>
      <c r="I27" s="61"/>
    </row>
    <row r="28" spans="1:9" x14ac:dyDescent="0.2">
      <c r="A28" s="58"/>
      <c r="B28" s="58"/>
      <c r="C28" s="64"/>
      <c r="D28" s="64"/>
      <c r="E28" s="21"/>
      <c r="F28" s="59"/>
      <c r="G28" s="38"/>
      <c r="H28" s="60"/>
      <c r="I28" s="61"/>
    </row>
    <row r="29" spans="1:9" x14ac:dyDescent="0.2">
      <c r="A29" s="58"/>
      <c r="B29" s="58"/>
      <c r="C29" s="64"/>
      <c r="D29" s="64"/>
      <c r="E29" s="21"/>
      <c r="F29" s="59"/>
      <c r="G29" s="38"/>
      <c r="H29" s="60"/>
      <c r="I29" s="61"/>
    </row>
    <row r="30" spans="1:9" x14ac:dyDescent="0.2">
      <c r="A30" s="65"/>
      <c r="B30" s="62"/>
      <c r="C30" s="21"/>
      <c r="D30" s="21"/>
      <c r="E30" s="21"/>
      <c r="F30" s="63"/>
      <c r="G30" s="38"/>
      <c r="H30" s="60"/>
      <c r="I30" s="61"/>
    </row>
    <row r="31" spans="1:9" x14ac:dyDescent="0.2">
      <c r="A31" s="47"/>
      <c r="B31" s="48"/>
      <c r="C31" s="49"/>
      <c r="D31" s="55"/>
      <c r="E31" s="49"/>
      <c r="F31" s="49"/>
      <c r="G31" s="50"/>
      <c r="H31" s="51"/>
      <c r="I31" s="61"/>
    </row>
    <row r="32" spans="1:9" ht="16.5" thickBot="1" x14ac:dyDescent="0.3">
      <c r="A32" s="4" t="s">
        <v>65</v>
      </c>
      <c r="B32" s="5"/>
      <c r="C32" s="5"/>
      <c r="D32" s="5"/>
      <c r="E32" s="5"/>
      <c r="F32" s="5"/>
      <c r="G32" s="5"/>
      <c r="H32" s="6"/>
    </row>
    <row r="33" spans="1:8" x14ac:dyDescent="0.2">
      <c r="A33" s="7"/>
      <c r="B33" s="8"/>
      <c r="C33" s="178" t="s">
        <v>16</v>
      </c>
      <c r="D33" s="172"/>
      <c r="E33" s="172"/>
      <c r="F33" s="179"/>
      <c r="G33" s="172" t="s">
        <v>1</v>
      </c>
      <c r="H33" s="173"/>
    </row>
    <row r="34" spans="1:8" x14ac:dyDescent="0.2">
      <c r="A34" s="12"/>
      <c r="B34" s="13"/>
      <c r="C34" s="14" t="s">
        <v>235</v>
      </c>
      <c r="D34" s="15" t="s">
        <v>236</v>
      </c>
      <c r="E34" s="15" t="s">
        <v>237</v>
      </c>
      <c r="F34" s="16"/>
      <c r="G34" s="17" t="s">
        <v>238</v>
      </c>
      <c r="H34" s="18" t="s">
        <v>239</v>
      </c>
    </row>
    <row r="35" spans="1:8" ht="12.75" customHeight="1" x14ac:dyDescent="0.2">
      <c r="A35" s="174" t="s">
        <v>64</v>
      </c>
      <c r="B35" s="19" t="s">
        <v>3</v>
      </c>
      <c r="C35" s="80">
        <v>1493.657688654961</v>
      </c>
      <c r="D35" s="80">
        <v>1558.6503994062934</v>
      </c>
      <c r="E35" s="81">
        <v>1705.1275681590485</v>
      </c>
      <c r="F35" s="22" t="s">
        <v>240</v>
      </c>
      <c r="G35" s="23">
        <v>14.157854313628988</v>
      </c>
      <c r="H35" s="24">
        <v>9.3976923117942164</v>
      </c>
    </row>
    <row r="36" spans="1:8" ht="12.75" customHeight="1" x14ac:dyDescent="0.2">
      <c r="A36" s="175"/>
      <c r="B36" s="25" t="s">
        <v>240</v>
      </c>
      <c r="C36" s="82" t="s">
        <v>240</v>
      </c>
      <c r="D36" s="82" t="s">
        <v>240</v>
      </c>
      <c r="E36" s="82" t="s">
        <v>240</v>
      </c>
      <c r="F36" s="27"/>
      <c r="G36" s="28" t="s">
        <v>240</v>
      </c>
      <c r="H36" s="29" t="s">
        <v>240</v>
      </c>
    </row>
    <row r="37" spans="1:8" x14ac:dyDescent="0.2">
      <c r="A37" s="30" t="s">
        <v>53</v>
      </c>
      <c r="B37" s="31" t="s">
        <v>3</v>
      </c>
      <c r="C37" s="80">
        <v>7.4554924604123884E-2</v>
      </c>
      <c r="D37" s="80">
        <v>1.8343637693212369</v>
      </c>
      <c r="E37" s="83">
        <v>0.61137295083207166</v>
      </c>
      <c r="F37" s="22" t="s">
        <v>240</v>
      </c>
      <c r="G37" s="32">
        <v>720.03027174713895</v>
      </c>
      <c r="H37" s="33">
        <v>-66.67111719840085</v>
      </c>
    </row>
    <row r="38" spans="1:8" x14ac:dyDescent="0.2">
      <c r="A38" s="34"/>
      <c r="B38" s="25" t="s">
        <v>240</v>
      </c>
      <c r="C38" s="82" t="s">
        <v>240</v>
      </c>
      <c r="D38" s="82" t="s">
        <v>240</v>
      </c>
      <c r="E38" s="82" t="s">
        <v>240</v>
      </c>
      <c r="F38" s="27"/>
      <c r="G38" s="35" t="s">
        <v>240</v>
      </c>
      <c r="H38" s="29" t="s">
        <v>240</v>
      </c>
    </row>
    <row r="39" spans="1:8" x14ac:dyDescent="0.2">
      <c r="A39" s="30" t="s">
        <v>54</v>
      </c>
      <c r="B39" s="31" t="s">
        <v>3</v>
      </c>
      <c r="C39" s="80">
        <v>80.071126986024154</v>
      </c>
      <c r="D39" s="80">
        <v>64.424899827308451</v>
      </c>
      <c r="E39" s="83">
        <v>62.235706663841562</v>
      </c>
      <c r="F39" s="22" t="s">
        <v>240</v>
      </c>
      <c r="G39" s="37">
        <v>-22.274471452482032</v>
      </c>
      <c r="H39" s="33">
        <v>-3.3980544313379539</v>
      </c>
    </row>
    <row r="40" spans="1:8" x14ac:dyDescent="0.2">
      <c r="A40" s="34"/>
      <c r="B40" s="25" t="s">
        <v>240</v>
      </c>
      <c r="C40" s="82" t="s">
        <v>240</v>
      </c>
      <c r="D40" s="82" t="s">
        <v>240</v>
      </c>
      <c r="E40" s="82" t="s">
        <v>240</v>
      </c>
      <c r="F40" s="27"/>
      <c r="G40" s="28" t="s">
        <v>240</v>
      </c>
      <c r="H40" s="29" t="s">
        <v>240</v>
      </c>
    </row>
    <row r="41" spans="1:8" x14ac:dyDescent="0.2">
      <c r="A41" s="30" t="s">
        <v>66</v>
      </c>
      <c r="B41" s="31" t="s">
        <v>3</v>
      </c>
      <c r="C41" s="80">
        <v>9.5388551292949231</v>
      </c>
      <c r="D41" s="80">
        <v>7.526468051877937</v>
      </c>
      <c r="E41" s="83">
        <v>4.190662060242377</v>
      </c>
      <c r="F41" s="22" t="s">
        <v>240</v>
      </c>
      <c r="G41" s="23">
        <v>-56.067452504102185</v>
      </c>
      <c r="H41" s="24">
        <v>-44.321001147453742</v>
      </c>
    </row>
    <row r="42" spans="1:8" x14ac:dyDescent="0.2">
      <c r="A42" s="34"/>
      <c r="B42" s="25" t="s">
        <v>240</v>
      </c>
      <c r="C42" s="82" t="s">
        <v>240</v>
      </c>
      <c r="D42" s="82" t="s">
        <v>240</v>
      </c>
      <c r="E42" s="82" t="s">
        <v>240</v>
      </c>
      <c r="F42" s="27"/>
      <c r="G42" s="38" t="s">
        <v>240</v>
      </c>
      <c r="H42" s="24" t="s">
        <v>240</v>
      </c>
    </row>
    <row r="43" spans="1:8" x14ac:dyDescent="0.2">
      <c r="A43" s="30" t="s">
        <v>55</v>
      </c>
      <c r="B43" s="31" t="s">
        <v>3</v>
      </c>
      <c r="C43" s="80">
        <v>1016.3953384194397</v>
      </c>
      <c r="D43" s="80">
        <v>1023.6976082091957</v>
      </c>
      <c r="E43" s="83">
        <v>976.78140855690833</v>
      </c>
      <c r="F43" s="22" t="s">
        <v>240</v>
      </c>
      <c r="G43" s="37">
        <v>-3.8974922813138448</v>
      </c>
      <c r="H43" s="33">
        <v>-4.5830135067288182</v>
      </c>
    </row>
    <row r="44" spans="1:8" x14ac:dyDescent="0.2">
      <c r="A44" s="34"/>
      <c r="B44" s="25" t="s">
        <v>240</v>
      </c>
      <c r="C44" s="82" t="s">
        <v>240</v>
      </c>
      <c r="D44" s="82" t="s">
        <v>240</v>
      </c>
      <c r="E44" s="82" t="s">
        <v>240</v>
      </c>
      <c r="F44" s="27"/>
      <c r="G44" s="28" t="s">
        <v>240</v>
      </c>
      <c r="H44" s="29" t="s">
        <v>240</v>
      </c>
    </row>
    <row r="45" spans="1:8" x14ac:dyDescent="0.2">
      <c r="A45" s="30" t="s">
        <v>67</v>
      </c>
      <c r="B45" s="31" t="s">
        <v>3</v>
      </c>
      <c r="C45" s="80">
        <v>210.54857297526402</v>
      </c>
      <c r="D45" s="80">
        <v>260.4578817998231</v>
      </c>
      <c r="E45" s="83">
        <v>403.79327400749639</v>
      </c>
      <c r="F45" s="22" t="s">
        <v>240</v>
      </c>
      <c r="G45" s="37">
        <v>91.781529697157083</v>
      </c>
      <c r="H45" s="33">
        <v>55.032080894305523</v>
      </c>
    </row>
    <row r="46" spans="1:8" x14ac:dyDescent="0.2">
      <c r="A46" s="30"/>
      <c r="B46" s="25" t="s">
        <v>240</v>
      </c>
      <c r="C46" s="82" t="s">
        <v>240</v>
      </c>
      <c r="D46" s="82" t="s">
        <v>240</v>
      </c>
      <c r="E46" s="82" t="s">
        <v>240</v>
      </c>
      <c r="F46" s="27"/>
      <c r="G46" s="28" t="s">
        <v>240</v>
      </c>
      <c r="H46" s="29" t="s">
        <v>240</v>
      </c>
    </row>
    <row r="47" spans="1:8" x14ac:dyDescent="0.2">
      <c r="A47" s="39" t="s">
        <v>56</v>
      </c>
      <c r="B47" s="31" t="s">
        <v>3</v>
      </c>
      <c r="C47" s="80">
        <v>11.505510489894391</v>
      </c>
      <c r="D47" s="80">
        <v>12.881169673480819</v>
      </c>
      <c r="E47" s="83">
        <v>5.9470217957497322</v>
      </c>
      <c r="F47" s="22" t="s">
        <v>240</v>
      </c>
      <c r="G47" s="23">
        <v>-48.311534712230575</v>
      </c>
      <c r="H47" s="24">
        <v>-53.831663222376484</v>
      </c>
    </row>
    <row r="48" spans="1:8" x14ac:dyDescent="0.2">
      <c r="A48" s="34"/>
      <c r="B48" s="25" t="s">
        <v>240</v>
      </c>
      <c r="C48" s="82" t="s">
        <v>240</v>
      </c>
      <c r="D48" s="82" t="s">
        <v>240</v>
      </c>
      <c r="E48" s="82" t="s">
        <v>240</v>
      </c>
      <c r="F48" s="27"/>
      <c r="G48" s="38" t="s">
        <v>240</v>
      </c>
      <c r="H48" s="24" t="s">
        <v>240</v>
      </c>
    </row>
    <row r="49" spans="1:9" x14ac:dyDescent="0.2">
      <c r="A49" s="39" t="s">
        <v>68</v>
      </c>
      <c r="B49" s="31" t="s">
        <v>3</v>
      </c>
      <c r="C49" s="80">
        <v>2.3011466640619331</v>
      </c>
      <c r="D49" s="80">
        <v>3.7623079452682675</v>
      </c>
      <c r="E49" s="83">
        <v>2.3239229081157085</v>
      </c>
      <c r="F49" s="22" t="s">
        <v>240</v>
      </c>
      <c r="G49" s="37">
        <v>0.98977802716717633</v>
      </c>
      <c r="H49" s="33">
        <v>-38.231454152007124</v>
      </c>
    </row>
    <row r="50" spans="1:9" x14ac:dyDescent="0.2">
      <c r="A50" s="34"/>
      <c r="B50" s="25" t="s">
        <v>240</v>
      </c>
      <c r="C50" s="82" t="s">
        <v>240</v>
      </c>
      <c r="D50" s="82" t="s">
        <v>240</v>
      </c>
      <c r="E50" s="82" t="s">
        <v>240</v>
      </c>
      <c r="F50" s="27"/>
      <c r="G50" s="28" t="s">
        <v>240</v>
      </c>
      <c r="H50" s="29" t="s">
        <v>240</v>
      </c>
    </row>
    <row r="51" spans="1:9" x14ac:dyDescent="0.2">
      <c r="A51" s="30" t="s">
        <v>69</v>
      </c>
      <c r="B51" s="31" t="s">
        <v>3</v>
      </c>
      <c r="C51" s="80">
        <v>163.22258306637772</v>
      </c>
      <c r="D51" s="80">
        <v>184.06570013001772</v>
      </c>
      <c r="E51" s="83">
        <v>249.24419921586249</v>
      </c>
      <c r="F51" s="22" t="s">
        <v>240</v>
      </c>
      <c r="G51" s="23">
        <v>52.702030891462101</v>
      </c>
      <c r="H51" s="24">
        <v>35.410453462978097</v>
      </c>
    </row>
    <row r="52" spans="1:9" ht="13.5" thickBot="1" x14ac:dyDescent="0.25">
      <c r="A52" s="56"/>
      <c r="B52" s="42" t="s">
        <v>240</v>
      </c>
      <c r="C52" s="86" t="s">
        <v>240</v>
      </c>
      <c r="D52" s="86" t="s">
        <v>240</v>
      </c>
      <c r="E52" s="86" t="s">
        <v>240</v>
      </c>
      <c r="F52" s="44"/>
      <c r="G52" s="57" t="s">
        <v>240</v>
      </c>
      <c r="H52" s="46" t="s">
        <v>240</v>
      </c>
    </row>
    <row r="53" spans="1:9" x14ac:dyDescent="0.2">
      <c r="A53" s="65"/>
      <c r="B53" s="62"/>
      <c r="C53" s="21"/>
      <c r="D53" s="21"/>
      <c r="E53" s="21"/>
      <c r="F53" s="63"/>
      <c r="G53" s="38"/>
      <c r="H53" s="60"/>
      <c r="I53" s="61"/>
    </row>
    <row r="54" spans="1:9" x14ac:dyDescent="0.2">
      <c r="A54" s="65"/>
      <c r="B54" s="62"/>
      <c r="C54" s="21"/>
      <c r="D54" s="21"/>
      <c r="E54" s="21"/>
      <c r="F54" s="63"/>
      <c r="G54" s="38"/>
      <c r="H54" s="60"/>
      <c r="I54" s="61"/>
    </row>
    <row r="55" spans="1:9" x14ac:dyDescent="0.2">
      <c r="A55" s="65"/>
      <c r="B55" s="62"/>
      <c r="C55" s="21"/>
      <c r="D55" s="21"/>
      <c r="E55" s="21"/>
      <c r="F55" s="63"/>
      <c r="G55" s="38"/>
      <c r="H55" s="60"/>
      <c r="I55" s="61"/>
    </row>
    <row r="56" spans="1:9" x14ac:dyDescent="0.2">
      <c r="A56" s="65"/>
      <c r="B56" s="62"/>
      <c r="C56" s="21"/>
      <c r="D56" s="21"/>
      <c r="E56" s="21"/>
      <c r="F56" s="63"/>
      <c r="G56" s="38"/>
      <c r="H56" s="60"/>
      <c r="I56" s="61"/>
    </row>
    <row r="57" spans="1:9" x14ac:dyDescent="0.2">
      <c r="A57" s="65"/>
      <c r="B57" s="62"/>
      <c r="C57" s="21"/>
      <c r="D57" s="21"/>
      <c r="E57" s="21"/>
      <c r="F57" s="63"/>
      <c r="G57" s="38"/>
      <c r="H57" s="60"/>
      <c r="I57" s="61"/>
    </row>
    <row r="58" spans="1:9" x14ac:dyDescent="0.2">
      <c r="A58" s="65"/>
      <c r="B58" s="62"/>
      <c r="C58" s="21"/>
      <c r="D58" s="21"/>
      <c r="E58" s="21"/>
      <c r="F58" s="63"/>
      <c r="G58" s="38"/>
      <c r="H58" s="60"/>
      <c r="I58" s="61"/>
    </row>
    <row r="59" spans="1:9" x14ac:dyDescent="0.2">
      <c r="A59" s="47"/>
      <c r="B59" s="48"/>
      <c r="C59" s="49"/>
      <c r="D59" s="49"/>
      <c r="E59" s="49"/>
      <c r="F59" s="49"/>
      <c r="G59" s="50"/>
      <c r="H59" s="51"/>
      <c r="I59" s="61"/>
    </row>
    <row r="60" spans="1:9" x14ac:dyDescent="0.2">
      <c r="A60" s="52"/>
      <c r="B60" s="52"/>
      <c r="C60" s="52"/>
      <c r="D60" s="52"/>
      <c r="E60" s="52"/>
      <c r="F60" s="52"/>
      <c r="G60" s="52"/>
      <c r="H60" s="52"/>
    </row>
    <row r="61" spans="1:9" ht="12.75" customHeight="1" x14ac:dyDescent="0.2">
      <c r="A61" s="54" t="s">
        <v>241</v>
      </c>
      <c r="G61" s="53"/>
      <c r="H61" s="177">
        <v>26</v>
      </c>
    </row>
    <row r="62" spans="1:9" ht="12.75" customHeight="1" x14ac:dyDescent="0.2">
      <c r="A62" s="54" t="s">
        <v>242</v>
      </c>
      <c r="G62" s="53"/>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77" display="Tilbake til innholdsfortegnelsen" xr:uid="{00000000-0004-0000-15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38"/>
  <sheetViews>
    <sheetView showGridLines="0" showRowColHeaders="0" zoomScaleNormal="100" workbookViewId="0"/>
  </sheetViews>
  <sheetFormatPr defaultColWidth="11.42578125" defaultRowHeight="12.75" x14ac:dyDescent="0.2"/>
  <cols>
    <col min="1" max="1" width="27.140625" style="1" customWidth="1"/>
    <col min="2" max="4" width="10.5703125" style="1" customWidth="1"/>
    <col min="5" max="6" width="7.5703125" style="1" customWidth="1"/>
    <col min="7" max="7" width="8.140625" style="1" customWidth="1"/>
    <col min="8" max="16384" width="11.42578125" style="1"/>
  </cols>
  <sheetData>
    <row r="1" spans="1:7" ht="5.25" customHeight="1" x14ac:dyDescent="0.2"/>
    <row r="2" spans="1:7" x14ac:dyDescent="0.2">
      <c r="A2" s="92" t="s">
        <v>0</v>
      </c>
      <c r="B2" s="2"/>
      <c r="C2" s="2"/>
      <c r="D2" s="2"/>
      <c r="E2" s="2"/>
      <c r="F2" s="2"/>
    </row>
    <row r="3" spans="1:7" ht="6" customHeight="1" x14ac:dyDescent="0.2">
      <c r="A3" s="2"/>
      <c r="B3" s="2"/>
      <c r="C3" s="2"/>
      <c r="D3" s="2"/>
      <c r="E3" s="2"/>
      <c r="F3" s="2"/>
    </row>
    <row r="4" spans="1:7" ht="15.75" customHeight="1" x14ac:dyDescent="0.25">
      <c r="A4" s="88" t="s">
        <v>109</v>
      </c>
      <c r="B4" s="74"/>
      <c r="C4" s="74"/>
      <c r="D4" s="74"/>
      <c r="E4" s="74"/>
      <c r="F4" s="74"/>
      <c r="G4" s="74"/>
    </row>
    <row r="5" spans="1:7" ht="15.75" customHeight="1" x14ac:dyDescent="0.25">
      <c r="A5" s="75"/>
      <c r="B5" s="74"/>
      <c r="C5" s="74"/>
      <c r="D5" s="74"/>
      <c r="E5" s="74"/>
      <c r="F5" s="74"/>
      <c r="G5" s="74"/>
    </row>
    <row r="6" spans="1:7" ht="15.75" customHeight="1" x14ac:dyDescent="0.25">
      <c r="A6" s="73"/>
      <c r="B6" s="73"/>
      <c r="C6" s="73"/>
      <c r="D6" s="73"/>
      <c r="E6" s="73"/>
      <c r="F6" s="73"/>
      <c r="G6" s="73"/>
    </row>
    <row r="7" spans="1:7" ht="15.75" customHeight="1" x14ac:dyDescent="0.25">
      <c r="A7" s="73"/>
      <c r="B7" s="73"/>
      <c r="C7" s="73"/>
      <c r="D7" s="73"/>
      <c r="E7" s="73"/>
      <c r="F7" s="73"/>
      <c r="G7" s="73"/>
    </row>
    <row r="8" spans="1:7" ht="15.75" customHeight="1" x14ac:dyDescent="0.25">
      <c r="A8" s="73"/>
      <c r="B8" s="73"/>
      <c r="C8" s="73"/>
      <c r="D8" s="73"/>
      <c r="E8" s="73"/>
      <c r="F8" s="73"/>
      <c r="G8" s="73"/>
    </row>
    <row r="9" spans="1:7" ht="15.75" customHeight="1" x14ac:dyDescent="0.25">
      <c r="A9" s="73"/>
      <c r="B9" s="73"/>
      <c r="C9" s="73"/>
      <c r="D9" s="73"/>
      <c r="E9" s="73"/>
      <c r="F9" s="73"/>
      <c r="G9" s="73"/>
    </row>
    <row r="10" spans="1:7" ht="15.75" customHeight="1" x14ac:dyDescent="0.25">
      <c r="A10" s="73"/>
      <c r="B10" s="73"/>
      <c r="C10" s="73"/>
      <c r="D10" s="73"/>
      <c r="E10" s="73"/>
      <c r="F10" s="73"/>
      <c r="G10" s="73"/>
    </row>
    <row r="11" spans="1:7" ht="15.75" customHeight="1" x14ac:dyDescent="0.25">
      <c r="A11" s="73"/>
      <c r="B11" s="73"/>
      <c r="C11" s="73"/>
      <c r="D11" s="73"/>
      <c r="E11" s="73"/>
      <c r="F11" s="73"/>
      <c r="G11" s="73"/>
    </row>
    <row r="12" spans="1:7" ht="15.75" customHeight="1" x14ac:dyDescent="0.25">
      <c r="A12" s="73"/>
      <c r="B12" s="73"/>
      <c r="C12" s="73"/>
      <c r="D12" s="73"/>
      <c r="E12" s="73"/>
      <c r="F12" s="73"/>
      <c r="G12" s="73"/>
    </row>
    <row r="13" spans="1:7" ht="15.75" customHeight="1" x14ac:dyDescent="0.25">
      <c r="A13" s="73"/>
      <c r="B13" s="73"/>
      <c r="C13" s="73"/>
      <c r="D13" s="73"/>
      <c r="E13" s="73"/>
      <c r="F13" s="73"/>
      <c r="G13" s="73"/>
    </row>
    <row r="14" spans="1:7" ht="15.75" customHeight="1" x14ac:dyDescent="0.25">
      <c r="A14" s="73"/>
      <c r="B14" s="73"/>
      <c r="C14" s="73"/>
      <c r="D14" s="73"/>
      <c r="E14" s="73"/>
      <c r="F14" s="73"/>
      <c r="G14" s="73"/>
    </row>
    <row r="15" spans="1:7" ht="15.75" customHeight="1" x14ac:dyDescent="0.25">
      <c r="A15" s="73"/>
      <c r="B15" s="73"/>
      <c r="C15" s="73"/>
      <c r="D15" s="73"/>
      <c r="E15" s="73"/>
      <c r="F15" s="73"/>
      <c r="G15" s="73"/>
    </row>
    <row r="16" spans="1:7" ht="15.75" customHeight="1" x14ac:dyDescent="0.25">
      <c r="A16" s="73"/>
      <c r="B16" s="73"/>
      <c r="C16" s="73"/>
      <c r="D16" s="73"/>
      <c r="E16" s="73"/>
      <c r="F16" s="73"/>
      <c r="G16" s="73"/>
    </row>
    <row r="17" spans="1:13" ht="15.75" customHeight="1" x14ac:dyDescent="0.25">
      <c r="A17" s="73"/>
      <c r="B17" s="73"/>
      <c r="C17" s="73"/>
      <c r="D17" s="73"/>
      <c r="E17" s="73"/>
      <c r="F17" s="73"/>
      <c r="G17" s="73"/>
    </row>
    <row r="18" spans="1:13" ht="15.75" customHeight="1" x14ac:dyDescent="0.25">
      <c r="A18" s="73"/>
      <c r="B18" s="73"/>
      <c r="C18" s="73"/>
      <c r="D18" s="73"/>
      <c r="E18" s="73"/>
      <c r="F18" s="73"/>
      <c r="G18" s="73"/>
    </row>
    <row r="19" spans="1:13" ht="15.75" customHeight="1" x14ac:dyDescent="0.25">
      <c r="A19" s="73"/>
      <c r="B19" s="73"/>
      <c r="C19" s="73"/>
      <c r="D19" s="73"/>
      <c r="E19" s="73"/>
      <c r="F19" s="73"/>
      <c r="G19" s="73"/>
    </row>
    <row r="20" spans="1:13" ht="15.75" customHeight="1" x14ac:dyDescent="0.25">
      <c r="A20" s="73"/>
      <c r="B20" s="73"/>
      <c r="C20" s="73"/>
      <c r="D20" s="73"/>
      <c r="E20" s="73"/>
      <c r="F20" s="73"/>
      <c r="G20" s="73"/>
    </row>
    <row r="21" spans="1:13" ht="15.75" customHeight="1" x14ac:dyDescent="0.25">
      <c r="A21" s="73"/>
      <c r="B21" s="73"/>
      <c r="C21" s="73"/>
      <c r="D21" s="73"/>
      <c r="E21" s="73"/>
      <c r="F21" s="73"/>
      <c r="G21" s="73"/>
    </row>
    <row r="22" spans="1:13" ht="15.75" customHeight="1" x14ac:dyDescent="0.25">
      <c r="A22" s="73"/>
      <c r="B22" s="73"/>
      <c r="C22" s="73"/>
      <c r="D22" s="73"/>
      <c r="E22" s="73"/>
      <c r="F22" s="73"/>
      <c r="G22" s="73"/>
    </row>
    <row r="23" spans="1:13" ht="15.75" customHeight="1" x14ac:dyDescent="0.25">
      <c r="A23" s="73"/>
      <c r="B23" s="73"/>
      <c r="C23" s="73"/>
      <c r="D23" s="73"/>
      <c r="E23" s="73"/>
      <c r="F23" s="73"/>
      <c r="G23" s="73"/>
    </row>
    <row r="24" spans="1:13" ht="15.75" customHeight="1" x14ac:dyDescent="0.25">
      <c r="A24" s="73"/>
      <c r="B24" s="73"/>
      <c r="C24" s="73"/>
      <c r="D24" s="73"/>
      <c r="E24" s="73"/>
      <c r="F24" s="73"/>
      <c r="G24" s="73"/>
    </row>
    <row r="25" spans="1:13" ht="15.75" customHeight="1" x14ac:dyDescent="0.25">
      <c r="A25" s="73"/>
      <c r="B25" s="73"/>
      <c r="C25" s="73"/>
      <c r="D25" s="73"/>
      <c r="E25" s="73"/>
      <c r="F25" s="73"/>
      <c r="G25" s="73"/>
    </row>
    <row r="26" spans="1:13" ht="15.75" customHeight="1" x14ac:dyDescent="0.25">
      <c r="A26" s="73"/>
      <c r="B26" s="73"/>
      <c r="C26" s="73"/>
      <c r="D26" s="73"/>
      <c r="E26" s="73"/>
      <c r="F26" s="73"/>
      <c r="G26" s="73"/>
    </row>
    <row r="27" spans="1:13" ht="15.75" customHeight="1" x14ac:dyDescent="0.25">
      <c r="A27" s="73"/>
      <c r="B27" s="73"/>
      <c r="C27" s="73"/>
      <c r="D27" s="73"/>
      <c r="E27" s="73"/>
      <c r="F27" s="73"/>
      <c r="G27" s="73"/>
      <c r="M27" s="77"/>
    </row>
    <row r="28" spans="1:13" ht="15.75" customHeight="1" x14ac:dyDescent="0.25">
      <c r="A28" s="73"/>
      <c r="B28" s="73"/>
      <c r="C28" s="73"/>
      <c r="D28" s="73"/>
      <c r="E28" s="73"/>
      <c r="F28" s="73"/>
      <c r="G28" s="73"/>
      <c r="M28" s="77"/>
    </row>
    <row r="29" spans="1:13" ht="15.75" customHeight="1" x14ac:dyDescent="0.25">
      <c r="A29" s="73"/>
      <c r="B29" s="73"/>
      <c r="C29" s="73"/>
      <c r="D29" s="73"/>
      <c r="E29" s="73"/>
      <c r="F29" s="73"/>
      <c r="G29" s="73"/>
      <c r="M29" s="77"/>
    </row>
    <row r="30" spans="1:13" ht="15.75" customHeight="1" x14ac:dyDescent="0.25">
      <c r="A30" s="73"/>
      <c r="B30" s="73"/>
      <c r="C30" s="73"/>
      <c r="D30" s="73"/>
      <c r="E30" s="73"/>
      <c r="F30" s="73"/>
      <c r="G30" s="73"/>
      <c r="M30" s="77"/>
    </row>
    <row r="31" spans="1:13" ht="15.75" customHeight="1" x14ac:dyDescent="0.25">
      <c r="A31" s="73"/>
      <c r="B31" s="73"/>
      <c r="C31" s="73"/>
      <c r="D31" s="73"/>
      <c r="E31" s="73"/>
      <c r="F31" s="73"/>
      <c r="G31" s="73"/>
      <c r="M31" s="77"/>
    </row>
    <row r="32" spans="1:13" ht="15.75" customHeight="1" x14ac:dyDescent="0.25">
      <c r="A32" s="73"/>
      <c r="B32" s="73"/>
      <c r="C32" s="73"/>
      <c r="D32" s="73"/>
      <c r="E32" s="73"/>
      <c r="F32" s="73"/>
      <c r="G32" s="73"/>
      <c r="M32" s="77"/>
    </row>
    <row r="33" spans="1:13" ht="15.75" customHeight="1" x14ac:dyDescent="0.25">
      <c r="A33" s="73"/>
      <c r="B33" s="73"/>
      <c r="C33" s="73"/>
      <c r="D33" s="73"/>
      <c r="E33" s="73"/>
      <c r="F33" s="73"/>
      <c r="G33" s="73"/>
      <c r="M33" s="77"/>
    </row>
    <row r="34" spans="1:13" ht="15.75" customHeight="1" x14ac:dyDescent="0.25">
      <c r="A34" s="73"/>
      <c r="B34" s="73"/>
      <c r="C34" s="73"/>
      <c r="D34" s="73"/>
      <c r="E34" s="73"/>
      <c r="F34" s="73"/>
      <c r="G34" s="73"/>
      <c r="M34" s="77"/>
    </row>
    <row r="35" spans="1:13" ht="15.75" customHeight="1" x14ac:dyDescent="0.25">
      <c r="A35" s="73"/>
      <c r="B35" s="73"/>
      <c r="C35" s="73"/>
      <c r="D35" s="73"/>
      <c r="E35" s="73"/>
      <c r="F35" s="73"/>
      <c r="G35" s="73"/>
      <c r="M35" s="77"/>
    </row>
    <row r="36" spans="1:13" ht="15.75" customHeight="1" x14ac:dyDescent="0.25">
      <c r="A36" s="73"/>
      <c r="B36" s="73"/>
      <c r="C36" s="73"/>
      <c r="D36" s="73"/>
      <c r="E36" s="73"/>
      <c r="F36" s="73"/>
      <c r="G36" s="73"/>
      <c r="M36" s="77"/>
    </row>
    <row r="37" spans="1:13" ht="15.75" customHeight="1" x14ac:dyDescent="0.25">
      <c r="A37" s="73"/>
      <c r="B37" s="73"/>
      <c r="C37" s="73"/>
      <c r="D37" s="73"/>
      <c r="E37" s="73"/>
      <c r="F37" s="73"/>
      <c r="G37" s="73"/>
      <c r="M37" s="77"/>
    </row>
    <row r="38" spans="1:13" ht="15.75" customHeight="1" x14ac:dyDescent="0.25">
      <c r="A38" s="73"/>
      <c r="B38" s="73"/>
      <c r="C38" s="73"/>
      <c r="D38" s="73"/>
      <c r="E38" s="73"/>
      <c r="F38" s="73"/>
      <c r="G38" s="73"/>
      <c r="M38" s="77"/>
    </row>
    <row r="39" spans="1:13" ht="15.75" customHeight="1" x14ac:dyDescent="0.25">
      <c r="A39" s="73"/>
      <c r="B39" s="73"/>
      <c r="C39" s="73"/>
      <c r="D39" s="73"/>
      <c r="E39" s="73"/>
      <c r="F39" s="73"/>
      <c r="G39" s="73"/>
      <c r="M39" s="77"/>
    </row>
    <row r="40" spans="1:13" ht="15.75" customHeight="1" x14ac:dyDescent="0.25">
      <c r="A40" s="73"/>
      <c r="B40" s="73"/>
      <c r="C40" s="73"/>
      <c r="D40" s="73"/>
      <c r="E40" s="73"/>
      <c r="F40" s="73"/>
      <c r="G40" s="73"/>
      <c r="M40" s="77"/>
    </row>
    <row r="41" spans="1:13" ht="15.75" customHeight="1" x14ac:dyDescent="0.25">
      <c r="A41" s="73"/>
      <c r="B41" s="73"/>
      <c r="C41" s="73"/>
      <c r="D41" s="73"/>
      <c r="E41" s="73"/>
      <c r="F41" s="73"/>
      <c r="G41" s="73"/>
      <c r="M41" s="77"/>
    </row>
    <row r="42" spans="1:13" ht="15.75" customHeight="1" x14ac:dyDescent="0.25">
      <c r="A42" s="73"/>
      <c r="B42" s="73"/>
      <c r="C42" s="73"/>
      <c r="D42" s="73"/>
      <c r="E42" s="73"/>
      <c r="F42" s="73"/>
      <c r="G42" s="73"/>
      <c r="M42" s="77"/>
    </row>
    <row r="43" spans="1:13" ht="15.75" customHeight="1" x14ac:dyDescent="0.25">
      <c r="A43" s="73"/>
      <c r="B43" s="73"/>
      <c r="C43" s="73"/>
      <c r="D43" s="73"/>
      <c r="E43" s="73"/>
      <c r="F43" s="73"/>
      <c r="G43" s="73"/>
      <c r="M43" s="77"/>
    </row>
    <row r="44" spans="1:13" ht="15.75" customHeight="1" x14ac:dyDescent="0.25">
      <c r="A44" s="73"/>
      <c r="B44" s="73"/>
      <c r="C44" s="73"/>
      <c r="D44" s="73"/>
      <c r="E44" s="73"/>
      <c r="F44" s="73"/>
      <c r="G44" s="73"/>
      <c r="M44" s="77"/>
    </row>
    <row r="45" spans="1:13" ht="15.75" customHeight="1" x14ac:dyDescent="0.25">
      <c r="A45" s="73"/>
      <c r="B45" s="73"/>
      <c r="C45" s="73"/>
      <c r="D45" s="73"/>
      <c r="E45" s="73"/>
      <c r="F45" s="73"/>
      <c r="G45" s="73"/>
      <c r="M45" s="77"/>
    </row>
    <row r="46" spans="1:13" ht="15.75" customHeight="1" x14ac:dyDescent="0.25">
      <c r="A46" s="73"/>
      <c r="B46" s="73"/>
      <c r="C46" s="73"/>
      <c r="D46" s="73"/>
      <c r="E46" s="73"/>
      <c r="F46" s="73"/>
      <c r="G46" s="73"/>
      <c r="M46" s="77"/>
    </row>
    <row r="47" spans="1:13" ht="15.75" customHeight="1" x14ac:dyDescent="0.25">
      <c r="A47" s="73"/>
      <c r="B47" s="73"/>
      <c r="C47" s="73"/>
      <c r="D47" s="73"/>
      <c r="E47" s="73"/>
      <c r="F47" s="73"/>
      <c r="G47" s="73"/>
      <c r="M47" s="77"/>
    </row>
    <row r="48" spans="1:13" ht="15.75" customHeight="1" x14ac:dyDescent="0.25">
      <c r="A48" s="73"/>
      <c r="B48" s="73"/>
      <c r="C48" s="73"/>
      <c r="D48" s="73"/>
      <c r="E48" s="73"/>
      <c r="F48" s="73"/>
      <c r="G48" s="73"/>
      <c r="M48" s="77"/>
    </row>
    <row r="49" spans="1:14" ht="15.75" customHeight="1" x14ac:dyDescent="0.25">
      <c r="A49" s="73"/>
      <c r="B49" s="73"/>
      <c r="C49" s="73"/>
      <c r="D49" s="73"/>
      <c r="E49" s="95"/>
      <c r="F49" s="73"/>
      <c r="G49" s="73"/>
      <c r="M49" s="77"/>
    </row>
    <row r="50" spans="1:14" ht="15.75" customHeight="1" x14ac:dyDescent="0.25">
      <c r="A50" s="73"/>
      <c r="B50" s="73"/>
      <c r="C50" s="73"/>
      <c r="D50" s="73"/>
      <c r="E50" s="73"/>
      <c r="F50" s="73"/>
      <c r="G50" s="73"/>
      <c r="M50" s="77"/>
    </row>
    <row r="51" spans="1:14" ht="12.75" customHeight="1" x14ac:dyDescent="0.2">
      <c r="A51" s="52"/>
      <c r="B51" s="52"/>
      <c r="C51" s="52"/>
      <c r="D51" s="52"/>
      <c r="E51" s="52"/>
      <c r="F51" s="52"/>
      <c r="G51" s="52"/>
      <c r="H51" s="52"/>
      <c r="I51" s="52"/>
      <c r="J51" s="52"/>
      <c r="K51" s="52"/>
      <c r="L51" s="52"/>
      <c r="M51" s="52"/>
      <c r="N51" s="52"/>
    </row>
    <row r="52" spans="1:14" ht="12.75" customHeight="1" x14ac:dyDescent="0.2">
      <c r="A52" s="54" t="str">
        <f>+Innhold!B123</f>
        <v>Finans Norge / Skadeforsikringsstatistikk</v>
      </c>
      <c r="G52" s="169">
        <v>27</v>
      </c>
      <c r="H52" s="54" t="str">
        <f>+Innhold!B123</f>
        <v>Finans Norge / Skadeforsikringsstatistikk</v>
      </c>
      <c r="N52" s="169">
        <v>28</v>
      </c>
    </row>
    <row r="53" spans="1:14" ht="12.75" customHeight="1" x14ac:dyDescent="0.2">
      <c r="A53" s="54" t="str">
        <f>+Innhold!B124</f>
        <v>Skadestatistikk for landbasert forsikring 4. kvartal 2023</v>
      </c>
      <c r="G53" s="170"/>
      <c r="H53" s="54" t="str">
        <f>+Innhold!B124</f>
        <v>Skadestatistikk for landbasert forsikring 4. kvartal 2023</v>
      </c>
      <c r="N53" s="170"/>
    </row>
    <row r="54" spans="1:14" ht="15.75" customHeight="1" x14ac:dyDescent="0.2"/>
    <row r="55" spans="1:14" ht="15.75" customHeight="1" x14ac:dyDescent="0.2"/>
    <row r="56" spans="1:14" ht="15.75" customHeight="1" x14ac:dyDescent="0.2"/>
    <row r="57" spans="1:14" ht="15.75" customHeight="1" x14ac:dyDescent="0.2"/>
    <row r="58" spans="1:14" ht="15.75" customHeight="1" x14ac:dyDescent="0.2"/>
    <row r="59" spans="1:14" ht="15.75" customHeight="1" x14ac:dyDescent="0.2"/>
    <row r="60" spans="1:14" ht="15.75" customHeight="1" x14ac:dyDescent="0.2">
      <c r="J60"/>
      <c r="K60"/>
      <c r="L60"/>
    </row>
    <row r="61" spans="1:14" ht="15.75" customHeight="1" x14ac:dyDescent="0.2">
      <c r="J61" s="71"/>
      <c r="K61" s="72"/>
      <c r="L61" s="72"/>
    </row>
    <row r="62" spans="1:14" ht="15.75" customHeight="1" x14ac:dyDescent="0.2">
      <c r="J62" s="70"/>
      <c r="K62"/>
      <c r="L62"/>
    </row>
    <row r="63" spans="1:14" ht="15.75" customHeight="1" x14ac:dyDescent="0.2">
      <c r="J63" s="69"/>
      <c r="K63" s="69"/>
      <c r="L63" s="69"/>
    </row>
    <row r="64" spans="1:14" ht="15.75" customHeight="1" x14ac:dyDescent="0.2">
      <c r="J64" s="69"/>
      <c r="K64" s="69"/>
      <c r="L64" s="69"/>
    </row>
    <row r="65" spans="1:12" ht="15.75" customHeight="1" x14ac:dyDescent="0.2">
      <c r="J65" s="69"/>
      <c r="K65" s="69"/>
      <c r="L65" s="69"/>
    </row>
    <row r="66" spans="1:12" ht="15.75" customHeight="1" x14ac:dyDescent="0.2">
      <c r="J66" s="69"/>
      <c r="K66" s="69"/>
      <c r="L66" s="69"/>
    </row>
    <row r="67" spans="1:12" ht="15.75" customHeight="1" x14ac:dyDescent="0.2">
      <c r="J67" s="69"/>
      <c r="K67" s="69"/>
      <c r="L67" s="69"/>
    </row>
    <row r="68" spans="1:12" ht="15.75" customHeight="1" x14ac:dyDescent="0.2">
      <c r="J68" s="69"/>
      <c r="K68" s="69"/>
      <c r="L68" s="69"/>
    </row>
    <row r="69" spans="1:12" ht="15.75" customHeight="1" x14ac:dyDescent="0.2">
      <c r="J69" s="69"/>
      <c r="K69" s="69"/>
      <c r="L69" s="69"/>
    </row>
    <row r="70" spans="1:12" ht="15.75" customHeight="1" x14ac:dyDescent="0.2">
      <c r="J70"/>
      <c r="K70"/>
      <c r="L70"/>
    </row>
    <row r="71" spans="1:12" x14ac:dyDescent="0.2">
      <c r="J71"/>
      <c r="K71"/>
      <c r="L71"/>
    </row>
    <row r="72" spans="1:12" x14ac:dyDescent="0.2">
      <c r="J72"/>
      <c r="K72"/>
      <c r="L72"/>
    </row>
    <row r="73" spans="1:12" x14ac:dyDescent="0.2">
      <c r="A73"/>
      <c r="B73"/>
      <c r="C73"/>
      <c r="D73"/>
      <c r="E73"/>
      <c r="F73"/>
      <c r="H73"/>
      <c r="I73"/>
      <c r="J73"/>
      <c r="K73"/>
      <c r="L73"/>
    </row>
    <row r="74" spans="1:12" x14ac:dyDescent="0.2">
      <c r="A74"/>
      <c r="B74"/>
      <c r="C74"/>
      <c r="D74"/>
      <c r="E74"/>
      <c r="F74"/>
      <c r="H74"/>
      <c r="I74"/>
      <c r="J74"/>
      <c r="K74"/>
      <c r="L74"/>
    </row>
    <row r="75" spans="1:12" x14ac:dyDescent="0.2">
      <c r="A75"/>
      <c r="B75"/>
      <c r="C75"/>
      <c r="D75"/>
      <c r="E75"/>
      <c r="F75"/>
      <c r="H75"/>
      <c r="I75"/>
      <c r="J75"/>
      <c r="K75"/>
      <c r="L75"/>
    </row>
    <row r="76" spans="1:12" x14ac:dyDescent="0.2">
      <c r="A76"/>
      <c r="B76"/>
      <c r="C76"/>
      <c r="D76"/>
      <c r="E76"/>
      <c r="F76"/>
      <c r="H76"/>
      <c r="I76"/>
      <c r="J76"/>
      <c r="K76"/>
      <c r="L76"/>
    </row>
    <row r="77" spans="1:12" x14ac:dyDescent="0.2">
      <c r="A77"/>
      <c r="B77"/>
      <c r="C77"/>
      <c r="D77"/>
      <c r="E77"/>
      <c r="F77"/>
      <c r="H77"/>
      <c r="I77"/>
      <c r="J77"/>
      <c r="K77"/>
      <c r="L77"/>
    </row>
    <row r="78" spans="1:12" x14ac:dyDescent="0.2">
      <c r="A78"/>
      <c r="B78"/>
      <c r="C78"/>
      <c r="D78"/>
      <c r="E78"/>
      <c r="F78"/>
      <c r="H78"/>
      <c r="I78"/>
      <c r="J78"/>
      <c r="K78"/>
      <c r="L78"/>
    </row>
    <row r="79" spans="1:12" x14ac:dyDescent="0.2">
      <c r="A79"/>
      <c r="B79"/>
      <c r="C79"/>
      <c r="D79"/>
      <c r="E79"/>
      <c r="F79"/>
      <c r="H79"/>
      <c r="I79"/>
      <c r="J79"/>
      <c r="K79"/>
      <c r="L79"/>
    </row>
    <row r="80" spans="1:12" x14ac:dyDescent="0.2">
      <c r="A80"/>
      <c r="B80"/>
      <c r="C80"/>
      <c r="D80"/>
      <c r="E80"/>
      <c r="F80"/>
      <c r="H80"/>
      <c r="I80"/>
      <c r="J80"/>
      <c r="K80"/>
      <c r="L80"/>
    </row>
    <row r="81" spans="1:12" x14ac:dyDescent="0.2">
      <c r="A81"/>
      <c r="B81"/>
      <c r="C81"/>
      <c r="D81"/>
      <c r="E81"/>
      <c r="F81"/>
      <c r="H81"/>
      <c r="I81"/>
      <c r="J81"/>
      <c r="K81"/>
      <c r="L81"/>
    </row>
    <row r="82" spans="1:12" x14ac:dyDescent="0.2">
      <c r="A82"/>
      <c r="B82"/>
      <c r="C82"/>
      <c r="D82"/>
      <c r="E82"/>
      <c r="F82"/>
      <c r="H82"/>
      <c r="I82"/>
      <c r="J82"/>
      <c r="K82"/>
      <c r="L82"/>
    </row>
    <row r="83" spans="1:12" x14ac:dyDescent="0.2">
      <c r="A83"/>
      <c r="B83"/>
      <c r="C83"/>
      <c r="D83"/>
      <c r="E83"/>
      <c r="F83"/>
      <c r="H83"/>
      <c r="I83"/>
      <c r="J83"/>
      <c r="K83"/>
      <c r="L83"/>
    </row>
    <row r="84" spans="1:12" x14ac:dyDescent="0.2">
      <c r="A84"/>
      <c r="B84"/>
      <c r="C84"/>
      <c r="D84"/>
      <c r="E84"/>
      <c r="F84"/>
      <c r="H84"/>
      <c r="I84"/>
      <c r="J84"/>
      <c r="K84"/>
      <c r="L84"/>
    </row>
    <row r="85" spans="1:12" x14ac:dyDescent="0.2">
      <c r="A85"/>
      <c r="B85"/>
      <c r="C85"/>
      <c r="D85"/>
      <c r="E85"/>
      <c r="F85"/>
      <c r="H85"/>
      <c r="I85"/>
      <c r="J85"/>
      <c r="K85"/>
      <c r="L85"/>
    </row>
    <row r="86" spans="1:12" x14ac:dyDescent="0.2">
      <c r="A86"/>
      <c r="B86"/>
      <c r="C86"/>
      <c r="D86"/>
      <c r="E86"/>
      <c r="F86"/>
      <c r="H86"/>
      <c r="I86"/>
      <c r="J86"/>
      <c r="K86"/>
      <c r="L86"/>
    </row>
    <row r="87" spans="1:12" x14ac:dyDescent="0.2">
      <c r="A87"/>
      <c r="B87"/>
      <c r="C87"/>
      <c r="D87"/>
      <c r="E87"/>
      <c r="F87"/>
      <c r="H87"/>
      <c r="I87"/>
      <c r="J87"/>
      <c r="K87"/>
      <c r="L87"/>
    </row>
    <row r="88" spans="1:12" x14ac:dyDescent="0.2">
      <c r="A88"/>
      <c r="B88"/>
      <c r="C88"/>
      <c r="D88"/>
      <c r="E88"/>
      <c r="F88"/>
      <c r="H88"/>
      <c r="I88"/>
      <c r="J88"/>
      <c r="K88"/>
      <c r="L88"/>
    </row>
    <row r="89" spans="1:12" x14ac:dyDescent="0.2">
      <c r="A89"/>
      <c r="B89"/>
      <c r="C89"/>
      <c r="D89"/>
      <c r="E89"/>
      <c r="F89"/>
      <c r="H89"/>
      <c r="I89"/>
      <c r="J89"/>
      <c r="K89"/>
      <c r="L89"/>
    </row>
    <row r="90" spans="1:12" x14ac:dyDescent="0.2">
      <c r="A90"/>
      <c r="B90"/>
      <c r="C90"/>
      <c r="D90"/>
      <c r="E90"/>
      <c r="F90"/>
      <c r="H90"/>
      <c r="I90"/>
      <c r="J90"/>
      <c r="K90"/>
      <c r="L90"/>
    </row>
    <row r="91" spans="1:12" x14ac:dyDescent="0.2">
      <c r="A91"/>
      <c r="B91"/>
      <c r="C91"/>
      <c r="D91"/>
      <c r="E91"/>
      <c r="F91"/>
      <c r="H91"/>
      <c r="I91"/>
      <c r="J91"/>
      <c r="K91"/>
      <c r="L91"/>
    </row>
    <row r="92" spans="1:12" x14ac:dyDescent="0.2">
      <c r="A92"/>
      <c r="B92"/>
      <c r="C92"/>
      <c r="D92"/>
      <c r="E92"/>
      <c r="F92"/>
      <c r="H92"/>
      <c r="I92"/>
      <c r="J92"/>
      <c r="K92"/>
      <c r="L92"/>
    </row>
    <row r="93" spans="1:12" x14ac:dyDescent="0.2">
      <c r="A93"/>
      <c r="B93"/>
      <c r="C93"/>
      <c r="D93"/>
      <c r="E93"/>
      <c r="F93"/>
      <c r="H93"/>
      <c r="I93"/>
      <c r="J93"/>
      <c r="K93"/>
      <c r="L93"/>
    </row>
    <row r="94" spans="1:12" x14ac:dyDescent="0.2">
      <c r="A94"/>
      <c r="B94"/>
      <c r="C94"/>
      <c r="D94"/>
      <c r="E94"/>
      <c r="F94"/>
      <c r="H94"/>
      <c r="I94"/>
      <c r="J94"/>
      <c r="K94"/>
      <c r="L94"/>
    </row>
    <row r="95" spans="1:12" x14ac:dyDescent="0.2">
      <c r="A95"/>
      <c r="B95"/>
      <c r="C95"/>
      <c r="D95"/>
      <c r="E95"/>
      <c r="F95"/>
      <c r="H95"/>
      <c r="I95"/>
      <c r="J95"/>
      <c r="K95"/>
      <c r="L95"/>
    </row>
    <row r="96" spans="1:12" x14ac:dyDescent="0.2">
      <c r="A96"/>
      <c r="B96"/>
      <c r="C96"/>
      <c r="D96"/>
      <c r="E96"/>
      <c r="F96"/>
      <c r="H96"/>
      <c r="I96"/>
      <c r="J96"/>
      <c r="K96"/>
      <c r="L96"/>
    </row>
    <row r="97" spans="1:12" x14ac:dyDescent="0.2">
      <c r="A97"/>
      <c r="B97"/>
      <c r="C97"/>
      <c r="D97"/>
      <c r="E97"/>
      <c r="F97"/>
      <c r="H97"/>
      <c r="I97"/>
      <c r="J97"/>
      <c r="K97"/>
      <c r="L97"/>
    </row>
    <row r="98" spans="1:12" x14ac:dyDescent="0.2">
      <c r="A98"/>
      <c r="B98"/>
      <c r="C98"/>
      <c r="D98"/>
      <c r="E98"/>
      <c r="F98"/>
      <c r="H98"/>
      <c r="I98"/>
      <c r="J98"/>
      <c r="K98"/>
      <c r="L98"/>
    </row>
    <row r="99" spans="1:12" x14ac:dyDescent="0.2">
      <c r="A99"/>
      <c r="B99"/>
      <c r="C99"/>
      <c r="D99"/>
      <c r="E99"/>
      <c r="F99"/>
      <c r="K99"/>
    </row>
    <row r="100" spans="1:12" x14ac:dyDescent="0.2">
      <c r="A100"/>
      <c r="B100"/>
      <c r="C100"/>
      <c r="D100"/>
      <c r="E100"/>
      <c r="F100"/>
      <c r="K100"/>
    </row>
    <row r="101" spans="1:12" x14ac:dyDescent="0.2">
      <c r="A101"/>
      <c r="B101"/>
      <c r="C101"/>
      <c r="D101"/>
      <c r="E101"/>
      <c r="F101"/>
      <c r="H101" s="68"/>
      <c r="I101"/>
      <c r="J101"/>
      <c r="K101"/>
    </row>
    <row r="102" spans="1:12" x14ac:dyDescent="0.2">
      <c r="A102"/>
      <c r="B102"/>
      <c r="C102"/>
      <c r="D102"/>
      <c r="E102"/>
      <c r="F102"/>
      <c r="H102"/>
      <c r="I102"/>
      <c r="J102"/>
      <c r="K102"/>
    </row>
    <row r="103" spans="1:12" x14ac:dyDescent="0.2">
      <c r="A103"/>
      <c r="B103"/>
      <c r="C103"/>
      <c r="D103"/>
      <c r="E103"/>
      <c r="F103"/>
      <c r="H103"/>
      <c r="I103"/>
      <c r="J103"/>
      <c r="K103"/>
    </row>
    <row r="104" spans="1:12" x14ac:dyDescent="0.2">
      <c r="A104"/>
      <c r="B104"/>
      <c r="C104"/>
      <c r="D104"/>
      <c r="E104"/>
      <c r="F104"/>
      <c r="H104"/>
      <c r="I104"/>
      <c r="J104"/>
      <c r="K104"/>
    </row>
    <row r="105" spans="1:12" x14ac:dyDescent="0.2">
      <c r="A105"/>
      <c r="B105"/>
      <c r="C105"/>
      <c r="D105"/>
      <c r="E105"/>
      <c r="F105"/>
      <c r="H105"/>
      <c r="I105" s="69"/>
      <c r="J105" s="69"/>
      <c r="K105" s="69"/>
    </row>
    <row r="106" spans="1:12" x14ac:dyDescent="0.2">
      <c r="A106"/>
      <c r="B106"/>
      <c r="C106"/>
      <c r="D106"/>
      <c r="E106"/>
      <c r="F106"/>
      <c r="H106"/>
      <c r="I106" s="69"/>
      <c r="J106" s="69"/>
      <c r="K106" s="69"/>
    </row>
    <row r="107" spans="1:12" x14ac:dyDescent="0.2">
      <c r="D107"/>
      <c r="E107"/>
      <c r="F107"/>
      <c r="H107"/>
      <c r="I107" s="69"/>
      <c r="J107" s="69"/>
      <c r="K107" s="69"/>
    </row>
    <row r="108" spans="1:12" x14ac:dyDescent="0.2">
      <c r="D108"/>
      <c r="E108"/>
      <c r="F108"/>
      <c r="H108"/>
      <c r="I108"/>
      <c r="J108"/>
      <c r="K108"/>
    </row>
    <row r="109" spans="1:12" x14ac:dyDescent="0.2">
      <c r="A109" s="78"/>
      <c r="B109"/>
      <c r="C109"/>
      <c r="D109"/>
      <c r="E109"/>
      <c r="F109"/>
      <c r="H109"/>
      <c r="I109"/>
      <c r="J109"/>
      <c r="K109"/>
    </row>
    <row r="110" spans="1:12" x14ac:dyDescent="0.2">
      <c r="A110"/>
      <c r="B110"/>
      <c r="C110"/>
      <c r="D110"/>
      <c r="E110"/>
      <c r="F110"/>
      <c r="H110"/>
      <c r="I110"/>
      <c r="J110"/>
      <c r="K110"/>
    </row>
    <row r="111" spans="1:12" x14ac:dyDescent="0.2">
      <c r="A111"/>
      <c r="B111"/>
      <c r="C111"/>
      <c r="D111"/>
      <c r="E111"/>
      <c r="F111"/>
      <c r="H111"/>
      <c r="I111"/>
      <c r="J111"/>
      <c r="K111"/>
    </row>
    <row r="112" spans="1:12" x14ac:dyDescent="0.2">
      <c r="A112"/>
      <c r="B112"/>
      <c r="C112"/>
      <c r="D112"/>
      <c r="E112"/>
      <c r="F112"/>
      <c r="H112"/>
      <c r="I112"/>
      <c r="J112"/>
      <c r="K112"/>
    </row>
    <row r="113" spans="1:11" x14ac:dyDescent="0.2">
      <c r="A113"/>
      <c r="B113"/>
      <c r="C113"/>
      <c r="D113"/>
      <c r="E113"/>
      <c r="F113"/>
    </row>
    <row r="114" spans="1:11" x14ac:dyDescent="0.2">
      <c r="A114"/>
      <c r="B114"/>
      <c r="C114"/>
      <c r="D114"/>
      <c r="E114"/>
      <c r="F114"/>
    </row>
    <row r="115" spans="1:11" x14ac:dyDescent="0.2">
      <c r="A115"/>
      <c r="B115"/>
      <c r="C115"/>
      <c r="D115"/>
      <c r="E115"/>
      <c r="F115"/>
      <c r="H115" s="68"/>
      <c r="I115"/>
      <c r="J115"/>
      <c r="K115"/>
    </row>
    <row r="116" spans="1:11" x14ac:dyDescent="0.2">
      <c r="A116"/>
      <c r="B116"/>
      <c r="C116"/>
      <c r="D116"/>
      <c r="E116"/>
      <c r="F116"/>
      <c r="H116"/>
      <c r="I116"/>
      <c r="J116"/>
      <c r="K116"/>
    </row>
    <row r="117" spans="1:11" x14ac:dyDescent="0.2">
      <c r="A117"/>
      <c r="B117"/>
      <c r="C117"/>
      <c r="D117"/>
      <c r="E117"/>
      <c r="F117"/>
      <c r="H117"/>
      <c r="I117"/>
      <c r="J117"/>
      <c r="K117"/>
    </row>
    <row r="118" spans="1:11" x14ac:dyDescent="0.2">
      <c r="A118"/>
      <c r="B118"/>
      <c r="C118"/>
      <c r="D118"/>
      <c r="E118"/>
      <c r="F118"/>
      <c r="H118"/>
      <c r="I118"/>
      <c r="J118" s="69"/>
      <c r="K118" s="69"/>
    </row>
    <row r="119" spans="1:11" x14ac:dyDescent="0.2">
      <c r="A119"/>
      <c r="B119"/>
      <c r="C119"/>
      <c r="D119"/>
      <c r="E119"/>
      <c r="F119"/>
      <c r="H119"/>
      <c r="I119"/>
      <c r="J119" s="69"/>
      <c r="K119" s="69"/>
    </row>
    <row r="120" spans="1:11" x14ac:dyDescent="0.2">
      <c r="A120"/>
      <c r="B120"/>
      <c r="C120"/>
      <c r="D120"/>
      <c r="E120"/>
      <c r="F120"/>
      <c r="H120"/>
      <c r="I120"/>
      <c r="J120" s="69"/>
      <c r="K120" s="69"/>
    </row>
    <row r="121" spans="1:11" x14ac:dyDescent="0.2">
      <c r="A121"/>
      <c r="B121"/>
      <c r="C121"/>
      <c r="D121"/>
      <c r="E121"/>
      <c r="F121"/>
      <c r="H121"/>
      <c r="I121"/>
      <c r="J121"/>
      <c r="K121"/>
    </row>
    <row r="122" spans="1:11" x14ac:dyDescent="0.2">
      <c r="A122"/>
      <c r="B122"/>
      <c r="C122"/>
      <c r="D122"/>
      <c r="E122"/>
      <c r="F122"/>
      <c r="G122"/>
      <c r="H122"/>
      <c r="I122"/>
      <c r="J122"/>
      <c r="K122"/>
    </row>
    <row r="123" spans="1:11" x14ac:dyDescent="0.2">
      <c r="A123"/>
      <c r="B123"/>
      <c r="C123"/>
      <c r="D123"/>
      <c r="E123"/>
      <c r="F123"/>
      <c r="G123"/>
      <c r="H123"/>
      <c r="I123"/>
      <c r="J123"/>
      <c r="K123"/>
    </row>
    <row r="124" spans="1:11" x14ac:dyDescent="0.2">
      <c r="A124"/>
      <c r="B124"/>
      <c r="C124"/>
      <c r="D124"/>
      <c r="E124"/>
      <c r="F124"/>
      <c r="G124"/>
      <c r="H124"/>
      <c r="I124" s="69"/>
      <c r="J124" s="69"/>
    </row>
    <row r="125" spans="1:11" x14ac:dyDescent="0.2">
      <c r="A125"/>
      <c r="B125" s="69"/>
      <c r="C125" s="69"/>
      <c r="D125"/>
      <c r="E125"/>
      <c r="F125"/>
      <c r="G125"/>
      <c r="H125"/>
      <c r="I125" s="69"/>
      <c r="J125" s="69"/>
    </row>
    <row r="126" spans="1:11" x14ac:dyDescent="0.2">
      <c r="A126"/>
      <c r="B126"/>
      <c r="C126"/>
      <c r="D126"/>
      <c r="F126"/>
      <c r="G126"/>
      <c r="H126"/>
      <c r="I126"/>
      <c r="J126"/>
    </row>
    <row r="127" spans="1:11" x14ac:dyDescent="0.2">
      <c r="A127"/>
      <c r="B127"/>
      <c r="C127"/>
      <c r="D127"/>
      <c r="F127"/>
      <c r="G127"/>
      <c r="H127"/>
      <c r="I127"/>
      <c r="J127"/>
    </row>
    <row r="128" spans="1:11" x14ac:dyDescent="0.2">
      <c r="A128"/>
      <c r="B128"/>
      <c r="C128"/>
      <c r="D128"/>
      <c r="F128"/>
      <c r="G128"/>
      <c r="H128"/>
      <c r="I128"/>
      <c r="J128"/>
    </row>
    <row r="129" spans="1:10" x14ac:dyDescent="0.2">
      <c r="A129"/>
      <c r="B129" s="69"/>
      <c r="C129" s="69"/>
      <c r="D129"/>
      <c r="F129"/>
      <c r="G129"/>
      <c r="H129"/>
      <c r="I129"/>
      <c r="J129"/>
    </row>
    <row r="130" spans="1:10" x14ac:dyDescent="0.2">
      <c r="A130"/>
      <c r="B130" s="69"/>
      <c r="C130" s="69"/>
      <c r="D130"/>
      <c r="F130"/>
      <c r="G130"/>
      <c r="H130"/>
      <c r="I130"/>
      <c r="J130"/>
    </row>
    <row r="131" spans="1:10" x14ac:dyDescent="0.2">
      <c r="A131"/>
      <c r="B131" s="69"/>
      <c r="C131" s="69"/>
      <c r="D131"/>
      <c r="F131"/>
    </row>
    <row r="132" spans="1:10" x14ac:dyDescent="0.2">
      <c r="A132"/>
      <c r="B132"/>
      <c r="C132"/>
      <c r="D132"/>
      <c r="F132"/>
    </row>
    <row r="133" spans="1:10" x14ac:dyDescent="0.2">
      <c r="A133"/>
      <c r="B133" s="69"/>
      <c r="C133" s="69"/>
      <c r="D133"/>
      <c r="F133"/>
    </row>
    <row r="134" spans="1:10" x14ac:dyDescent="0.2">
      <c r="A134"/>
      <c r="B134" s="69"/>
      <c r="C134" s="69"/>
      <c r="D134"/>
      <c r="F134"/>
    </row>
    <row r="135" spans="1:10" x14ac:dyDescent="0.2">
      <c r="A135"/>
      <c r="B135" s="69"/>
      <c r="C135" s="69"/>
      <c r="D135"/>
      <c r="F135"/>
    </row>
    <row r="136" spans="1:10" x14ac:dyDescent="0.2">
      <c r="A136"/>
      <c r="B136"/>
      <c r="C136"/>
      <c r="D136"/>
      <c r="F136"/>
    </row>
    <row r="137" spans="1:10" x14ac:dyDescent="0.2">
      <c r="A137"/>
      <c r="B137" s="69"/>
      <c r="C137" s="69"/>
      <c r="D137"/>
      <c r="F137"/>
    </row>
    <row r="138" spans="1:10" x14ac:dyDescent="0.2">
      <c r="A138"/>
      <c r="B138" s="69"/>
      <c r="C138" s="69"/>
      <c r="D138"/>
      <c r="F138"/>
    </row>
  </sheetData>
  <mergeCells count="2">
    <mergeCell ref="N52:N53"/>
    <mergeCell ref="G52:G53"/>
  </mergeCells>
  <phoneticPr fontId="0" type="noConversion"/>
  <hyperlinks>
    <hyperlink ref="A2" location="Innhold!A80" display="Tilbake til innholdsfortegnelsen" xr:uid="{00000000-0004-0000-1600-000000000000}"/>
  </hyperlinks>
  <pageMargins left="0.78740157480314965" right="0.70866141732283472" top="0.78740157480314965" bottom="0.19685039370078741" header="3.937007874015748E-2" footer="3.937007874015748E-2"/>
  <pageSetup paperSize="9" scale="9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7"/>
  <sheetViews>
    <sheetView showGridLines="0" showRowColHeaders="0" topLeftCell="A10" zoomScaleNormal="100" workbookViewId="0"/>
  </sheetViews>
  <sheetFormatPr defaultColWidth="11.42578125" defaultRowHeight="15.6" customHeight="1" x14ac:dyDescent="0.2"/>
  <cols>
    <col min="1" max="1" width="27.140625" style="1" customWidth="1"/>
    <col min="2" max="4" width="10.5703125" style="1" customWidth="1"/>
    <col min="5" max="7" width="7.5703125" style="1" customWidth="1"/>
    <col min="8" max="16384" width="11.42578125" style="1"/>
  </cols>
  <sheetData>
    <row r="1" spans="1:7" ht="6" customHeight="1" x14ac:dyDescent="0.2"/>
    <row r="2" spans="1:7" ht="15.6" customHeight="1" x14ac:dyDescent="0.2">
      <c r="A2" s="92" t="s">
        <v>0</v>
      </c>
      <c r="B2" s="2"/>
      <c r="C2" s="2"/>
      <c r="D2" s="2"/>
      <c r="E2" s="2"/>
      <c r="F2" s="2"/>
    </row>
    <row r="3" spans="1:7" ht="6" customHeight="1" x14ac:dyDescent="0.2"/>
    <row r="4" spans="1:7" ht="15.6" customHeight="1" x14ac:dyDescent="0.2">
      <c r="A4" s="2"/>
      <c r="B4" s="2"/>
      <c r="C4" s="2"/>
      <c r="D4" s="2"/>
      <c r="E4" s="2"/>
      <c r="F4" s="2"/>
    </row>
    <row r="5" spans="1:7" ht="15.6" customHeight="1" x14ac:dyDescent="0.25">
      <c r="A5" s="88"/>
      <c r="B5" s="74"/>
      <c r="C5" s="74"/>
      <c r="D5" s="74"/>
      <c r="E5" s="74"/>
      <c r="F5" s="74"/>
      <c r="G5" s="74"/>
    </row>
    <row r="6" spans="1:7" ht="15.6" customHeight="1" x14ac:dyDescent="0.25">
      <c r="A6" s="88"/>
      <c r="B6" s="74"/>
      <c r="C6" s="74"/>
      <c r="D6" s="74"/>
      <c r="E6" s="74"/>
      <c r="F6" s="74"/>
      <c r="G6" s="74"/>
    </row>
    <row r="7" spans="1:7" ht="15.6" customHeight="1" x14ac:dyDescent="0.25">
      <c r="A7" s="73"/>
      <c r="B7" s="73"/>
      <c r="C7" s="73"/>
      <c r="D7" s="73"/>
      <c r="E7" s="73"/>
      <c r="F7" s="73"/>
      <c r="G7" s="73"/>
    </row>
    <row r="8" spans="1:7" ht="15.6" customHeight="1" x14ac:dyDescent="0.25">
      <c r="A8" s="73"/>
      <c r="B8" s="73"/>
      <c r="C8" s="73"/>
      <c r="D8" s="73"/>
      <c r="E8" s="73"/>
      <c r="F8" s="73"/>
      <c r="G8" s="73"/>
    </row>
    <row r="9" spans="1:7" ht="15.6" customHeight="1" x14ac:dyDescent="0.25">
      <c r="A9" s="73"/>
      <c r="B9" s="73"/>
      <c r="C9" s="73"/>
      <c r="D9" s="73"/>
      <c r="E9" s="73"/>
      <c r="F9" s="73"/>
      <c r="G9" s="73"/>
    </row>
    <row r="10" spans="1:7" ht="15.6" customHeight="1" x14ac:dyDescent="0.25">
      <c r="A10" s="73"/>
      <c r="B10" s="73"/>
      <c r="C10" s="73"/>
      <c r="D10" s="73"/>
      <c r="E10" s="73"/>
      <c r="F10" s="73"/>
      <c r="G10" s="73"/>
    </row>
    <row r="11" spans="1:7" ht="15.6" customHeight="1" x14ac:dyDescent="0.25">
      <c r="A11" s="73"/>
      <c r="B11" s="73"/>
      <c r="C11" s="73"/>
      <c r="D11" s="73"/>
      <c r="E11" s="73"/>
      <c r="F11" s="73"/>
      <c r="G11" s="73"/>
    </row>
    <row r="12" spans="1:7" ht="15.6" customHeight="1" x14ac:dyDescent="0.25">
      <c r="A12" s="73"/>
      <c r="B12" s="73"/>
      <c r="C12" s="73"/>
      <c r="D12" s="73"/>
      <c r="E12" s="73"/>
      <c r="F12" s="73"/>
      <c r="G12" s="73"/>
    </row>
    <row r="13" spans="1:7" ht="15.6" customHeight="1" x14ac:dyDescent="0.25">
      <c r="A13" s="73"/>
      <c r="B13" s="73"/>
      <c r="C13" s="73"/>
      <c r="D13" s="73"/>
      <c r="E13" s="73"/>
      <c r="F13" s="73"/>
      <c r="G13" s="73"/>
    </row>
    <row r="14" spans="1:7" ht="15.6" customHeight="1" x14ac:dyDescent="0.25">
      <c r="A14" s="73"/>
      <c r="B14" s="73"/>
      <c r="C14" s="73"/>
      <c r="D14" s="73"/>
      <c r="E14" s="73"/>
      <c r="F14" s="73"/>
      <c r="G14" s="73"/>
    </row>
    <row r="15" spans="1:7" ht="15.6" customHeight="1" x14ac:dyDescent="0.25">
      <c r="A15" s="73"/>
      <c r="B15" s="73"/>
      <c r="C15" s="73"/>
      <c r="D15" s="73"/>
      <c r="E15" s="73"/>
      <c r="F15" s="73"/>
      <c r="G15" s="73"/>
    </row>
    <row r="16" spans="1:7" ht="15.6" customHeight="1" x14ac:dyDescent="0.25">
      <c r="A16" s="73"/>
      <c r="B16" s="73"/>
      <c r="C16" s="73"/>
      <c r="D16" s="73"/>
      <c r="E16" s="73"/>
      <c r="F16" s="73"/>
      <c r="G16" s="73"/>
    </row>
    <row r="17" spans="1:13" ht="15.6" customHeight="1" x14ac:dyDescent="0.25">
      <c r="A17" s="73"/>
      <c r="B17" s="73"/>
      <c r="C17" s="73"/>
      <c r="D17" s="73"/>
      <c r="E17" s="73"/>
      <c r="F17" s="73"/>
      <c r="G17" s="73"/>
    </row>
    <row r="18" spans="1:13" ht="15.6" customHeight="1" x14ac:dyDescent="0.25">
      <c r="A18" s="73"/>
      <c r="B18" s="73"/>
      <c r="C18" s="73"/>
      <c r="D18" s="73"/>
      <c r="E18" s="73"/>
      <c r="F18" s="73"/>
      <c r="G18" s="73"/>
    </row>
    <row r="19" spans="1:13" ht="15.6" customHeight="1" x14ac:dyDescent="0.25">
      <c r="A19" s="73"/>
      <c r="B19" s="73"/>
      <c r="C19" s="73"/>
      <c r="D19" s="73"/>
      <c r="E19" s="73"/>
      <c r="F19" s="73"/>
      <c r="G19" s="73"/>
    </row>
    <row r="20" spans="1:13" ht="15.6" customHeight="1" x14ac:dyDescent="0.25">
      <c r="A20" s="73"/>
      <c r="B20" s="73"/>
      <c r="C20" s="73"/>
      <c r="D20" s="73"/>
      <c r="E20" s="73"/>
      <c r="F20" s="73"/>
      <c r="G20" s="73"/>
    </row>
    <row r="21" spans="1:13" ht="15.6" customHeight="1" x14ac:dyDescent="0.25">
      <c r="A21" s="73"/>
      <c r="B21" s="73"/>
      <c r="C21" s="73"/>
      <c r="D21" s="73"/>
      <c r="E21" s="73"/>
      <c r="F21" s="73"/>
      <c r="G21" s="73"/>
    </row>
    <row r="22" spans="1:13" ht="15.6" customHeight="1" x14ac:dyDescent="0.25">
      <c r="A22" s="73"/>
      <c r="B22" s="73"/>
      <c r="C22" s="73"/>
      <c r="D22" s="73"/>
      <c r="E22" s="73"/>
      <c r="F22" s="73"/>
      <c r="G22" s="73"/>
    </row>
    <row r="23" spans="1:13" ht="15.6" customHeight="1" x14ac:dyDescent="0.25">
      <c r="A23" s="73"/>
      <c r="B23" s="73"/>
      <c r="C23" s="73"/>
      <c r="D23" s="73"/>
      <c r="E23" s="73"/>
      <c r="F23" s="73"/>
      <c r="G23" s="73"/>
    </row>
    <row r="24" spans="1:13" ht="15.6" customHeight="1" x14ac:dyDescent="0.25">
      <c r="A24" s="73"/>
      <c r="B24" s="73"/>
      <c r="C24" s="73"/>
      <c r="D24" s="73"/>
      <c r="E24" s="73"/>
      <c r="F24" s="73"/>
      <c r="G24" s="73"/>
    </row>
    <row r="25" spans="1:13" ht="15.6" customHeight="1" x14ac:dyDescent="0.25">
      <c r="A25" s="73"/>
      <c r="B25" s="73"/>
      <c r="C25" s="73"/>
      <c r="D25" s="73"/>
      <c r="E25" s="73"/>
      <c r="F25" s="73"/>
      <c r="G25" s="73"/>
    </row>
    <row r="26" spans="1:13" ht="15.6" customHeight="1" x14ac:dyDescent="0.25">
      <c r="A26" s="73"/>
      <c r="B26" s="73"/>
      <c r="C26" s="73"/>
      <c r="D26" s="73"/>
      <c r="E26" s="73"/>
      <c r="F26" s="73"/>
      <c r="G26" s="73"/>
    </row>
    <row r="27" spans="1:13" ht="15.6" customHeight="1" x14ac:dyDescent="0.25">
      <c r="A27" s="73"/>
      <c r="B27" s="73"/>
      <c r="C27" s="73"/>
      <c r="D27" s="73"/>
      <c r="E27" s="73"/>
      <c r="F27" s="73"/>
      <c r="G27" s="73"/>
    </row>
    <row r="28" spans="1:13" ht="15.6" customHeight="1" x14ac:dyDescent="0.25">
      <c r="A28" s="73"/>
      <c r="B28" s="73"/>
      <c r="C28" s="73"/>
      <c r="D28" s="73"/>
      <c r="E28" s="73"/>
      <c r="F28" s="73"/>
      <c r="G28" s="73"/>
      <c r="M28" s="77"/>
    </row>
    <row r="29" spans="1:13" ht="15.6" customHeight="1" x14ac:dyDescent="0.25">
      <c r="A29" s="73"/>
      <c r="B29" s="73"/>
      <c r="C29" s="73"/>
      <c r="D29" s="73"/>
      <c r="E29" s="73"/>
      <c r="F29" s="73"/>
      <c r="G29" s="73"/>
      <c r="M29" s="77"/>
    </row>
    <row r="30" spans="1:13" ht="15.6" customHeight="1" x14ac:dyDescent="0.25">
      <c r="A30" s="73"/>
      <c r="B30" s="73"/>
      <c r="C30" s="73"/>
      <c r="D30" s="73"/>
      <c r="E30" s="73"/>
      <c r="F30" s="73"/>
      <c r="G30" s="73"/>
      <c r="M30" s="77"/>
    </row>
    <row r="31" spans="1:13" ht="15.6" customHeight="1" x14ac:dyDescent="0.25">
      <c r="A31" s="73"/>
      <c r="B31" s="73"/>
      <c r="C31" s="73"/>
      <c r="D31" s="73"/>
      <c r="E31" s="73"/>
      <c r="F31" s="73"/>
      <c r="G31" s="73"/>
      <c r="M31" s="77"/>
    </row>
    <row r="32" spans="1:13" ht="15.6" customHeight="1" x14ac:dyDescent="0.25">
      <c r="A32" s="73"/>
      <c r="B32" s="73"/>
      <c r="C32" s="73"/>
      <c r="D32" s="73"/>
      <c r="E32" s="73"/>
      <c r="F32" s="73"/>
      <c r="G32" s="73"/>
      <c r="M32" s="77"/>
    </row>
    <row r="33" spans="1:13" ht="15.6" customHeight="1" x14ac:dyDescent="0.25">
      <c r="A33" s="73"/>
      <c r="B33" s="73"/>
      <c r="C33" s="73"/>
      <c r="D33" s="73"/>
      <c r="E33" s="73"/>
      <c r="F33" s="73"/>
      <c r="G33" s="73"/>
      <c r="M33" s="77"/>
    </row>
    <row r="34" spans="1:13" ht="15.6" customHeight="1" x14ac:dyDescent="0.25">
      <c r="A34" s="73"/>
      <c r="B34" s="73"/>
      <c r="C34" s="73"/>
      <c r="D34" s="73"/>
      <c r="E34" s="73"/>
      <c r="F34" s="73"/>
      <c r="G34" s="73"/>
      <c r="M34" s="77"/>
    </row>
    <row r="35" spans="1:13" ht="15.6" customHeight="1" x14ac:dyDescent="0.25">
      <c r="A35" s="73"/>
      <c r="B35" s="73"/>
      <c r="C35" s="73"/>
      <c r="D35" s="73"/>
      <c r="E35" s="73"/>
      <c r="F35" s="73"/>
      <c r="G35" s="73"/>
      <c r="M35" s="77"/>
    </row>
    <row r="36" spans="1:13" ht="15.6" customHeight="1" x14ac:dyDescent="0.25">
      <c r="A36" s="73"/>
      <c r="B36" s="73"/>
      <c r="C36" s="73"/>
      <c r="D36" s="73"/>
      <c r="E36" s="73"/>
      <c r="F36" s="73"/>
      <c r="G36" s="73"/>
      <c r="M36" s="77"/>
    </row>
    <row r="37" spans="1:13" ht="15.6" customHeight="1" x14ac:dyDescent="0.25">
      <c r="A37" s="73"/>
      <c r="B37" s="73"/>
      <c r="C37" s="73"/>
      <c r="D37" s="73"/>
      <c r="E37" s="73"/>
      <c r="F37" s="73"/>
      <c r="G37" s="73"/>
      <c r="M37" s="77"/>
    </row>
    <row r="38" spans="1:13" ht="15.6" customHeight="1" x14ac:dyDescent="0.25">
      <c r="A38" s="73"/>
      <c r="B38" s="73"/>
      <c r="C38" s="73"/>
      <c r="D38" s="73"/>
      <c r="E38" s="73"/>
      <c r="F38" s="73"/>
      <c r="G38" s="73"/>
      <c r="M38" s="77"/>
    </row>
    <row r="39" spans="1:13" ht="15.6" customHeight="1" x14ac:dyDescent="0.25">
      <c r="A39" s="73"/>
      <c r="B39" s="73"/>
      <c r="C39" s="73"/>
      <c r="D39" s="73"/>
      <c r="E39" s="73"/>
      <c r="F39" s="73"/>
      <c r="G39" s="73"/>
      <c r="M39" s="77"/>
    </row>
    <row r="40" spans="1:13" ht="15.6" customHeight="1" x14ac:dyDescent="0.25">
      <c r="A40" s="73"/>
      <c r="B40" s="73"/>
      <c r="C40" s="73"/>
      <c r="D40" s="73"/>
      <c r="E40" s="73"/>
      <c r="F40" s="73"/>
      <c r="G40" s="73"/>
      <c r="M40" s="77"/>
    </row>
    <row r="41" spans="1:13" ht="15.6" customHeight="1" x14ac:dyDescent="0.25">
      <c r="A41" s="73"/>
      <c r="B41" s="73"/>
      <c r="C41" s="73"/>
      <c r="D41" s="73"/>
      <c r="E41" s="73"/>
      <c r="F41" s="73"/>
      <c r="G41" s="73"/>
      <c r="M41" s="77"/>
    </row>
    <row r="42" spans="1:13" ht="15.6" customHeight="1" x14ac:dyDescent="0.25">
      <c r="A42" s="73"/>
      <c r="B42" s="73"/>
      <c r="C42" s="73"/>
      <c r="D42" s="73"/>
      <c r="E42" s="73"/>
      <c r="F42" s="73"/>
      <c r="G42" s="73"/>
      <c r="M42" s="77"/>
    </row>
    <row r="43" spans="1:13" ht="15.6" customHeight="1" x14ac:dyDescent="0.25">
      <c r="A43" s="73"/>
      <c r="B43" s="73"/>
      <c r="C43" s="73"/>
      <c r="D43" s="73"/>
      <c r="E43" s="73"/>
      <c r="F43" s="73"/>
      <c r="G43" s="73"/>
      <c r="M43" s="77"/>
    </row>
    <row r="44" spans="1:13" ht="15.6" customHeight="1" x14ac:dyDescent="0.25">
      <c r="A44" s="73"/>
      <c r="B44" s="73"/>
      <c r="C44" s="73"/>
      <c r="D44" s="73"/>
      <c r="E44" s="73"/>
      <c r="F44" s="73"/>
      <c r="G44" s="73"/>
      <c r="M44" s="77"/>
    </row>
    <row r="45" spans="1:13" ht="15.6" customHeight="1" x14ac:dyDescent="0.25">
      <c r="A45" s="73"/>
      <c r="B45" s="73"/>
      <c r="C45" s="73"/>
      <c r="D45" s="73"/>
      <c r="E45" s="73"/>
      <c r="F45" s="73"/>
      <c r="G45" s="73"/>
      <c r="M45" s="77"/>
    </row>
    <row r="46" spans="1:13" ht="15.6" customHeight="1" x14ac:dyDescent="0.25">
      <c r="A46" s="93"/>
      <c r="B46" s="73"/>
      <c r="C46" s="73"/>
      <c r="D46" s="73"/>
      <c r="E46" s="73"/>
      <c r="F46" s="73"/>
      <c r="G46" s="73"/>
      <c r="M46" s="77"/>
    </row>
    <row r="47" spans="1:13" ht="15.6" customHeight="1" x14ac:dyDescent="0.25">
      <c r="A47" s="93"/>
      <c r="B47" s="73"/>
      <c r="C47" s="73"/>
      <c r="D47" s="73"/>
      <c r="E47" s="73"/>
      <c r="F47" s="73"/>
      <c r="G47" s="73"/>
      <c r="M47" s="77"/>
    </row>
    <row r="48" spans="1:13" ht="15.6" customHeight="1" x14ac:dyDescent="0.25">
      <c r="A48" s="148" t="s">
        <v>231</v>
      </c>
      <c r="B48" s="73"/>
      <c r="C48" s="73"/>
      <c r="D48" s="73"/>
      <c r="E48" s="73"/>
      <c r="F48" s="73"/>
      <c r="G48" s="73"/>
      <c r="M48" s="77"/>
    </row>
    <row r="49" spans="1:13" ht="15.6" customHeight="1" x14ac:dyDescent="0.25">
      <c r="A49" s="148" t="s">
        <v>232</v>
      </c>
      <c r="B49" s="73"/>
      <c r="C49" s="73"/>
      <c r="D49" s="73"/>
      <c r="E49" s="73"/>
      <c r="F49" s="73"/>
      <c r="G49" s="73"/>
      <c r="M49" s="77"/>
    </row>
    <row r="50" spans="1:13" ht="15.6" customHeight="1" x14ac:dyDescent="0.2">
      <c r="A50" s="149" t="s">
        <v>233</v>
      </c>
      <c r="B50" s="52"/>
      <c r="C50" s="52"/>
      <c r="D50" s="52"/>
      <c r="E50" s="52"/>
      <c r="F50" s="52"/>
      <c r="G50" s="52"/>
      <c r="H50" s="77"/>
    </row>
    <row r="51" spans="1:13" ht="15.6" customHeight="1" x14ac:dyDescent="0.2">
      <c r="A51" s="54" t="str">
        <f>+Innhold!B123</f>
        <v>Finans Norge / Skadeforsikringsstatistikk</v>
      </c>
      <c r="G51" s="169">
        <v>3</v>
      </c>
      <c r="H51" s="77"/>
    </row>
    <row r="52" spans="1:13" ht="15.6" customHeight="1" x14ac:dyDescent="0.2">
      <c r="A52" s="54" t="str">
        <f>+Innhold!B124</f>
        <v>Skadestatistikk for landbasert forsikring 4. kvartal 2023</v>
      </c>
      <c r="G52" s="170"/>
      <c r="H52" s="77"/>
    </row>
    <row r="53" spans="1:13" ht="15.6" customHeight="1" x14ac:dyDescent="0.2">
      <c r="H53" s="77"/>
    </row>
    <row r="59" spans="1:13" ht="15.6" customHeight="1" x14ac:dyDescent="0.2">
      <c r="J59"/>
      <c r="K59"/>
      <c r="L59"/>
    </row>
    <row r="60" spans="1:13" ht="15.6" customHeight="1" x14ac:dyDescent="0.2">
      <c r="J60" s="71"/>
      <c r="K60" s="72"/>
      <c r="L60" s="72"/>
    </row>
    <row r="61" spans="1:13" ht="15.6" customHeight="1" x14ac:dyDescent="0.2">
      <c r="J61" s="70"/>
      <c r="K61"/>
      <c r="L61"/>
    </row>
    <row r="62" spans="1:13" ht="15.6" customHeight="1" x14ac:dyDescent="0.2">
      <c r="J62" s="69"/>
      <c r="K62" s="69"/>
      <c r="L62" s="69"/>
    </row>
    <row r="63" spans="1:13" ht="15.6" customHeight="1" x14ac:dyDescent="0.2">
      <c r="J63" s="69"/>
      <c r="K63" s="69"/>
      <c r="L63" s="69"/>
    </row>
    <row r="64" spans="1:13" ht="15.6" customHeight="1" x14ac:dyDescent="0.2">
      <c r="J64" s="69"/>
      <c r="K64" s="69"/>
      <c r="L64" s="69"/>
    </row>
    <row r="65" spans="1:12" ht="15.6" customHeight="1" x14ac:dyDescent="0.2">
      <c r="J65" s="69"/>
      <c r="K65" s="69"/>
      <c r="L65" s="69"/>
    </row>
    <row r="66" spans="1:12" ht="15.6" customHeight="1" x14ac:dyDescent="0.2">
      <c r="J66" s="69"/>
      <c r="K66" s="69"/>
      <c r="L66" s="69"/>
    </row>
    <row r="67" spans="1:12" ht="15.6" customHeight="1" x14ac:dyDescent="0.2">
      <c r="J67" s="69"/>
      <c r="K67" s="69"/>
      <c r="L67" s="69"/>
    </row>
    <row r="68" spans="1:12" ht="15.6" customHeight="1" x14ac:dyDescent="0.2">
      <c r="J68" s="69"/>
      <c r="K68" s="69"/>
      <c r="L68" s="69"/>
    </row>
    <row r="69" spans="1:12" ht="15.6" customHeight="1" x14ac:dyDescent="0.2">
      <c r="J69"/>
      <c r="K69"/>
      <c r="L69"/>
    </row>
    <row r="70" spans="1:12" ht="15.6" customHeight="1" x14ac:dyDescent="0.2">
      <c r="J70"/>
      <c r="K70"/>
      <c r="L70"/>
    </row>
    <row r="71" spans="1:12" ht="15.6" customHeight="1" x14ac:dyDescent="0.2">
      <c r="J71"/>
      <c r="K71"/>
      <c r="L71"/>
    </row>
    <row r="72" spans="1:12" ht="15.6" customHeight="1" x14ac:dyDescent="0.2">
      <c r="A72"/>
      <c r="B72"/>
      <c r="C72"/>
      <c r="D72"/>
      <c r="E72"/>
      <c r="F72"/>
      <c r="H72"/>
      <c r="I72"/>
      <c r="J72"/>
      <c r="K72"/>
      <c r="L72"/>
    </row>
    <row r="73" spans="1:12" ht="15.6" customHeight="1" x14ac:dyDescent="0.2">
      <c r="A73"/>
      <c r="B73"/>
      <c r="C73"/>
      <c r="D73"/>
      <c r="E73"/>
      <c r="F73"/>
      <c r="H73"/>
      <c r="I73"/>
      <c r="J73"/>
      <c r="K73"/>
      <c r="L73"/>
    </row>
    <row r="74" spans="1:12" ht="15.6" customHeight="1" x14ac:dyDescent="0.2">
      <c r="A74"/>
      <c r="B74"/>
      <c r="C74"/>
      <c r="D74"/>
      <c r="E74"/>
      <c r="F74"/>
      <c r="H74"/>
      <c r="I74"/>
      <c r="J74"/>
      <c r="K74"/>
      <c r="L74"/>
    </row>
    <row r="75" spans="1:12" ht="15.6" customHeight="1" x14ac:dyDescent="0.2">
      <c r="A75"/>
      <c r="B75"/>
      <c r="C75"/>
      <c r="D75"/>
      <c r="E75"/>
      <c r="F75"/>
      <c r="H75"/>
      <c r="I75"/>
      <c r="J75"/>
      <c r="K75"/>
      <c r="L75"/>
    </row>
    <row r="76" spans="1:12" ht="15.6" customHeight="1" x14ac:dyDescent="0.2">
      <c r="A76"/>
      <c r="B76"/>
      <c r="C76"/>
      <c r="D76"/>
      <c r="E76"/>
      <c r="F76"/>
      <c r="H76"/>
      <c r="I76"/>
      <c r="J76"/>
      <c r="K76"/>
      <c r="L76"/>
    </row>
    <row r="77" spans="1:12" ht="15.6" customHeight="1" x14ac:dyDescent="0.2">
      <c r="A77"/>
      <c r="B77"/>
      <c r="C77"/>
      <c r="D77"/>
      <c r="E77"/>
      <c r="F77"/>
      <c r="H77"/>
      <c r="I77"/>
      <c r="J77"/>
      <c r="K77"/>
      <c r="L77"/>
    </row>
    <row r="78" spans="1:12" ht="15.6" customHeight="1" x14ac:dyDescent="0.2">
      <c r="A78"/>
      <c r="B78"/>
      <c r="C78"/>
      <c r="D78"/>
      <c r="E78"/>
      <c r="F78"/>
      <c r="H78"/>
      <c r="I78"/>
      <c r="J78"/>
      <c r="K78"/>
      <c r="L78"/>
    </row>
    <row r="79" spans="1:12" ht="15.6" customHeight="1" x14ac:dyDescent="0.2">
      <c r="A79"/>
      <c r="B79"/>
      <c r="C79"/>
      <c r="D79"/>
      <c r="E79"/>
      <c r="F79"/>
      <c r="H79"/>
      <c r="I79"/>
      <c r="J79"/>
      <c r="K79"/>
      <c r="L79"/>
    </row>
    <row r="80" spans="1:12" ht="15.6" customHeight="1" x14ac:dyDescent="0.2">
      <c r="A80"/>
      <c r="B80"/>
      <c r="C80"/>
      <c r="D80"/>
      <c r="E80"/>
      <c r="F80"/>
      <c r="H80"/>
      <c r="I80"/>
      <c r="J80"/>
      <c r="K80"/>
      <c r="L80"/>
    </row>
    <row r="81" spans="1:12" ht="15.6" customHeight="1" x14ac:dyDescent="0.2">
      <c r="A81"/>
      <c r="B81"/>
      <c r="C81"/>
      <c r="D81"/>
      <c r="E81"/>
      <c r="F81"/>
      <c r="H81"/>
      <c r="I81"/>
      <c r="J81"/>
      <c r="K81"/>
      <c r="L81"/>
    </row>
    <row r="82" spans="1:12" ht="15.6" customHeight="1" x14ac:dyDescent="0.2">
      <c r="A82"/>
      <c r="B82"/>
      <c r="C82"/>
      <c r="D82"/>
      <c r="E82"/>
      <c r="F82"/>
      <c r="H82"/>
      <c r="I82"/>
      <c r="J82"/>
      <c r="K82"/>
      <c r="L82"/>
    </row>
    <row r="83" spans="1:12" ht="15.6" customHeight="1" x14ac:dyDescent="0.2">
      <c r="A83"/>
      <c r="B83"/>
      <c r="C83"/>
      <c r="D83"/>
      <c r="E83"/>
      <c r="F83"/>
      <c r="H83"/>
      <c r="I83"/>
      <c r="J83"/>
      <c r="K83"/>
      <c r="L83"/>
    </row>
    <row r="84" spans="1:12" ht="15.6" customHeight="1" x14ac:dyDescent="0.2">
      <c r="A84"/>
      <c r="B84"/>
      <c r="C84"/>
      <c r="D84"/>
      <c r="E84"/>
      <c r="F84"/>
      <c r="H84"/>
      <c r="I84"/>
      <c r="J84"/>
      <c r="K84"/>
      <c r="L84"/>
    </row>
    <row r="85" spans="1:12" ht="15.6" customHeight="1" x14ac:dyDescent="0.2">
      <c r="A85"/>
      <c r="B85"/>
      <c r="C85"/>
      <c r="D85"/>
      <c r="E85"/>
      <c r="F85"/>
      <c r="H85"/>
      <c r="I85"/>
      <c r="J85"/>
      <c r="K85"/>
      <c r="L85"/>
    </row>
    <row r="86" spans="1:12" ht="15.6" customHeight="1" x14ac:dyDescent="0.2">
      <c r="A86"/>
      <c r="B86"/>
      <c r="C86"/>
      <c r="D86"/>
      <c r="E86"/>
      <c r="F86"/>
      <c r="H86"/>
      <c r="I86"/>
      <c r="J86"/>
      <c r="K86"/>
      <c r="L86"/>
    </row>
    <row r="87" spans="1:12" ht="15.6" customHeight="1" x14ac:dyDescent="0.2">
      <c r="A87"/>
      <c r="B87"/>
      <c r="C87"/>
      <c r="D87"/>
      <c r="E87"/>
      <c r="F87"/>
      <c r="H87"/>
      <c r="I87"/>
      <c r="J87"/>
      <c r="K87"/>
      <c r="L87"/>
    </row>
    <row r="88" spans="1:12" ht="15.6" customHeight="1" x14ac:dyDescent="0.2">
      <c r="A88"/>
      <c r="B88"/>
      <c r="C88"/>
      <c r="D88"/>
      <c r="E88"/>
      <c r="F88"/>
      <c r="H88"/>
      <c r="I88"/>
      <c r="J88"/>
      <c r="K88"/>
      <c r="L88"/>
    </row>
    <row r="89" spans="1:12" ht="15.6" customHeight="1" x14ac:dyDescent="0.2">
      <c r="A89"/>
      <c r="B89"/>
      <c r="C89"/>
      <c r="D89"/>
      <c r="E89"/>
      <c r="F89"/>
      <c r="H89"/>
      <c r="I89"/>
      <c r="J89"/>
      <c r="K89"/>
      <c r="L89"/>
    </row>
    <row r="90" spans="1:12" ht="15.6" customHeight="1" x14ac:dyDescent="0.2">
      <c r="A90"/>
      <c r="B90"/>
      <c r="C90"/>
      <c r="D90"/>
      <c r="E90"/>
      <c r="F90"/>
      <c r="H90"/>
      <c r="I90"/>
      <c r="J90"/>
      <c r="K90"/>
      <c r="L90"/>
    </row>
    <row r="91" spans="1:12" ht="15.6" customHeight="1" x14ac:dyDescent="0.2">
      <c r="A91"/>
      <c r="B91"/>
      <c r="C91"/>
      <c r="D91"/>
      <c r="E91"/>
      <c r="F91"/>
      <c r="H91"/>
      <c r="I91"/>
      <c r="J91"/>
      <c r="K91"/>
      <c r="L91"/>
    </row>
    <row r="92" spans="1:12" ht="15.6" customHeight="1" x14ac:dyDescent="0.2">
      <c r="A92"/>
      <c r="B92"/>
      <c r="C92"/>
      <c r="D92"/>
      <c r="E92"/>
      <c r="F92"/>
      <c r="H92"/>
      <c r="I92"/>
      <c r="J92"/>
      <c r="K92"/>
      <c r="L92"/>
    </row>
    <row r="93" spans="1:12" ht="15.6" customHeight="1" x14ac:dyDescent="0.2">
      <c r="A93"/>
      <c r="B93"/>
      <c r="C93"/>
      <c r="D93"/>
      <c r="E93"/>
      <c r="F93"/>
      <c r="H93"/>
      <c r="I93"/>
      <c r="J93"/>
      <c r="K93"/>
      <c r="L93"/>
    </row>
    <row r="94" spans="1:12" ht="15.6" customHeight="1" x14ac:dyDescent="0.2">
      <c r="A94"/>
      <c r="B94"/>
      <c r="C94"/>
      <c r="D94"/>
      <c r="E94"/>
      <c r="F94"/>
      <c r="H94"/>
      <c r="I94"/>
      <c r="J94"/>
      <c r="K94"/>
      <c r="L94"/>
    </row>
    <row r="95" spans="1:12" ht="15.6" customHeight="1" x14ac:dyDescent="0.2">
      <c r="A95"/>
      <c r="B95"/>
      <c r="C95"/>
      <c r="D95"/>
      <c r="E95"/>
      <c r="F95"/>
      <c r="H95"/>
      <c r="I95"/>
      <c r="J95"/>
      <c r="K95"/>
      <c r="L95"/>
    </row>
    <row r="96" spans="1:12" ht="15.6" customHeight="1" x14ac:dyDescent="0.2">
      <c r="A96"/>
      <c r="B96"/>
      <c r="C96"/>
      <c r="D96"/>
      <c r="E96"/>
      <c r="F96"/>
      <c r="H96"/>
      <c r="I96"/>
      <c r="J96"/>
      <c r="K96"/>
      <c r="L96"/>
    </row>
    <row r="97" spans="1:12" ht="15.6" customHeight="1" x14ac:dyDescent="0.2">
      <c r="A97"/>
      <c r="B97"/>
      <c r="C97"/>
      <c r="D97"/>
      <c r="E97"/>
      <c r="F97"/>
      <c r="H97"/>
      <c r="I97"/>
      <c r="J97"/>
      <c r="K97"/>
      <c r="L97"/>
    </row>
    <row r="98" spans="1:12" ht="15.6" customHeight="1" x14ac:dyDescent="0.2">
      <c r="A98"/>
      <c r="B98"/>
      <c r="C98"/>
      <c r="D98"/>
      <c r="E98"/>
      <c r="F98"/>
      <c r="K98"/>
    </row>
    <row r="99" spans="1:12" ht="15.6" customHeight="1" x14ac:dyDescent="0.2">
      <c r="A99"/>
      <c r="B99"/>
      <c r="C99"/>
      <c r="D99"/>
      <c r="E99"/>
      <c r="F99"/>
      <c r="K99"/>
    </row>
    <row r="100" spans="1:12" ht="15.6" customHeight="1" x14ac:dyDescent="0.2">
      <c r="A100"/>
      <c r="B100"/>
      <c r="C100"/>
      <c r="D100"/>
      <c r="E100"/>
      <c r="F100"/>
      <c r="H100" s="68"/>
      <c r="I100"/>
      <c r="J100"/>
      <c r="K100"/>
    </row>
    <row r="101" spans="1:12" ht="15.6" customHeight="1" x14ac:dyDescent="0.2">
      <c r="A101"/>
      <c r="B101"/>
      <c r="C101"/>
      <c r="D101"/>
      <c r="E101"/>
      <c r="F101"/>
      <c r="H101"/>
      <c r="I101"/>
      <c r="J101"/>
      <c r="K101"/>
    </row>
    <row r="102" spans="1:12" ht="15.6" customHeight="1" x14ac:dyDescent="0.2">
      <c r="A102"/>
      <c r="B102"/>
      <c r="C102"/>
      <c r="D102"/>
      <c r="E102"/>
      <c r="F102"/>
      <c r="H102"/>
      <c r="I102"/>
      <c r="J102"/>
      <c r="K102"/>
    </row>
    <row r="103" spans="1:12" ht="15.6" customHeight="1" x14ac:dyDescent="0.2">
      <c r="A103"/>
      <c r="B103"/>
      <c r="C103"/>
      <c r="D103"/>
      <c r="E103"/>
      <c r="F103"/>
      <c r="H103"/>
      <c r="I103"/>
      <c r="J103"/>
      <c r="K103"/>
    </row>
    <row r="104" spans="1:12" ht="15.6" customHeight="1" x14ac:dyDescent="0.2">
      <c r="A104"/>
      <c r="B104"/>
      <c r="C104"/>
      <c r="D104"/>
      <c r="E104"/>
      <c r="F104"/>
      <c r="H104"/>
      <c r="I104" s="69"/>
      <c r="J104" s="69"/>
      <c r="K104" s="69"/>
    </row>
    <row r="105" spans="1:12" ht="15.6" customHeight="1" x14ac:dyDescent="0.2">
      <c r="A105"/>
      <c r="B105"/>
      <c r="C105"/>
      <c r="D105"/>
      <c r="E105"/>
      <c r="F105"/>
      <c r="H105"/>
      <c r="I105" s="69"/>
      <c r="J105" s="69"/>
      <c r="K105" s="69"/>
    </row>
    <row r="106" spans="1:12" ht="15.6" customHeight="1" x14ac:dyDescent="0.2">
      <c r="D106"/>
      <c r="E106"/>
      <c r="F106"/>
      <c r="H106"/>
      <c r="I106" s="69"/>
      <c r="J106" s="69"/>
      <c r="K106" s="69"/>
    </row>
    <row r="107" spans="1:12" ht="15.6" customHeight="1" x14ac:dyDescent="0.2">
      <c r="D107"/>
      <c r="E107"/>
      <c r="F107"/>
      <c r="H107"/>
      <c r="I107"/>
      <c r="J107"/>
      <c r="K107"/>
    </row>
    <row r="108" spans="1:12" ht="15.6" customHeight="1" x14ac:dyDescent="0.2">
      <c r="A108" s="78"/>
      <c r="B108"/>
      <c r="C108"/>
      <c r="D108"/>
      <c r="E108"/>
      <c r="F108"/>
      <c r="H108"/>
      <c r="I108"/>
      <c r="J108"/>
      <c r="K108"/>
    </row>
    <row r="109" spans="1:12" ht="15.6" customHeight="1" x14ac:dyDescent="0.2">
      <c r="A109"/>
      <c r="B109"/>
      <c r="C109"/>
      <c r="D109"/>
      <c r="E109"/>
      <c r="F109"/>
      <c r="H109"/>
      <c r="I109"/>
      <c r="J109"/>
      <c r="K109"/>
    </row>
    <row r="110" spans="1:12" ht="15.6" customHeight="1" x14ac:dyDescent="0.2">
      <c r="A110"/>
      <c r="B110"/>
      <c r="C110"/>
      <c r="D110"/>
      <c r="E110"/>
      <c r="F110"/>
      <c r="H110"/>
      <c r="I110"/>
      <c r="J110"/>
      <c r="K110"/>
    </row>
    <row r="111" spans="1:12" ht="15.6" customHeight="1" x14ac:dyDescent="0.2">
      <c r="A111"/>
      <c r="B111"/>
      <c r="C111"/>
      <c r="D111"/>
      <c r="E111"/>
      <c r="F111"/>
      <c r="H111"/>
      <c r="I111"/>
      <c r="J111"/>
      <c r="K111"/>
    </row>
    <row r="112" spans="1:12" ht="15.6" customHeight="1" x14ac:dyDescent="0.2">
      <c r="A112"/>
      <c r="B112"/>
      <c r="C112"/>
      <c r="D112"/>
      <c r="E112"/>
      <c r="F112"/>
    </row>
    <row r="113" spans="1:11" ht="15.6" customHeight="1" x14ac:dyDescent="0.2">
      <c r="A113"/>
      <c r="B113"/>
      <c r="C113"/>
      <c r="D113"/>
      <c r="E113"/>
      <c r="F113"/>
    </row>
    <row r="114" spans="1:11" ht="15.6" customHeight="1" x14ac:dyDescent="0.2">
      <c r="A114"/>
      <c r="B114"/>
      <c r="C114"/>
      <c r="D114"/>
      <c r="E114"/>
      <c r="F114"/>
      <c r="H114" s="68"/>
      <c r="I114"/>
      <c r="J114"/>
      <c r="K114"/>
    </row>
    <row r="115" spans="1:11" ht="15.6" customHeight="1" x14ac:dyDescent="0.2">
      <c r="A115"/>
      <c r="B115"/>
      <c r="C115"/>
      <c r="D115"/>
      <c r="E115"/>
      <c r="F115"/>
      <c r="H115"/>
      <c r="I115"/>
      <c r="J115"/>
      <c r="K115"/>
    </row>
    <row r="116" spans="1:11" ht="15.6" customHeight="1" x14ac:dyDescent="0.2">
      <c r="A116"/>
      <c r="B116"/>
      <c r="C116"/>
      <c r="D116"/>
      <c r="E116"/>
      <c r="F116"/>
      <c r="H116"/>
      <c r="I116"/>
      <c r="J116"/>
      <c r="K116"/>
    </row>
    <row r="117" spans="1:11" ht="15.6" customHeight="1" x14ac:dyDescent="0.2">
      <c r="A117"/>
      <c r="B117"/>
      <c r="C117"/>
      <c r="D117"/>
      <c r="E117"/>
      <c r="F117"/>
      <c r="H117"/>
      <c r="I117"/>
      <c r="J117" s="69"/>
      <c r="K117" s="69"/>
    </row>
    <row r="118" spans="1:11" ht="15.6" customHeight="1" x14ac:dyDescent="0.2">
      <c r="A118"/>
      <c r="B118"/>
      <c r="C118"/>
      <c r="D118"/>
      <c r="E118"/>
      <c r="F118"/>
      <c r="H118"/>
      <c r="I118"/>
      <c r="J118" s="69"/>
      <c r="K118" s="69"/>
    </row>
    <row r="119" spans="1:11" ht="15.6" customHeight="1" x14ac:dyDescent="0.2">
      <c r="A119"/>
      <c r="B119"/>
      <c r="C119"/>
      <c r="D119"/>
      <c r="E119"/>
      <c r="F119"/>
      <c r="H119"/>
      <c r="I119"/>
      <c r="J119" s="69"/>
      <c r="K119" s="69"/>
    </row>
    <row r="120" spans="1:11" ht="15.6" customHeight="1" x14ac:dyDescent="0.2">
      <c r="A120"/>
      <c r="B120"/>
      <c r="C120"/>
      <c r="D120"/>
      <c r="E120"/>
      <c r="F120"/>
      <c r="H120"/>
      <c r="I120"/>
      <c r="J120"/>
      <c r="K120"/>
    </row>
    <row r="121" spans="1:11" ht="15.6" customHeight="1" x14ac:dyDescent="0.2">
      <c r="A121"/>
      <c r="B121"/>
      <c r="C121"/>
      <c r="D121"/>
      <c r="E121"/>
      <c r="F121"/>
      <c r="G121"/>
      <c r="H121"/>
      <c r="I121"/>
      <c r="J121"/>
      <c r="K121"/>
    </row>
    <row r="122" spans="1:11" ht="15.6" customHeight="1" x14ac:dyDescent="0.2">
      <c r="A122"/>
      <c r="B122"/>
      <c r="C122"/>
      <c r="D122"/>
      <c r="E122"/>
      <c r="F122"/>
      <c r="G122"/>
      <c r="H122"/>
      <c r="I122"/>
      <c r="J122"/>
      <c r="K122"/>
    </row>
    <row r="123" spans="1:11" ht="15.6" customHeight="1" x14ac:dyDescent="0.2">
      <c r="A123"/>
      <c r="B123"/>
      <c r="C123"/>
      <c r="D123"/>
      <c r="E123"/>
      <c r="F123"/>
      <c r="G123"/>
      <c r="H123"/>
      <c r="I123" s="69"/>
      <c r="J123" s="69"/>
    </row>
    <row r="124" spans="1:11" ht="15.6" customHeight="1" x14ac:dyDescent="0.2">
      <c r="A124"/>
      <c r="B124" s="69"/>
      <c r="C124" s="69"/>
      <c r="D124"/>
      <c r="E124"/>
      <c r="F124"/>
      <c r="G124"/>
      <c r="H124"/>
      <c r="I124" s="69"/>
      <c r="J124" s="69"/>
    </row>
    <row r="125" spans="1:11" ht="15.6" customHeight="1" x14ac:dyDescent="0.2">
      <c r="A125"/>
      <c r="B125"/>
      <c r="C125"/>
      <c r="D125"/>
      <c r="F125"/>
      <c r="G125"/>
      <c r="H125"/>
      <c r="I125"/>
      <c r="J125"/>
    </row>
    <row r="126" spans="1:11" ht="15.6" customHeight="1" x14ac:dyDescent="0.2">
      <c r="A126"/>
      <c r="B126"/>
      <c r="C126"/>
      <c r="D126"/>
      <c r="F126"/>
      <c r="G126"/>
      <c r="H126"/>
      <c r="I126"/>
      <c r="J126"/>
    </row>
    <row r="127" spans="1:11" ht="15.6" customHeight="1" x14ac:dyDescent="0.2">
      <c r="A127"/>
      <c r="B127"/>
      <c r="C127"/>
      <c r="D127"/>
      <c r="F127"/>
      <c r="G127"/>
      <c r="H127"/>
      <c r="I127"/>
      <c r="J127"/>
    </row>
    <row r="128" spans="1:11" ht="15.6" customHeight="1" x14ac:dyDescent="0.2">
      <c r="A128"/>
      <c r="B128" s="69"/>
      <c r="C128" s="69"/>
      <c r="D128"/>
      <c r="F128"/>
      <c r="G128"/>
      <c r="H128"/>
      <c r="I128"/>
      <c r="J128"/>
    </row>
    <row r="129" spans="1:10" ht="15.6" customHeight="1" x14ac:dyDescent="0.2">
      <c r="A129"/>
      <c r="B129" s="69"/>
      <c r="C129" s="69"/>
      <c r="D129"/>
      <c r="F129"/>
      <c r="G129"/>
      <c r="H129"/>
      <c r="I129"/>
      <c r="J129"/>
    </row>
    <row r="130" spans="1:10" ht="15.6" customHeight="1" x14ac:dyDescent="0.2">
      <c r="A130"/>
      <c r="B130" s="69"/>
      <c r="C130" s="69"/>
      <c r="D130"/>
      <c r="F130"/>
    </row>
    <row r="131" spans="1:10" ht="15.6" customHeight="1" x14ac:dyDescent="0.2">
      <c r="A131"/>
      <c r="B131"/>
      <c r="C131"/>
      <c r="D131"/>
      <c r="F131"/>
    </row>
    <row r="132" spans="1:10" ht="15.6" customHeight="1" x14ac:dyDescent="0.2">
      <c r="A132"/>
      <c r="B132" s="69"/>
      <c r="C132" s="69"/>
      <c r="D132"/>
      <c r="F132"/>
    </row>
    <row r="133" spans="1:10" ht="15.6" customHeight="1" x14ac:dyDescent="0.2">
      <c r="A133"/>
      <c r="B133" s="69"/>
      <c r="C133" s="69"/>
      <c r="D133"/>
      <c r="F133"/>
    </row>
    <row r="134" spans="1:10" ht="15.6" customHeight="1" x14ac:dyDescent="0.2">
      <c r="A134"/>
      <c r="B134" s="69"/>
      <c r="C134" s="69"/>
      <c r="D134"/>
      <c r="F134"/>
    </row>
    <row r="135" spans="1:10" ht="15.6" customHeight="1" x14ac:dyDescent="0.2">
      <c r="A135"/>
      <c r="B135"/>
      <c r="C135"/>
      <c r="D135"/>
      <c r="F135"/>
    </row>
    <row r="136" spans="1:10" ht="15.6" customHeight="1" x14ac:dyDescent="0.2">
      <c r="A136"/>
      <c r="B136" s="69"/>
      <c r="C136" s="69"/>
      <c r="D136"/>
      <c r="F136"/>
    </row>
    <row r="137" spans="1:10" ht="15.6" customHeight="1" x14ac:dyDescent="0.2">
      <c r="A137"/>
      <c r="B137" s="69"/>
      <c r="C137" s="69"/>
      <c r="D137"/>
      <c r="F137"/>
    </row>
  </sheetData>
  <mergeCells count="1">
    <mergeCell ref="G51:G52"/>
  </mergeCells>
  <phoneticPr fontId="0" type="noConversion"/>
  <hyperlinks>
    <hyperlink ref="A2" location="Innhold!A8" display="Tilbake til innholdsfortegnelsen" xr:uid="{00000000-0004-0000-0200-000000000000}"/>
  </hyperlinks>
  <pageMargins left="0.78740157480314965" right="0.59055118110236227" top="0.98425196850393704" bottom="0.19685039370078741" header="3.937007874015748E-2" footer="3.937007874015748E-2"/>
  <pageSetup paperSize="9" scale="9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38"/>
  <sheetViews>
    <sheetView showGridLines="0" showRowColHeaders="0" zoomScaleNormal="100" workbookViewId="0"/>
  </sheetViews>
  <sheetFormatPr defaultColWidth="11.42578125" defaultRowHeight="12.75" x14ac:dyDescent="0.2"/>
  <cols>
    <col min="1" max="1" width="26.42578125" style="189" customWidth="1"/>
    <col min="2" max="2" width="8.140625" style="189" customWidth="1"/>
    <col min="3" max="4" width="10.42578125" style="189" customWidth="1"/>
    <col min="5" max="5" width="9.85546875" style="189" customWidth="1"/>
    <col min="6" max="6" width="1.5703125" style="189" customWidth="1"/>
    <col min="7" max="7" width="7.5703125" style="189" customWidth="1"/>
    <col min="8" max="8" width="8.85546875" style="189" customWidth="1"/>
    <col min="9" max="21" width="11.42578125" style="189" customWidth="1"/>
    <col min="22" max="22" width="15.42578125" style="189" customWidth="1"/>
    <col min="23" max="36" width="11.42578125" style="189"/>
    <col min="37" max="16384" width="11.42578125" style="1"/>
  </cols>
  <sheetData>
    <row r="1" spans="1:36" ht="5.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x14ac:dyDescent="0.2">
      <c r="A2" s="146" t="s">
        <v>0</v>
      </c>
      <c r="B2" s="2"/>
      <c r="C2" s="2"/>
      <c r="D2" s="2"/>
      <c r="E2" s="2"/>
      <c r="F2" s="2"/>
      <c r="G2" s="2"/>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6" customHeight="1" x14ac:dyDescent="0.2">
      <c r="A3" s="147"/>
      <c r="B3" s="2"/>
      <c r="C3" s="2"/>
      <c r="D3" s="2"/>
      <c r="E3" s="2"/>
      <c r="F3" s="2"/>
      <c r="G3" s="2"/>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2.75" customHeight="1" x14ac:dyDescent="0.2">
      <c r="A4" s="171" t="s">
        <v>90</v>
      </c>
      <c r="B4" s="2"/>
      <c r="C4" s="2"/>
      <c r="D4" s="2"/>
      <c r="E4" s="2"/>
      <c r="F4" s="2"/>
      <c r="G4" s="2"/>
      <c r="H4" s="67"/>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2.75" customHeight="1" x14ac:dyDescent="0.2">
      <c r="A5" s="171"/>
      <c r="B5" s="2"/>
      <c r="C5" s="2"/>
      <c r="D5" s="2"/>
      <c r="E5" s="2"/>
      <c r="F5" s="2"/>
      <c r="G5" s="2"/>
      <c r="H5" s="67"/>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5.75" x14ac:dyDescent="0.25">
      <c r="A6" s="4" t="str">
        <f>"Figur 1. Antall meldte skader etter bransjer "&amp;'Tab3'!H63</f>
        <v xml:space="preserve">Figur 1. Antall meldte skader etter bransjer </v>
      </c>
      <c r="B6" s="2"/>
      <c r="C6" s="2"/>
      <c r="D6" s="2"/>
      <c r="E6" s="2"/>
      <c r="F6" s="2"/>
      <c r="G6" s="2"/>
      <c r="H6" s="67"/>
      <c r="I6" s="4" t="str">
        <f>"Figur 3. Anslått erstatning etter bransje, pr. "&amp;'Tab3'!H63</f>
        <v xml:space="preserve">Figur 3. Anslått erstatning etter bransje, pr. </v>
      </c>
      <c r="J6" s="1"/>
      <c r="K6" s="1"/>
      <c r="L6" s="1"/>
      <c r="M6" s="1"/>
      <c r="N6" s="1"/>
      <c r="O6" s="1"/>
      <c r="P6" s="4" t="s">
        <v>182</v>
      </c>
      <c r="Q6" s="1"/>
      <c r="R6" s="1"/>
      <c r="S6" s="1"/>
      <c r="T6" s="1"/>
      <c r="U6" s="1"/>
      <c r="V6" s="1"/>
      <c r="W6" s="4" t="str">
        <f>"Figur 7. Antall meldte skader i de Brann-kombinerte bransjer etter skadetype "&amp;'Tab3'!H63</f>
        <v xml:space="preserve">Figur 7. Antall meldte skader i de Brann-kombinerte bransjer etter skadetype </v>
      </c>
      <c r="X6" s="4"/>
      <c r="Y6" s="1"/>
      <c r="Z6" s="1"/>
      <c r="AA6" s="1"/>
      <c r="AB6" s="1"/>
      <c r="AC6" s="1"/>
      <c r="AD6" s="4" t="str">
        <f>"Figur 9. Brannskader pr. kvartal"</f>
        <v>Figur 9. Brannskader pr. kvartal</v>
      </c>
      <c r="AE6" s="1"/>
      <c r="AF6" s="1"/>
      <c r="AG6" s="1"/>
      <c r="AH6" s="1"/>
      <c r="AI6" s="1"/>
      <c r="AJ6" s="1"/>
    </row>
    <row r="7" spans="1:36" ht="15.75" x14ac:dyDescent="0.25">
      <c r="A7" s="147"/>
      <c r="B7" s="2"/>
      <c r="C7" s="2"/>
      <c r="D7" s="2"/>
      <c r="E7" s="2"/>
      <c r="F7" s="2"/>
      <c r="G7" s="2"/>
      <c r="H7" s="67"/>
      <c r="I7" s="1"/>
      <c r="J7" s="1"/>
      <c r="K7" s="1"/>
      <c r="L7" s="1"/>
      <c r="M7" s="1"/>
      <c r="N7" s="1"/>
      <c r="O7" s="1"/>
      <c r="P7" s="1"/>
      <c r="Q7" s="1"/>
      <c r="R7" s="1"/>
      <c r="S7" s="1"/>
      <c r="T7" s="1"/>
      <c r="U7" s="1"/>
      <c r="V7" s="88"/>
      <c r="W7" s="1"/>
      <c r="X7" s="1"/>
      <c r="Y7" s="1"/>
      <c r="Z7" s="1"/>
      <c r="AA7" s="1"/>
      <c r="AB7" s="1"/>
      <c r="AC7" s="1"/>
      <c r="AD7" s="1"/>
      <c r="AE7" s="1"/>
      <c r="AF7" s="1"/>
      <c r="AG7" s="1"/>
      <c r="AH7" s="1"/>
      <c r="AI7" s="1"/>
      <c r="AJ7" s="88"/>
    </row>
    <row r="8" spans="1:36" x14ac:dyDescent="0.2">
      <c r="A8" s="147"/>
      <c r="B8" s="2"/>
      <c r="C8" s="2"/>
      <c r="D8" s="2"/>
      <c r="E8" s="2"/>
      <c r="F8" s="2"/>
      <c r="G8" s="2"/>
      <c r="H8" s="67"/>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
      <c r="A9" s="147"/>
      <c r="B9" s="2"/>
      <c r="C9" s="2"/>
      <c r="D9" s="2"/>
      <c r="E9" s="2"/>
      <c r="F9" s="2"/>
      <c r="G9" s="2"/>
      <c r="H9" s="67"/>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x14ac:dyDescent="0.2">
      <c r="A10" s="147"/>
      <c r="B10" s="2"/>
      <c r="C10" s="2"/>
      <c r="D10" s="2"/>
      <c r="E10" s="2"/>
      <c r="F10" s="2"/>
      <c r="G10" s="2"/>
      <c r="H10" s="67"/>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row>
    <row r="11" spans="1:36" x14ac:dyDescent="0.2">
      <c r="A11" s="147"/>
      <c r="B11" s="2"/>
      <c r="C11" s="2"/>
      <c r="D11" s="2"/>
      <c r="E11" s="2"/>
      <c r="F11" s="2"/>
      <c r="G11" s="2"/>
      <c r="H11" s="67"/>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
      <c r="A12" s="147"/>
      <c r="B12" s="2"/>
      <c r="C12" s="2"/>
      <c r="D12" s="2"/>
      <c r="E12" s="2"/>
      <c r="F12" s="2"/>
      <c r="G12" s="2"/>
      <c r="H12" s="67"/>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
      <c r="A13" s="147"/>
      <c r="B13" s="2"/>
      <c r="C13" s="2"/>
      <c r="D13" s="2"/>
      <c r="E13" s="2"/>
      <c r="F13" s="2"/>
      <c r="G13" s="2"/>
      <c r="H13" s="67"/>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
      <c r="A14" s="147"/>
      <c r="B14" s="2"/>
      <c r="C14" s="2"/>
      <c r="D14" s="2"/>
      <c r="E14" s="2"/>
      <c r="F14" s="2"/>
      <c r="G14" s="2"/>
      <c r="H14" s="67"/>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x14ac:dyDescent="0.2">
      <c r="A15" s="147"/>
      <c r="B15" s="2"/>
      <c r="C15" s="2"/>
      <c r="D15" s="2"/>
      <c r="E15" s="2"/>
      <c r="F15" s="2"/>
      <c r="G15" s="2"/>
      <c r="H15" s="67"/>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row>
    <row r="16" spans="1:36" x14ac:dyDescent="0.2">
      <c r="A16" s="147"/>
      <c r="B16" s="2"/>
      <c r="C16" s="2"/>
      <c r="D16" s="2"/>
      <c r="E16" s="2"/>
      <c r="F16" s="2"/>
      <c r="G16" s="2"/>
      <c r="H16" s="67"/>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row>
    <row r="17" spans="1:30" s="1" customFormat="1" x14ac:dyDescent="0.2">
      <c r="A17" s="147"/>
      <c r="B17" s="2"/>
      <c r="C17" s="2"/>
      <c r="D17" s="2"/>
      <c r="E17" s="2"/>
      <c r="F17" s="2"/>
      <c r="G17" s="2"/>
      <c r="H17" s="67"/>
    </row>
    <row r="18" spans="1:30" s="1" customFormat="1" x14ac:dyDescent="0.2">
      <c r="A18" s="147"/>
      <c r="B18" s="2"/>
      <c r="C18" s="2"/>
      <c r="D18" s="2"/>
      <c r="E18" s="2"/>
      <c r="F18" s="2"/>
      <c r="G18" s="2"/>
      <c r="H18" s="67"/>
    </row>
    <row r="19" spans="1:30" s="1" customFormat="1" x14ac:dyDescent="0.2">
      <c r="A19" s="147"/>
      <c r="B19" s="2"/>
      <c r="C19" s="2"/>
      <c r="D19" s="2"/>
      <c r="E19" s="2"/>
      <c r="F19" s="2"/>
      <c r="G19" s="2"/>
      <c r="H19" s="67"/>
    </row>
    <row r="20" spans="1:30" s="1" customFormat="1" x14ac:dyDescent="0.2">
      <c r="A20" s="147"/>
      <c r="B20" s="2"/>
      <c r="C20" s="2"/>
      <c r="D20" s="2"/>
      <c r="E20" s="2"/>
      <c r="F20" s="2"/>
      <c r="G20" s="2"/>
      <c r="H20" s="67"/>
    </row>
    <row r="21" spans="1:30" s="1" customFormat="1" x14ac:dyDescent="0.2">
      <c r="A21" s="147"/>
      <c r="B21" s="2"/>
      <c r="C21" s="2"/>
      <c r="D21" s="2"/>
      <c r="E21" s="2"/>
      <c r="F21" s="2"/>
      <c r="G21" s="2"/>
      <c r="H21" s="67"/>
    </row>
    <row r="22" spans="1:30" s="1" customFormat="1" x14ac:dyDescent="0.2">
      <c r="A22" s="147"/>
      <c r="B22" s="2"/>
      <c r="C22" s="2"/>
      <c r="D22" s="2"/>
      <c r="E22" s="2"/>
      <c r="F22" s="2"/>
      <c r="G22" s="2"/>
      <c r="H22" s="67"/>
    </row>
    <row r="23" spans="1:30" s="1" customFormat="1" x14ac:dyDescent="0.2">
      <c r="A23" s="147"/>
      <c r="B23" s="2"/>
      <c r="C23" s="2"/>
      <c r="D23" s="2"/>
      <c r="E23" s="2"/>
      <c r="F23" s="2"/>
      <c r="G23" s="2"/>
      <c r="H23" s="67"/>
    </row>
    <row r="24" spans="1:30" s="1" customFormat="1" x14ac:dyDescent="0.2">
      <c r="A24" s="147"/>
      <c r="B24" s="2"/>
      <c r="C24" s="2"/>
      <c r="D24" s="2"/>
      <c r="E24" s="2"/>
      <c r="F24" s="2"/>
      <c r="G24" s="2"/>
      <c r="H24" s="67"/>
    </row>
    <row r="25" spans="1:30" s="1" customFormat="1" x14ac:dyDescent="0.2">
      <c r="A25" s="147"/>
      <c r="B25" s="2"/>
      <c r="C25" s="2"/>
      <c r="D25" s="2"/>
      <c r="E25" s="2"/>
      <c r="F25" s="2"/>
      <c r="G25" s="2"/>
      <c r="H25" s="67"/>
    </row>
    <row r="26" spans="1:30" s="1" customFormat="1" x14ac:dyDescent="0.2">
      <c r="A26" s="147"/>
      <c r="B26" s="2"/>
      <c r="C26" s="2"/>
      <c r="D26" s="2"/>
      <c r="E26" s="2"/>
      <c r="F26" s="2"/>
      <c r="G26" s="2"/>
      <c r="H26" s="67"/>
    </row>
    <row r="27" spans="1:30" s="1" customFormat="1" x14ac:dyDescent="0.2">
      <c r="A27" s="147"/>
      <c r="B27" s="2"/>
      <c r="C27" s="2"/>
      <c r="D27" s="2"/>
      <c r="E27" s="2"/>
      <c r="F27" s="2"/>
      <c r="G27" s="2"/>
      <c r="H27" s="67"/>
    </row>
    <row r="28" spans="1:30" s="1" customFormat="1" x14ac:dyDescent="0.2">
      <c r="A28" s="147"/>
      <c r="B28" s="2"/>
      <c r="C28" s="2"/>
      <c r="D28" s="2"/>
      <c r="E28" s="2"/>
      <c r="F28" s="2"/>
      <c r="G28" s="2"/>
      <c r="H28" s="67"/>
    </row>
    <row r="29" spans="1:30" s="1" customFormat="1" x14ac:dyDescent="0.2">
      <c r="A29" s="147"/>
      <c r="B29" s="2"/>
      <c r="C29" s="2"/>
      <c r="D29" s="2"/>
      <c r="E29" s="2"/>
      <c r="F29" s="2"/>
      <c r="G29" s="2"/>
      <c r="H29" s="67"/>
    </row>
    <row r="30" spans="1:30" s="1" customFormat="1" x14ac:dyDescent="0.2">
      <c r="A30" s="147"/>
      <c r="B30" s="2"/>
      <c r="C30" s="2"/>
      <c r="D30" s="2"/>
      <c r="E30" s="2"/>
      <c r="F30" s="2"/>
      <c r="G30" s="2"/>
      <c r="H30" s="67"/>
    </row>
    <row r="31" spans="1:30" s="1" customFormat="1" x14ac:dyDescent="0.2">
      <c r="A31" s="147"/>
      <c r="B31" s="2"/>
      <c r="C31" s="2"/>
      <c r="D31" s="2"/>
      <c r="E31" s="2"/>
      <c r="F31" s="2"/>
      <c r="G31" s="2"/>
      <c r="H31" s="67"/>
    </row>
    <row r="32" spans="1:30" s="1" customFormat="1" ht="15.75" x14ac:dyDescent="0.25">
      <c r="A32" s="4" t="str">
        <f>"Figur 2. Antall meldte skader etter bransjer "&amp;'Tab3'!H63</f>
        <v xml:space="preserve">Figur 2. Antall meldte skader etter bransjer </v>
      </c>
      <c r="B32" s="2"/>
      <c r="C32" s="2"/>
      <c r="D32" s="2"/>
      <c r="E32" s="2"/>
      <c r="F32" s="2"/>
      <c r="G32" s="2"/>
      <c r="H32" s="67"/>
      <c r="I32" s="4" t="str">
        <f>"Figur 4. Vannskader pr. kvartal"</f>
        <v>Figur 4. Vannskader pr. kvartal</v>
      </c>
      <c r="P32" s="4" t="str">
        <f>"Figur 6. Anslått erstatning etter skadetype, motorvogn "&amp;'Tab3'!H63&amp;" "&amp;'Tab3'!E6</f>
        <v>Figur 6. Anslått erstatning etter skadetype, motorvogn  2023</v>
      </c>
      <c r="W32" s="4" t="str">
        <f>"Figur 8. Anslått erstatning i de Brann-kombinerte bransjer etter skadetype "&amp;'Tab3'!H63</f>
        <v xml:space="preserve">Figur 8. Anslått erstatning i de Brann-kombinerte bransjer etter skadetype </v>
      </c>
      <c r="AD32" s="4" t="str">
        <f>"Figur 10. Innbrudd, tyverier og ran pr. kvartal"</f>
        <v>Figur 10. Innbrudd, tyverier og ran pr. kvartal</v>
      </c>
    </row>
    <row r="33" spans="1:8" s="1" customFormat="1" x14ac:dyDescent="0.2">
      <c r="A33" s="147"/>
      <c r="B33" s="2"/>
      <c r="C33" s="2"/>
      <c r="D33" s="2"/>
      <c r="E33" s="2"/>
      <c r="F33" s="2"/>
      <c r="G33" s="2"/>
      <c r="H33" s="67"/>
    </row>
    <row r="34" spans="1:8" s="1" customFormat="1" x14ac:dyDescent="0.2">
      <c r="A34" s="147"/>
      <c r="B34" s="2"/>
      <c r="C34" s="2"/>
      <c r="D34" s="2"/>
      <c r="E34" s="2"/>
      <c r="F34" s="2"/>
      <c r="G34" s="2"/>
      <c r="H34" s="67"/>
    </row>
    <row r="35" spans="1:8" s="1" customFormat="1" x14ac:dyDescent="0.2">
      <c r="A35" s="147"/>
      <c r="B35" s="2"/>
      <c r="C35" s="2"/>
      <c r="D35" s="2"/>
      <c r="E35" s="2"/>
      <c r="F35" s="2"/>
      <c r="G35" s="2"/>
      <c r="H35" s="67"/>
    </row>
    <row r="36" spans="1:8" s="1" customFormat="1" x14ac:dyDescent="0.2">
      <c r="A36" s="147"/>
      <c r="B36" s="2"/>
      <c r="C36" s="2"/>
      <c r="D36" s="2"/>
      <c r="E36" s="2"/>
      <c r="F36" s="2"/>
      <c r="G36" s="2"/>
      <c r="H36" s="67"/>
    </row>
    <row r="37" spans="1:8" s="1" customFormat="1" x14ac:dyDescent="0.2">
      <c r="A37" s="47"/>
      <c r="B37" s="48"/>
      <c r="C37" s="49"/>
      <c r="D37" s="49"/>
      <c r="E37" s="49"/>
      <c r="F37" s="49"/>
      <c r="G37" s="50"/>
      <c r="H37" s="51"/>
    </row>
    <row r="38" spans="1:8" s="1" customFormat="1" x14ac:dyDescent="0.2">
      <c r="A38" s="47"/>
      <c r="B38" s="48"/>
      <c r="C38" s="49"/>
      <c r="D38" s="49"/>
      <c r="E38" s="49"/>
      <c r="F38" s="49"/>
      <c r="G38" s="50"/>
      <c r="H38" s="51"/>
    </row>
    <row r="39" spans="1:8" s="1" customFormat="1" x14ac:dyDescent="0.2">
      <c r="A39" s="47"/>
      <c r="B39" s="48"/>
      <c r="C39" s="49"/>
      <c r="D39" s="49"/>
      <c r="E39" s="49"/>
      <c r="F39" s="49"/>
      <c r="G39" s="50"/>
      <c r="H39" s="51"/>
    </row>
    <row r="40" spans="1:8" s="1" customFormat="1" x14ac:dyDescent="0.2">
      <c r="A40" s="47"/>
      <c r="B40" s="48"/>
      <c r="C40" s="49"/>
      <c r="D40" s="49"/>
      <c r="E40" s="49"/>
      <c r="F40" s="49"/>
      <c r="G40" s="50"/>
      <c r="H40" s="51"/>
    </row>
    <row r="41" spans="1:8" s="1" customFormat="1" x14ac:dyDescent="0.2">
      <c r="A41" s="47"/>
      <c r="B41" s="48"/>
      <c r="C41" s="49"/>
      <c r="D41" s="49"/>
      <c r="E41" s="49"/>
      <c r="F41" s="49"/>
      <c r="G41" s="50"/>
      <c r="H41" s="51"/>
    </row>
    <row r="42" spans="1:8" s="1" customFormat="1" x14ac:dyDescent="0.2">
      <c r="A42" s="47"/>
      <c r="B42" s="48"/>
      <c r="C42" s="49"/>
      <c r="D42" s="49"/>
      <c r="E42" s="49"/>
      <c r="F42" s="49"/>
      <c r="G42" s="50"/>
      <c r="H42" s="51"/>
    </row>
    <row r="43" spans="1:8" s="1" customFormat="1" x14ac:dyDescent="0.2">
      <c r="A43" s="47"/>
      <c r="B43" s="48"/>
      <c r="C43" s="49"/>
      <c r="D43" s="49"/>
      <c r="E43" s="49"/>
      <c r="F43" s="49"/>
      <c r="G43" s="50"/>
      <c r="H43" s="51"/>
    </row>
    <row r="44" spans="1:8" s="1" customFormat="1" x14ac:dyDescent="0.2">
      <c r="A44" s="47"/>
      <c r="B44" s="48"/>
      <c r="C44" s="49"/>
      <c r="D44" s="49"/>
      <c r="E44" s="49"/>
      <c r="F44" s="49"/>
      <c r="G44" s="50"/>
      <c r="H44" s="51"/>
    </row>
    <row r="45" spans="1:8" s="1" customFormat="1" x14ac:dyDescent="0.2">
      <c r="A45" s="47"/>
      <c r="B45" s="48"/>
      <c r="C45" s="49"/>
      <c r="D45" s="49"/>
      <c r="E45" s="49"/>
      <c r="F45" s="49"/>
      <c r="G45" s="50"/>
      <c r="H45" s="51"/>
    </row>
    <row r="46" spans="1:8" s="1" customFormat="1" x14ac:dyDescent="0.2">
      <c r="A46" s="47"/>
      <c r="B46" s="48"/>
      <c r="C46" s="49"/>
      <c r="D46" s="49"/>
      <c r="E46" s="49"/>
      <c r="F46" s="49"/>
      <c r="G46" s="50"/>
      <c r="H46" s="51"/>
    </row>
    <row r="47" spans="1:8" s="1" customFormat="1" x14ac:dyDescent="0.2">
      <c r="A47" s="47"/>
      <c r="B47" s="48"/>
      <c r="C47" s="49"/>
      <c r="D47" s="49"/>
      <c r="E47" s="49"/>
      <c r="F47" s="49"/>
      <c r="G47" s="50"/>
      <c r="H47" s="51"/>
    </row>
    <row r="48" spans="1:8" s="1" customFormat="1" x14ac:dyDescent="0.2">
      <c r="A48" s="47"/>
      <c r="B48" s="48"/>
      <c r="C48" s="49"/>
      <c r="D48" s="49"/>
      <c r="E48" s="49"/>
      <c r="F48" s="49"/>
      <c r="G48" s="50"/>
      <c r="H48" s="51"/>
    </row>
    <row r="49" spans="1:36" x14ac:dyDescent="0.2">
      <c r="A49" s="47"/>
      <c r="B49" s="48"/>
      <c r="C49" s="49"/>
      <c r="D49" s="49"/>
      <c r="E49" s="97"/>
      <c r="F49" s="49"/>
      <c r="G49" s="50"/>
      <c r="H49" s="5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
      <c r="A50" s="47"/>
      <c r="B50" s="48"/>
      <c r="C50" s="49"/>
      <c r="D50" s="49"/>
      <c r="E50" s="49"/>
      <c r="F50" s="49"/>
      <c r="G50" s="50"/>
      <c r="H50" s="5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
      <c r="A51" s="47"/>
      <c r="B51" s="48"/>
      <c r="C51" s="49"/>
      <c r="D51" s="49"/>
      <c r="E51" s="49"/>
      <c r="F51" s="49"/>
      <c r="G51" s="50"/>
      <c r="H51" s="5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
      <c r="A52" s="47"/>
      <c r="B52" s="48"/>
      <c r="C52" s="49"/>
      <c r="D52" s="49"/>
      <c r="E52" s="49"/>
      <c r="F52" s="49"/>
      <c r="G52" s="50"/>
      <c r="H52" s="5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x14ac:dyDescent="0.2">
      <c r="A53" s="47"/>
      <c r="B53" s="48"/>
      <c r="C53" s="49"/>
      <c r="D53" s="49"/>
      <c r="E53" s="49"/>
      <c r="F53" s="49"/>
      <c r="G53" s="50"/>
      <c r="H53" s="5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
      <c r="A54" s="47"/>
      <c r="B54" s="48"/>
      <c r="C54" s="49"/>
      <c r="D54" s="49"/>
      <c r="E54" s="49"/>
      <c r="F54" s="49"/>
      <c r="G54" s="50"/>
      <c r="H54" s="5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
      <c r="A55" s="47"/>
      <c r="B55" s="48"/>
      <c r="C55" s="49"/>
      <c r="D55" s="49"/>
      <c r="E55" s="49"/>
      <c r="F55" s="49"/>
      <c r="G55" s="50"/>
      <c r="H55" s="5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x14ac:dyDescent="0.2">
      <c r="A56" s="47"/>
      <c r="B56" s="48"/>
      <c r="C56" s="49"/>
      <c r="D56" s="49"/>
      <c r="E56" s="49"/>
      <c r="F56" s="49"/>
      <c r="G56" s="50"/>
      <c r="H56" s="5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
      <c r="A57" s="47"/>
      <c r="B57" s="48"/>
      <c r="C57" s="49"/>
      <c r="D57" s="49"/>
      <c r="E57" s="49"/>
      <c r="F57" s="49"/>
      <c r="G57" s="50"/>
      <c r="H57" s="5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
      <c r="A58" s="47"/>
      <c r="B58" s="48"/>
      <c r="C58" s="49"/>
      <c r="D58" s="49"/>
      <c r="E58" s="49"/>
      <c r="F58" s="49"/>
      <c r="G58" s="50"/>
      <c r="H58" s="5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
      <c r="A59" s="47"/>
      <c r="B59" s="48"/>
      <c r="C59" s="49"/>
      <c r="D59" s="49"/>
      <c r="E59" s="49"/>
      <c r="F59" s="49"/>
      <c r="G59" s="50"/>
      <c r="H59" s="5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row>
    <row r="61" spans="1:36" x14ac:dyDescent="0.2">
      <c r="A61" s="54" t="str">
        <f>+Innhold!B123</f>
        <v>Finans Norge / Skadeforsikringsstatistikk</v>
      </c>
      <c r="B61" s="1"/>
      <c r="C61" s="1"/>
      <c r="D61" s="1"/>
      <c r="E61" s="1"/>
      <c r="F61" s="1"/>
      <c r="G61" s="1"/>
      <c r="H61" s="169">
        <v>4</v>
      </c>
      <c r="I61" s="54" t="str">
        <f>+Innhold!B123</f>
        <v>Finans Norge / Skadeforsikringsstatistikk</v>
      </c>
      <c r="J61" s="1"/>
      <c r="K61" s="1"/>
      <c r="L61" s="1"/>
      <c r="M61" s="1"/>
      <c r="N61" s="1"/>
      <c r="O61" s="169">
        <v>5</v>
      </c>
      <c r="P61" s="54" t="str">
        <f>+Innhold!B123</f>
        <v>Finans Norge / Skadeforsikringsstatistikk</v>
      </c>
      <c r="Q61" s="1"/>
      <c r="R61" s="1"/>
      <c r="S61" s="1"/>
      <c r="T61" s="1"/>
      <c r="U61" s="1"/>
      <c r="V61" s="169">
        <v>6</v>
      </c>
      <c r="W61" s="54" t="str">
        <f>+Innhold!B123</f>
        <v>Finans Norge / Skadeforsikringsstatistikk</v>
      </c>
      <c r="X61" s="1"/>
      <c r="Y61" s="1"/>
      <c r="Z61" s="1"/>
      <c r="AA61" s="1"/>
      <c r="AB61" s="1"/>
      <c r="AC61" s="169">
        <v>7</v>
      </c>
      <c r="AD61" s="54" t="str">
        <f>+Innhold!B123</f>
        <v>Finans Norge / Skadeforsikringsstatistikk</v>
      </c>
      <c r="AE61" s="1"/>
      <c r="AF61" s="1"/>
      <c r="AG61" s="1"/>
      <c r="AH61" s="1"/>
      <c r="AI61" s="1"/>
      <c r="AJ61" s="169">
        <v>8</v>
      </c>
    </row>
    <row r="62" spans="1:36" x14ac:dyDescent="0.2">
      <c r="A62" s="54" t="str">
        <f>+Innhold!B124</f>
        <v>Skadestatistikk for landbasert forsikring 4. kvartal 2023</v>
      </c>
      <c r="B62" s="1"/>
      <c r="C62" s="1"/>
      <c r="D62" s="1"/>
      <c r="E62" s="1"/>
      <c r="F62" s="1"/>
      <c r="G62" s="1"/>
      <c r="H62" s="170"/>
      <c r="I62" s="54" t="str">
        <f>+Innhold!B124</f>
        <v>Skadestatistikk for landbasert forsikring 4. kvartal 2023</v>
      </c>
      <c r="J62" s="1"/>
      <c r="K62" s="1"/>
      <c r="L62" s="1"/>
      <c r="M62" s="1"/>
      <c r="N62" s="1"/>
      <c r="O62" s="170"/>
      <c r="P62" s="54" t="str">
        <f>+Innhold!B124</f>
        <v>Skadestatistikk for landbasert forsikring 4. kvartal 2023</v>
      </c>
      <c r="Q62" s="1"/>
      <c r="R62" s="1"/>
      <c r="S62" s="1"/>
      <c r="T62" s="1"/>
      <c r="U62" s="1"/>
      <c r="V62" s="170"/>
      <c r="W62" s="54" t="str">
        <f>+Innhold!B124</f>
        <v>Skadestatistikk for landbasert forsikring 4. kvartal 2023</v>
      </c>
      <c r="X62" s="1"/>
      <c r="Y62" s="1"/>
      <c r="Z62" s="1"/>
      <c r="AA62" s="1"/>
      <c r="AB62" s="1"/>
      <c r="AC62" s="170"/>
      <c r="AD62" s="54" t="str">
        <f>+Innhold!B124</f>
        <v>Skadestatistikk for landbasert forsikring 4. kvartal 2023</v>
      </c>
      <c r="AE62" s="1"/>
      <c r="AF62" s="1"/>
      <c r="AG62" s="1"/>
      <c r="AH62" s="1"/>
      <c r="AI62" s="1"/>
      <c r="AJ62" s="170"/>
    </row>
    <row r="67" spans="1:26" ht="12.75" customHeight="1" x14ac:dyDescent="0.2"/>
    <row r="68" spans="1:26" ht="12.75" customHeight="1" x14ac:dyDescent="0.2">
      <c r="M68" s="190" t="s">
        <v>177</v>
      </c>
      <c r="P68" s="190" t="s">
        <v>179</v>
      </c>
      <c r="S68" s="190" t="s">
        <v>178</v>
      </c>
    </row>
    <row r="69" spans="1:26" x14ac:dyDescent="0.2">
      <c r="A69" s="191" t="s">
        <v>183</v>
      </c>
      <c r="B69" s="192"/>
      <c r="C69" s="192"/>
      <c r="D69" s="192" t="s">
        <v>74</v>
      </c>
      <c r="E69" s="192"/>
      <c r="F69" s="192"/>
      <c r="G69" s="192"/>
      <c r="H69" s="191"/>
      <c r="I69" s="193">
        <v>181.20166666666663</v>
      </c>
      <c r="J69" s="194" t="s">
        <v>234</v>
      </c>
      <c r="M69" s="190" t="s">
        <v>161</v>
      </c>
      <c r="P69" s="190" t="s">
        <v>175</v>
      </c>
      <c r="S69" s="190" t="s">
        <v>176</v>
      </c>
      <c r="V69" s="191" t="s">
        <v>184</v>
      </c>
      <c r="W69" s="192"/>
      <c r="X69" s="192"/>
      <c r="Y69" s="192"/>
      <c r="Z69" s="192"/>
    </row>
    <row r="70" spans="1:26" x14ac:dyDescent="0.2">
      <c r="A70" s="192" t="s">
        <v>75</v>
      </c>
      <c r="B70" s="192" t="s">
        <v>76</v>
      </c>
      <c r="C70" s="192" t="s">
        <v>26</v>
      </c>
      <c r="D70" s="192" t="s">
        <v>77</v>
      </c>
      <c r="E70" s="192"/>
      <c r="F70" s="192"/>
      <c r="G70" s="192"/>
      <c r="I70" s="195" t="s">
        <v>159</v>
      </c>
      <c r="J70" s="189" t="s">
        <v>229</v>
      </c>
      <c r="K70" s="195" t="s">
        <v>76</v>
      </c>
      <c r="L70" s="195" t="s">
        <v>108</v>
      </c>
      <c r="M70" s="195" t="s">
        <v>157</v>
      </c>
      <c r="N70" s="195" t="s">
        <v>158</v>
      </c>
      <c r="O70" s="195" t="s">
        <v>108</v>
      </c>
      <c r="P70" s="195" t="s">
        <v>157</v>
      </c>
      <c r="Q70" s="195" t="s">
        <v>158</v>
      </c>
      <c r="R70" s="195" t="s">
        <v>108</v>
      </c>
      <c r="S70" s="195" t="s">
        <v>157</v>
      </c>
      <c r="T70" s="195" t="s">
        <v>158</v>
      </c>
      <c r="V70" s="192" t="s">
        <v>81</v>
      </c>
      <c r="W70" s="192"/>
      <c r="X70" s="196" t="str">
        <f>+'Tab3'!C6</f>
        <v>2021</v>
      </c>
      <c r="Y70" s="196" t="str">
        <f>+'Tab3'!D6</f>
        <v>2022</v>
      </c>
      <c r="Z70" s="196" t="str">
        <f>+'Tab3'!E6</f>
        <v>2023</v>
      </c>
    </row>
    <row r="71" spans="1:26" x14ac:dyDescent="0.2">
      <c r="A71" s="192">
        <v>1</v>
      </c>
      <c r="B71" s="192">
        <v>1983</v>
      </c>
      <c r="C71" s="192">
        <v>97</v>
      </c>
      <c r="D71" s="192">
        <v>78.3</v>
      </c>
      <c r="E71" s="192"/>
      <c r="F71" s="192"/>
      <c r="G71" s="192"/>
      <c r="I71" s="197">
        <v>53.8</v>
      </c>
      <c r="J71" s="189">
        <v>1</v>
      </c>
      <c r="K71" s="189">
        <v>1983</v>
      </c>
      <c r="L71" s="198">
        <v>11621</v>
      </c>
      <c r="M71" s="197">
        <v>80.900000000000006</v>
      </c>
      <c r="N71" s="197">
        <f t="shared" ref="N71:N102" si="0">M71/I71*$I$69</f>
        <v>272.47611214374223</v>
      </c>
      <c r="V71" s="192"/>
      <c r="W71" s="192"/>
      <c r="X71" s="192"/>
      <c r="Y71" s="192"/>
      <c r="Z71" s="192"/>
    </row>
    <row r="72" spans="1:26" x14ac:dyDescent="0.2">
      <c r="A72" s="192">
        <v>2</v>
      </c>
      <c r="B72" s="192"/>
      <c r="C72" s="192">
        <v>78.8</v>
      </c>
      <c r="D72" s="192">
        <v>61.3</v>
      </c>
      <c r="E72" s="192"/>
      <c r="F72" s="192"/>
      <c r="G72" s="192"/>
      <c r="I72" s="197">
        <v>54.7</v>
      </c>
      <c r="J72" s="189">
        <v>2</v>
      </c>
      <c r="L72" s="198">
        <v>11120</v>
      </c>
      <c r="M72" s="197">
        <v>68.900000000000006</v>
      </c>
      <c r="N72" s="197">
        <f t="shared" si="0"/>
        <v>228.24122181596584</v>
      </c>
      <c r="V72" s="192" t="s">
        <v>26</v>
      </c>
      <c r="W72" s="192"/>
      <c r="X72" s="199">
        <f>IF('Tab6'!C36="",'Tab6'!C35,'Tab6'!C36)</f>
        <v>16417.970641978663</v>
      </c>
      <c r="Y72" s="199">
        <f>IF('Tab6'!D36="",'Tab6'!D35,'Tab6'!D36)</f>
        <v>18490.436763405316</v>
      </c>
      <c r="Z72" s="199">
        <f>IF('Tab6'!E36="",'Tab6'!E35,'Tab6'!E36)</f>
        <v>22049.628682232047</v>
      </c>
    </row>
    <row r="73" spans="1:26" x14ac:dyDescent="0.2">
      <c r="A73" s="192">
        <v>3</v>
      </c>
      <c r="B73" s="192"/>
      <c r="C73" s="192">
        <v>84.8</v>
      </c>
      <c r="D73" s="192">
        <v>63</v>
      </c>
      <c r="E73" s="192"/>
      <c r="F73" s="192"/>
      <c r="G73" s="192"/>
      <c r="I73" s="197">
        <v>55.3</v>
      </c>
      <c r="J73" s="189">
        <v>3</v>
      </c>
      <c r="L73" s="198">
        <v>11918</v>
      </c>
      <c r="M73" s="197">
        <v>63.7</v>
      </c>
      <c r="N73" s="197">
        <f t="shared" si="0"/>
        <v>208.725970464135</v>
      </c>
      <c r="V73" s="192"/>
      <c r="W73" s="192"/>
      <c r="X73" s="199"/>
      <c r="Y73" s="199"/>
      <c r="Z73" s="199"/>
    </row>
    <row r="74" spans="1:26" x14ac:dyDescent="0.2">
      <c r="A74" s="192">
        <v>4</v>
      </c>
      <c r="B74" s="192"/>
      <c r="C74" s="192">
        <v>91.2</v>
      </c>
      <c r="D74" s="192">
        <v>70.8</v>
      </c>
      <c r="E74" s="192"/>
      <c r="F74" s="192"/>
      <c r="G74" s="192"/>
      <c r="I74" s="197">
        <v>56.2</v>
      </c>
      <c r="J74" s="189">
        <v>4</v>
      </c>
      <c r="L74" s="198">
        <v>11905</v>
      </c>
      <c r="M74" s="197">
        <v>79.3</v>
      </c>
      <c r="N74" s="197">
        <f t="shared" si="0"/>
        <v>255.68135527876623</v>
      </c>
      <c r="V74" s="192" t="s">
        <v>63</v>
      </c>
      <c r="W74" s="192"/>
      <c r="X74" s="199">
        <f>IF('Tab6'!C36="",'Tab6'!C45+'Tab6'!C47,'Tab6'!C46+'Tab6'!C48)</f>
        <v>155.67190932819102</v>
      </c>
      <c r="Y74" s="199">
        <f>IF('Tab6'!D36="",'Tab6'!D45+'Tab6'!D47,'Tab6'!D46+'Tab6'!D48)</f>
        <v>248.15374706987171</v>
      </c>
      <c r="Z74" s="199">
        <f>IF('Tab6'!E36="",'Tab6'!E45+'Tab6'!E47,'Tab6'!E46+'Tab6'!E48)</f>
        <v>320.68974104789345</v>
      </c>
    </row>
    <row r="75" spans="1:26" x14ac:dyDescent="0.2">
      <c r="A75" s="192">
        <v>1</v>
      </c>
      <c r="B75" s="192">
        <v>1984</v>
      </c>
      <c r="C75" s="192">
        <v>112.2</v>
      </c>
      <c r="D75" s="192">
        <v>90.4</v>
      </c>
      <c r="E75" s="192"/>
      <c r="F75" s="192"/>
      <c r="G75" s="192"/>
      <c r="I75" s="197">
        <v>57.3</v>
      </c>
      <c r="J75" s="189">
        <v>1</v>
      </c>
      <c r="K75" s="189">
        <v>1984</v>
      </c>
      <c r="L75" s="198">
        <v>13205</v>
      </c>
      <c r="M75" s="197">
        <v>86.7</v>
      </c>
      <c r="N75" s="197">
        <f t="shared" si="0"/>
        <v>274.17424956369979</v>
      </c>
      <c r="V75" s="192" t="s">
        <v>39</v>
      </c>
      <c r="W75" s="192"/>
      <c r="X75" s="199">
        <f>IF('Tab6'!C36="",'Tab6'!C49,'Tab6'!C50)</f>
        <v>1589.0848721890409</v>
      </c>
      <c r="Y75" s="199">
        <f>IF('Tab6'!D36="",'Tab6'!D49,'Tab6'!D50)</f>
        <v>1748.714082406844</v>
      </c>
      <c r="Z75" s="199">
        <f>IF('Tab6'!E36="",'Tab6'!E49,'Tab6'!E50)</f>
        <v>2094.4640437700255</v>
      </c>
    </row>
    <row r="76" spans="1:26" x14ac:dyDescent="0.2">
      <c r="A76" s="192">
        <v>2</v>
      </c>
      <c r="B76" s="192"/>
      <c r="C76" s="192">
        <v>81.8</v>
      </c>
      <c r="D76" s="192">
        <v>64.400000000000006</v>
      </c>
      <c r="E76" s="192"/>
      <c r="F76" s="192"/>
      <c r="G76" s="192"/>
      <c r="I76" s="197">
        <v>58.2</v>
      </c>
      <c r="J76" s="189">
        <v>2</v>
      </c>
      <c r="L76" s="198">
        <v>12453</v>
      </c>
      <c r="M76" s="197">
        <v>83.3</v>
      </c>
      <c r="N76" s="197">
        <f t="shared" si="0"/>
        <v>259.34877720503999</v>
      </c>
      <c r="V76" s="192" t="s">
        <v>18</v>
      </c>
      <c r="W76" s="192"/>
      <c r="X76" s="199">
        <f>IF('Tab6'!C36="",'Tab6'!C43,'Tab6'!C44)</f>
        <v>275.64287647593477</v>
      </c>
      <c r="Y76" s="199">
        <f>IF('Tab6'!D36="",'Tab6'!D43,'Tab6'!D44)</f>
        <v>314.01071525743112</v>
      </c>
      <c r="Z76" s="199">
        <f>IF('Tab6'!E36="",'Tab6'!E43,'Tab6'!E44)</f>
        <v>285.96684758238604</v>
      </c>
    </row>
    <row r="77" spans="1:26" x14ac:dyDescent="0.2">
      <c r="A77" s="192">
        <v>3</v>
      </c>
      <c r="B77" s="192"/>
      <c r="C77" s="192">
        <v>90.4</v>
      </c>
      <c r="D77" s="192">
        <v>71.099999999999994</v>
      </c>
      <c r="E77" s="192"/>
      <c r="F77" s="192"/>
      <c r="G77" s="192"/>
      <c r="I77" s="197">
        <v>58.7</v>
      </c>
      <c r="J77" s="189">
        <v>3</v>
      </c>
      <c r="L77" s="198">
        <v>12278</v>
      </c>
      <c r="M77" s="197">
        <v>83.3</v>
      </c>
      <c r="N77" s="197">
        <f t="shared" si="0"/>
        <v>257.13967348097663</v>
      </c>
      <c r="V77" s="192" t="s">
        <v>82</v>
      </c>
      <c r="W77" s="192"/>
      <c r="X77" s="199">
        <f>IF('Tab6'!C36="",'Tab6'!C37+'Tab6'!C39,'Tab6'!C38+'Tab6'!C40)</f>
        <v>1274.7953094607697</v>
      </c>
      <c r="Y77" s="199">
        <f>IF('Tab6'!D36="",'Tab6'!D37+'Tab6'!D39,'Tab6'!D38+'Tab6'!D40)</f>
        <v>1484.9730472515221</v>
      </c>
      <c r="Z77" s="199">
        <f>IF('Tab6'!E36="",'Tab6'!E37+'Tab6'!E39,'Tab6'!E38+'Tab6'!E40)</f>
        <v>1630.3140754617621</v>
      </c>
    </row>
    <row r="78" spans="1:26" x14ac:dyDescent="0.2">
      <c r="A78" s="192">
        <v>4</v>
      </c>
      <c r="B78" s="192"/>
      <c r="C78" s="192">
        <v>92.9</v>
      </c>
      <c r="D78" s="192">
        <v>73.900000000000006</v>
      </c>
      <c r="E78" s="192"/>
      <c r="F78" s="192"/>
      <c r="G78" s="192"/>
      <c r="I78" s="197">
        <v>59.6</v>
      </c>
      <c r="J78" s="189">
        <v>4</v>
      </c>
      <c r="L78" s="198">
        <v>11449</v>
      </c>
      <c r="M78" s="197">
        <v>94.6</v>
      </c>
      <c r="N78" s="197">
        <f t="shared" si="0"/>
        <v>287.61204138702448</v>
      </c>
      <c r="V78" s="192" t="s">
        <v>83</v>
      </c>
      <c r="W78" s="192"/>
      <c r="X78" s="200">
        <f>X72-X77-X76-X75-X74</f>
        <v>13122.775674524726</v>
      </c>
      <c r="Y78" s="200">
        <f>Y72-Y77-Y76-Y75-Y74</f>
        <v>14694.585171419647</v>
      </c>
      <c r="Z78" s="200">
        <f>Z72-Z77-Z76-Z75-Z74</f>
        <v>17718.19397436998</v>
      </c>
    </row>
    <row r="79" spans="1:26" x14ac:dyDescent="0.2">
      <c r="A79" s="192">
        <v>1</v>
      </c>
      <c r="B79" s="192">
        <v>1985</v>
      </c>
      <c r="C79" s="192">
        <v>123.4</v>
      </c>
      <c r="D79" s="192">
        <v>100.8</v>
      </c>
      <c r="E79" s="192"/>
      <c r="F79" s="192"/>
      <c r="G79" s="192"/>
      <c r="I79" s="197">
        <v>60.4</v>
      </c>
      <c r="J79" s="189">
        <v>1</v>
      </c>
      <c r="K79" s="189">
        <v>1985</v>
      </c>
      <c r="L79" s="198">
        <v>16918</v>
      </c>
      <c r="M79" s="197">
        <v>103.6</v>
      </c>
      <c r="N79" s="197">
        <f t="shared" si="0"/>
        <v>310.80285871964668</v>
      </c>
      <c r="V79" s="192"/>
      <c r="W79" s="192"/>
      <c r="X79" s="192"/>
      <c r="Y79" s="192"/>
      <c r="Z79" s="192"/>
    </row>
    <row r="80" spans="1:26" x14ac:dyDescent="0.2">
      <c r="A80" s="192">
        <v>2</v>
      </c>
      <c r="B80" s="192"/>
      <c r="C80" s="192">
        <v>102</v>
      </c>
      <c r="D80" s="192">
        <v>81.099999999999994</v>
      </c>
      <c r="E80" s="192"/>
      <c r="F80" s="192"/>
      <c r="G80" s="192"/>
      <c r="I80" s="197">
        <v>61.5</v>
      </c>
      <c r="J80" s="189">
        <v>2</v>
      </c>
      <c r="L80" s="198">
        <v>14237</v>
      </c>
      <c r="M80" s="197">
        <v>115.3</v>
      </c>
      <c r="N80" s="197">
        <f t="shared" si="0"/>
        <v>339.71629539295384</v>
      </c>
      <c r="V80" s="191" t="s">
        <v>162</v>
      </c>
      <c r="W80" s="192"/>
      <c r="X80" s="192"/>
      <c r="Y80" s="192"/>
    </row>
    <row r="81" spans="1:25" x14ac:dyDescent="0.2">
      <c r="A81" s="192">
        <v>3</v>
      </c>
      <c r="B81" s="192"/>
      <c r="C81" s="192">
        <v>108.4</v>
      </c>
      <c r="D81" s="192">
        <v>86</v>
      </c>
      <c r="E81" s="192"/>
      <c r="F81" s="192"/>
      <c r="G81" s="192"/>
      <c r="I81" s="197">
        <v>62</v>
      </c>
      <c r="J81" s="189">
        <v>3</v>
      </c>
      <c r="L81" s="198">
        <v>14329</v>
      </c>
      <c r="M81" s="197">
        <v>103</v>
      </c>
      <c r="N81" s="197">
        <f t="shared" si="0"/>
        <v>301.02857526881718</v>
      </c>
      <c r="V81" s="192"/>
      <c r="W81" s="192"/>
      <c r="X81" s="192"/>
      <c r="Y81" s="192"/>
    </row>
    <row r="82" spans="1:25" x14ac:dyDescent="0.2">
      <c r="A82" s="192">
        <v>4</v>
      </c>
      <c r="B82" s="192"/>
      <c r="C82" s="192">
        <v>109.6</v>
      </c>
      <c r="D82" s="192">
        <v>87.1</v>
      </c>
      <c r="E82" s="192"/>
      <c r="F82" s="192"/>
      <c r="G82" s="192"/>
      <c r="I82" s="197">
        <v>63</v>
      </c>
      <c r="J82" s="189">
        <v>4</v>
      </c>
      <c r="L82" s="198">
        <v>13060</v>
      </c>
      <c r="M82" s="197">
        <v>118.7</v>
      </c>
      <c r="N82" s="197">
        <f t="shared" si="0"/>
        <v>341.40694973544964</v>
      </c>
      <c r="V82" s="192"/>
      <c r="W82" s="196" t="str">
        <f>+'Tab4'!C6</f>
        <v>2021</v>
      </c>
      <c r="X82" s="196" t="str">
        <f>+'Tab4'!D6</f>
        <v>2022</v>
      </c>
      <c r="Y82" s="196" t="str">
        <f>+'Tab4'!E6</f>
        <v>2023</v>
      </c>
    </row>
    <row r="83" spans="1:25" x14ac:dyDescent="0.2">
      <c r="A83" s="192">
        <v>1</v>
      </c>
      <c r="B83" s="192">
        <v>1986</v>
      </c>
      <c r="C83" s="192">
        <v>141</v>
      </c>
      <c r="D83" s="192">
        <v>115.2</v>
      </c>
      <c r="E83" s="192"/>
      <c r="F83" s="192"/>
      <c r="G83" s="192"/>
      <c r="I83" s="197">
        <v>64</v>
      </c>
      <c r="J83" s="189">
        <v>1</v>
      </c>
      <c r="K83" s="189">
        <v>1986</v>
      </c>
      <c r="L83" s="198">
        <v>14314</v>
      </c>
      <c r="M83" s="197">
        <v>111.8</v>
      </c>
      <c r="N83" s="197">
        <f t="shared" si="0"/>
        <v>316.53666145833324</v>
      </c>
      <c r="V83" s="192" t="s">
        <v>84</v>
      </c>
      <c r="W83" s="199">
        <f>IF('Tab4'!C14="",'Tab4'!C13,'Tab4'!C14)</f>
        <v>9329.6259879792105</v>
      </c>
      <c r="X83" s="199">
        <f>IF('Tab4'!D14="",'Tab4'!D13,'Tab4'!D14)</f>
        <v>9776.7076031225206</v>
      </c>
      <c r="Y83" s="199">
        <f>IF('Tab4'!E14="",'Tab4'!E13,'Tab4'!E14)</f>
        <v>12630.225692452103</v>
      </c>
    </row>
    <row r="84" spans="1:25" x14ac:dyDescent="0.2">
      <c r="A84" s="192">
        <v>2</v>
      </c>
      <c r="B84" s="192"/>
      <c r="C84" s="192">
        <v>120.5</v>
      </c>
      <c r="D84" s="192">
        <v>93.2</v>
      </c>
      <c r="E84" s="192"/>
      <c r="F84" s="192"/>
      <c r="G84" s="192"/>
      <c r="I84" s="197">
        <v>65</v>
      </c>
      <c r="J84" s="189">
        <v>2</v>
      </c>
      <c r="L84" s="198">
        <v>13505</v>
      </c>
      <c r="M84" s="197">
        <v>121.5</v>
      </c>
      <c r="N84" s="197">
        <f t="shared" si="0"/>
        <v>338.70773076923069</v>
      </c>
      <c r="V84" s="192" t="s">
        <v>169</v>
      </c>
      <c r="W84" s="199">
        <f>IF('Tab4'!C16="",'Tab4'!C15,'Tab4'!C16)</f>
        <v>6062.0590272136797</v>
      </c>
      <c r="X84" s="199">
        <f>IF('Tab4'!D16="",'Tab4'!D15,'Tab4'!D16)</f>
        <v>7230.9088147832827</v>
      </c>
      <c r="Y84" s="199">
        <f>IF('Tab4'!E16="",'Tab4'!E15,'Tab4'!E16)</f>
        <v>9813.9785573664831</v>
      </c>
    </row>
    <row r="85" spans="1:25" x14ac:dyDescent="0.2">
      <c r="A85" s="192">
        <v>3</v>
      </c>
      <c r="B85" s="192"/>
      <c r="C85" s="192">
        <v>115.7</v>
      </c>
      <c r="D85" s="192">
        <v>91.1</v>
      </c>
      <c r="E85" s="192"/>
      <c r="F85" s="192"/>
      <c r="G85" s="192"/>
      <c r="I85" s="197">
        <v>67</v>
      </c>
      <c r="J85" s="189">
        <v>3</v>
      </c>
      <c r="L85" s="198">
        <v>12132</v>
      </c>
      <c r="M85" s="197">
        <v>100.8</v>
      </c>
      <c r="N85" s="197">
        <f t="shared" si="0"/>
        <v>272.61385074626861</v>
      </c>
      <c r="V85" s="192" t="s">
        <v>7</v>
      </c>
      <c r="W85" s="199">
        <f>IF('Tab4'!C18="",'Tab4'!C17,'Tab4'!C18)</f>
        <v>1811.9238978132253</v>
      </c>
      <c r="X85" s="199">
        <f>IF('Tab4'!D18="",'Tab4'!D17,'Tab4'!D18)</f>
        <v>1885.3077142325617</v>
      </c>
      <c r="Y85" s="199">
        <f>IF('Tab4'!E18="",'Tab4'!E17,'Tab4'!E18)</f>
        <v>2098.3300920885899</v>
      </c>
    </row>
    <row r="86" spans="1:25" x14ac:dyDescent="0.2">
      <c r="A86" s="192">
        <v>4</v>
      </c>
      <c r="B86" s="192"/>
      <c r="C86" s="192">
        <v>114.4</v>
      </c>
      <c r="D86" s="192">
        <v>90.8</v>
      </c>
      <c r="E86" s="192"/>
      <c r="F86" s="192"/>
      <c r="G86" s="192"/>
      <c r="I86" s="197">
        <v>68.5</v>
      </c>
      <c r="J86" s="189">
        <v>4</v>
      </c>
      <c r="L86" s="198">
        <v>11763</v>
      </c>
      <c r="M86" s="197">
        <v>120.6</v>
      </c>
      <c r="N86" s="197">
        <f t="shared" si="0"/>
        <v>319.02074452554734</v>
      </c>
      <c r="V86" s="189" t="s">
        <v>8</v>
      </c>
      <c r="W86" s="199">
        <f>IF('Tab4'!C20="",'Tab4'!C19,'Tab4'!C20)</f>
        <v>2387.3848808729376</v>
      </c>
      <c r="X86" s="199">
        <f>IF('Tab4'!D20="",'Tab4'!D19,'Tab4'!D20)</f>
        <v>2938.864223517015</v>
      </c>
      <c r="Y86" s="199">
        <f>IF('Tab4'!E20="",'Tab4'!E19,'Tab4'!E20)</f>
        <v>2795.1937506614249</v>
      </c>
    </row>
    <row r="87" spans="1:25" x14ac:dyDescent="0.2">
      <c r="A87" s="192">
        <v>1</v>
      </c>
      <c r="B87" s="192">
        <v>1987</v>
      </c>
      <c r="C87" s="192">
        <v>152.19999999999999</v>
      </c>
      <c r="D87" s="192">
        <v>121.3</v>
      </c>
      <c r="E87" s="192"/>
      <c r="F87" s="192"/>
      <c r="G87" s="192"/>
      <c r="I87" s="197">
        <v>70.5</v>
      </c>
      <c r="J87" s="189">
        <v>1</v>
      </c>
      <c r="K87" s="189">
        <v>1987</v>
      </c>
      <c r="L87" s="198">
        <v>17280</v>
      </c>
      <c r="M87" s="197">
        <v>135.6</v>
      </c>
      <c r="N87" s="197">
        <f t="shared" si="0"/>
        <v>348.52405673758858</v>
      </c>
      <c r="V87" s="192" t="s">
        <v>9</v>
      </c>
      <c r="W87" s="199">
        <f>IF('Tab4'!C20="",'Tab4'!C21,'Tab4'!C22)</f>
        <v>1120.2980383203794</v>
      </c>
      <c r="X87" s="199">
        <f>IF('Tab4'!D20="",'Tab4'!D21,'Tab4'!D22)</f>
        <v>724.48727871329743</v>
      </c>
      <c r="Y87" s="199">
        <f>IF('Tab4'!E20="",'Tab4'!E21,'Tab4'!E22)</f>
        <v>922.01930659354025</v>
      </c>
    </row>
    <row r="88" spans="1:25" x14ac:dyDescent="0.2">
      <c r="A88" s="192">
        <v>2</v>
      </c>
      <c r="B88" s="192"/>
      <c r="C88" s="192">
        <v>109.2</v>
      </c>
      <c r="D88" s="192">
        <v>86.1</v>
      </c>
      <c r="E88" s="192"/>
      <c r="F88" s="192"/>
      <c r="G88" s="192"/>
      <c r="I88" s="197">
        <v>71.599999999999994</v>
      </c>
      <c r="J88" s="189">
        <v>2</v>
      </c>
      <c r="L88" s="198">
        <v>12241</v>
      </c>
      <c r="M88" s="197">
        <v>135.9</v>
      </c>
      <c r="N88" s="197">
        <f t="shared" si="0"/>
        <v>343.92886173184354</v>
      </c>
      <c r="V88" s="192" t="s">
        <v>10</v>
      </c>
      <c r="W88" s="199">
        <f>IF('Tab4'!C22="",'Tab4'!C29,'Tab4'!C30)</f>
        <v>773.78802688841336</v>
      </c>
      <c r="X88" s="199">
        <f>IF('Tab4'!D22="",'Tab4'!D29,'Tab4'!D30)</f>
        <v>2098.2771570466793</v>
      </c>
      <c r="Y88" s="199">
        <f>IF('Tab4'!E22="",'Tab4'!E29,'Tab4'!E30)</f>
        <v>2609.279436595139</v>
      </c>
    </row>
    <row r="89" spans="1:25" x14ac:dyDescent="0.2">
      <c r="A89" s="192">
        <v>3</v>
      </c>
      <c r="B89" s="192"/>
      <c r="C89" s="192">
        <v>110.1</v>
      </c>
      <c r="D89" s="192">
        <v>87.3</v>
      </c>
      <c r="E89" s="192"/>
      <c r="F89" s="192"/>
      <c r="G89" s="192"/>
      <c r="I89" s="197">
        <v>72.3</v>
      </c>
      <c r="J89" s="189">
        <v>3</v>
      </c>
      <c r="L89" s="198">
        <v>11506</v>
      </c>
      <c r="M89" s="197">
        <v>112.3</v>
      </c>
      <c r="N89" s="197">
        <f t="shared" si="0"/>
        <v>281.45155140617788</v>
      </c>
      <c r="V89" s="192" t="s">
        <v>11</v>
      </c>
      <c r="W89" s="199">
        <f>IF('Tab4'!C30="",'Tab4'!C31,'Tab4'!C32)</f>
        <v>593.00593686028049</v>
      </c>
      <c r="X89" s="199">
        <f>IF('Tab4'!D30="",'Tab4'!D31,'Tab4'!D32)</f>
        <v>599.9461025980487</v>
      </c>
      <c r="Y89" s="199">
        <f>IF('Tab4'!E30="",'Tab4'!E31,'Tab4'!E32)</f>
        <v>662.09127275885123</v>
      </c>
    </row>
    <row r="90" spans="1:25" x14ac:dyDescent="0.2">
      <c r="A90" s="192">
        <v>4</v>
      </c>
      <c r="B90" s="192"/>
      <c r="C90" s="192">
        <v>112</v>
      </c>
      <c r="D90" s="192">
        <v>89.8</v>
      </c>
      <c r="E90" s="192"/>
      <c r="F90" s="192"/>
      <c r="G90" s="192"/>
      <c r="I90" s="197">
        <v>73.599999999999994</v>
      </c>
      <c r="J90" s="189">
        <v>4</v>
      </c>
      <c r="L90" s="198">
        <v>12860</v>
      </c>
      <c r="M90" s="197">
        <v>134.5</v>
      </c>
      <c r="N90" s="197">
        <f t="shared" si="0"/>
        <v>331.13619791666662</v>
      </c>
      <c r="V90" s="192" t="s">
        <v>12</v>
      </c>
      <c r="W90" s="199">
        <f>IF('Tab4'!C32="",'Tab4'!C33,'Tab4'!C34)</f>
        <v>1493.657688654961</v>
      </c>
      <c r="X90" s="199">
        <f>IF('Tab4'!D32="",'Tab4'!D33,'Tab4'!D34)</f>
        <v>1558.6503994062932</v>
      </c>
      <c r="Y90" s="199">
        <f>IF('Tab4'!E32="",'Tab4'!E33,'Tab4'!E34)</f>
        <v>1705.1275681590487</v>
      </c>
    </row>
    <row r="91" spans="1:25" x14ac:dyDescent="0.2">
      <c r="A91" s="192">
        <v>1</v>
      </c>
      <c r="B91" s="192">
        <v>1988</v>
      </c>
      <c r="C91" s="192">
        <v>134.1</v>
      </c>
      <c r="D91" s="192">
        <v>107.5</v>
      </c>
      <c r="E91" s="192"/>
      <c r="F91" s="192"/>
      <c r="G91" s="192"/>
      <c r="I91" s="197">
        <v>75.2</v>
      </c>
      <c r="J91" s="189">
        <v>1</v>
      </c>
      <c r="K91" s="189">
        <v>1988</v>
      </c>
      <c r="L91" s="198">
        <v>10180</v>
      </c>
      <c r="M91" s="197">
        <v>130.80000000000001</v>
      </c>
      <c r="N91" s="197">
        <f t="shared" si="0"/>
        <v>315.1752393617021</v>
      </c>
      <c r="V91" s="192" t="s">
        <v>13</v>
      </c>
      <c r="W91" s="199">
        <f>IF('Tab4'!C34="",'Tab4'!C35,'Tab4'!C36)</f>
        <v>189.00435847148509</v>
      </c>
      <c r="X91" s="199">
        <f>IF('Tab4'!D34="",'Tab4'!D35,'Tab4'!D36)</f>
        <v>141.56149134271325</v>
      </c>
      <c r="Y91" s="199">
        <f>IF('Tab4'!E34="",'Tab4'!E35,'Tab4'!E36)</f>
        <v>207.46931966016973</v>
      </c>
    </row>
    <row r="92" spans="1:25" x14ac:dyDescent="0.2">
      <c r="A92" s="192">
        <v>2</v>
      </c>
      <c r="B92" s="192"/>
      <c r="C92" s="192">
        <v>113.7</v>
      </c>
      <c r="D92" s="192">
        <v>90</v>
      </c>
      <c r="E92" s="192"/>
      <c r="F92" s="192"/>
      <c r="G92" s="192"/>
      <c r="I92" s="197">
        <v>76.7</v>
      </c>
      <c r="J92" s="189">
        <v>2</v>
      </c>
      <c r="L92" s="198">
        <v>11081</v>
      </c>
      <c r="M92" s="197">
        <v>95.1</v>
      </c>
      <c r="N92" s="197">
        <f t="shared" si="0"/>
        <v>224.67116688396345</v>
      </c>
      <c r="V92" s="192" t="s">
        <v>14</v>
      </c>
      <c r="W92" s="199">
        <f>IF('Tab4'!C38="",'Tab4'!C37,'Tab4'!C38)</f>
        <v>1258.060364658754</v>
      </c>
      <c r="X92" s="199">
        <f>IF('Tab4'!D38="",'Tab4'!D37,'Tab4'!D38)</f>
        <v>1434.6564278851531</v>
      </c>
      <c r="Y92" s="199">
        <f>IF('Tab4'!E38="",'Tab4'!E37,'Tab4'!E38)</f>
        <v>1521.8863597982286</v>
      </c>
    </row>
    <row r="93" spans="1:25" x14ac:dyDescent="0.2">
      <c r="A93" s="192">
        <v>3</v>
      </c>
      <c r="B93" s="192"/>
      <c r="C93" s="192">
        <v>116.3</v>
      </c>
      <c r="D93" s="192">
        <v>93.1</v>
      </c>
      <c r="E93" s="192"/>
      <c r="F93" s="192"/>
      <c r="G93" s="192"/>
      <c r="I93" s="197">
        <v>77</v>
      </c>
      <c r="J93" s="189">
        <v>3</v>
      </c>
      <c r="L93" s="198">
        <v>15987</v>
      </c>
      <c r="M93" s="197">
        <v>148.69999999999999</v>
      </c>
      <c r="N93" s="197">
        <f t="shared" si="0"/>
        <v>349.93101082251076</v>
      </c>
      <c r="V93" s="192" t="s">
        <v>85</v>
      </c>
      <c r="W93" s="200">
        <f>SUM(W83:W92)</f>
        <v>25018.808207733327</v>
      </c>
      <c r="X93" s="200">
        <f>SUM(X83:X92)</f>
        <v>28389.367212647569</v>
      </c>
      <c r="Y93" s="200">
        <f>SUM(Y83:Y92)</f>
        <v>34965.601356133579</v>
      </c>
    </row>
    <row r="94" spans="1:25" x14ac:dyDescent="0.2">
      <c r="A94" s="192">
        <v>4</v>
      </c>
      <c r="B94" s="192"/>
      <c r="C94" s="192">
        <v>115.2</v>
      </c>
      <c r="D94" s="192">
        <v>93.4</v>
      </c>
      <c r="E94" s="192"/>
      <c r="F94" s="192"/>
      <c r="G94" s="192"/>
      <c r="I94" s="197">
        <v>78.099999999999994</v>
      </c>
      <c r="J94" s="189">
        <v>4</v>
      </c>
      <c r="L94" s="198">
        <v>12493</v>
      </c>
      <c r="M94" s="197">
        <v>199.8</v>
      </c>
      <c r="N94" s="197">
        <f t="shared" si="0"/>
        <v>463.5607298335467</v>
      </c>
      <c r="V94" s="192"/>
      <c r="W94" s="192"/>
      <c r="X94" s="192"/>
      <c r="Y94" s="192"/>
    </row>
    <row r="95" spans="1:25" x14ac:dyDescent="0.2">
      <c r="A95" s="192">
        <v>1</v>
      </c>
      <c r="B95" s="192">
        <v>1989</v>
      </c>
      <c r="C95" s="192">
        <v>106.6</v>
      </c>
      <c r="D95" s="192">
        <v>86.4</v>
      </c>
      <c r="E95" s="192"/>
      <c r="F95" s="192"/>
      <c r="G95" s="192"/>
      <c r="I95" s="197">
        <v>78.900000000000006</v>
      </c>
      <c r="J95" s="189">
        <v>1</v>
      </c>
      <c r="K95" s="189">
        <v>1989</v>
      </c>
      <c r="L95" s="198">
        <v>10988</v>
      </c>
      <c r="M95" s="197">
        <v>142.6</v>
      </c>
      <c r="N95" s="197">
        <f t="shared" si="0"/>
        <v>327.49502746092088</v>
      </c>
      <c r="V95" s="192" t="s">
        <v>170</v>
      </c>
      <c r="W95" s="201">
        <f>+W93+X72</f>
        <v>41436.778849711991</v>
      </c>
      <c r="X95" s="201">
        <f>+X93+Y72</f>
        <v>46879.803976052885</v>
      </c>
      <c r="Y95" s="201">
        <f>+Y93+Z72</f>
        <v>57015.230038365626</v>
      </c>
    </row>
    <row r="96" spans="1:25" x14ac:dyDescent="0.2">
      <c r="A96" s="192">
        <v>2</v>
      </c>
      <c r="B96" s="192"/>
      <c r="C96" s="192">
        <v>98</v>
      </c>
      <c r="D96" s="192">
        <v>79.599999999999994</v>
      </c>
      <c r="E96" s="192"/>
      <c r="F96" s="192"/>
      <c r="G96" s="192"/>
      <c r="I96" s="197">
        <v>80.3</v>
      </c>
      <c r="J96" s="189">
        <v>2</v>
      </c>
      <c r="L96" s="198">
        <v>10292</v>
      </c>
      <c r="M96" s="197">
        <v>117.3</v>
      </c>
      <c r="N96" s="197">
        <f t="shared" si="0"/>
        <v>264.69433997509333</v>
      </c>
    </row>
    <row r="97" spans="1:25" x14ac:dyDescent="0.2">
      <c r="A97" s="192">
        <v>3</v>
      </c>
      <c r="B97" s="192"/>
      <c r="C97" s="192">
        <v>96.9</v>
      </c>
      <c r="D97" s="192">
        <v>79</v>
      </c>
      <c r="E97" s="192"/>
      <c r="F97" s="192"/>
      <c r="G97" s="192"/>
      <c r="I97" s="197">
        <v>80.599999999999994</v>
      </c>
      <c r="J97" s="189">
        <v>3</v>
      </c>
      <c r="L97" s="198">
        <v>11352</v>
      </c>
      <c r="M97" s="197">
        <v>103.6</v>
      </c>
      <c r="N97" s="197">
        <f t="shared" si="0"/>
        <v>232.90933829611242</v>
      </c>
      <c r="Y97" s="192"/>
    </row>
    <row r="98" spans="1:25" x14ac:dyDescent="0.2">
      <c r="A98" s="192">
        <v>4</v>
      </c>
      <c r="B98" s="192"/>
      <c r="C98" s="192">
        <v>93.4</v>
      </c>
      <c r="D98" s="192">
        <v>76.8</v>
      </c>
      <c r="E98" s="192"/>
      <c r="F98" s="192"/>
      <c r="G98" s="192"/>
      <c r="I98" s="197">
        <v>81.400000000000006</v>
      </c>
      <c r="J98" s="189">
        <v>4</v>
      </c>
      <c r="L98" s="198">
        <v>11958</v>
      </c>
      <c r="M98" s="197">
        <v>132</v>
      </c>
      <c r="N98" s="197">
        <f t="shared" si="0"/>
        <v>293.84054054054047</v>
      </c>
      <c r="V98" s="191" t="s">
        <v>185</v>
      </c>
      <c r="W98" s="192"/>
      <c r="X98" s="192"/>
      <c r="Y98" s="192"/>
    </row>
    <row r="99" spans="1:25" x14ac:dyDescent="0.2">
      <c r="A99" s="192">
        <v>1</v>
      </c>
      <c r="B99" s="192">
        <v>1990</v>
      </c>
      <c r="C99" s="192">
        <v>99.4</v>
      </c>
      <c r="D99" s="192">
        <v>81.3</v>
      </c>
      <c r="E99" s="192"/>
      <c r="F99" s="192"/>
      <c r="G99" s="192"/>
      <c r="I99" s="197">
        <v>82.3</v>
      </c>
      <c r="J99" s="189">
        <v>1</v>
      </c>
      <c r="K99" s="189">
        <v>1990</v>
      </c>
      <c r="L99" s="198">
        <v>13741</v>
      </c>
      <c r="M99" s="197">
        <v>142.9</v>
      </c>
      <c r="N99" s="197">
        <f t="shared" si="0"/>
        <v>314.62598015390842</v>
      </c>
      <c r="V99" s="192"/>
      <c r="X99" s="192"/>
      <c r="Y99" s="192"/>
    </row>
    <row r="100" spans="1:25" x14ac:dyDescent="0.2">
      <c r="A100" s="192">
        <v>2</v>
      </c>
      <c r="B100" s="192"/>
      <c r="C100" s="192">
        <v>88.6</v>
      </c>
      <c r="D100" s="192">
        <v>73.099999999999994</v>
      </c>
      <c r="E100" s="192"/>
      <c r="F100" s="192"/>
      <c r="G100" s="192"/>
      <c r="I100" s="197">
        <v>83.4</v>
      </c>
      <c r="J100" s="189">
        <v>2</v>
      </c>
      <c r="L100" s="198">
        <v>10045</v>
      </c>
      <c r="M100" s="197">
        <v>116.5</v>
      </c>
      <c r="N100" s="197">
        <f t="shared" si="0"/>
        <v>253.11743605115902</v>
      </c>
      <c r="V100" s="192"/>
      <c r="W100" s="196" t="str">
        <f>+W82</f>
        <v>2021</v>
      </c>
      <c r="X100" s="196" t="str">
        <f>+X82</f>
        <v>2022</v>
      </c>
      <c r="Y100" s="196" t="str">
        <f>+Y82</f>
        <v>2023</v>
      </c>
    </row>
    <row r="101" spans="1:25" x14ac:dyDescent="0.2">
      <c r="A101" s="192">
        <v>3</v>
      </c>
      <c r="B101" s="192"/>
      <c r="C101" s="192">
        <v>88.2</v>
      </c>
      <c r="D101" s="192">
        <v>72.5</v>
      </c>
      <c r="E101" s="192"/>
      <c r="F101" s="192"/>
      <c r="G101" s="192"/>
      <c r="I101" s="197">
        <v>83.7</v>
      </c>
      <c r="J101" s="189">
        <v>3</v>
      </c>
      <c r="L101" s="198">
        <v>10870</v>
      </c>
      <c r="M101" s="197">
        <v>101.4</v>
      </c>
      <c r="N101" s="197">
        <f t="shared" si="0"/>
        <v>219.52029868578254</v>
      </c>
      <c r="V101" s="192" t="s">
        <v>18</v>
      </c>
      <c r="W101" s="202">
        <f>IF('Tab7'!C10="",+'Tab7'!C9+'Tab11'!C9,+'Tab7'!C10+'Tab11'!C10)</f>
        <v>34228.250177873735</v>
      </c>
      <c r="X101" s="202">
        <f>IF('Tab7'!D10="",+'Tab7'!D9+'Tab11'!D9,+'Tab7'!D10+'Tab11'!D10)</f>
        <v>30958.735250178666</v>
      </c>
      <c r="Y101" s="202">
        <f>IF('Tab7'!E10="",+'Tab7'!E9+'Tab11'!E9,+'Tab7'!E10+'Tab11'!E10)</f>
        <v>31608.667333333335</v>
      </c>
    </row>
    <row r="102" spans="1:25" x14ac:dyDescent="0.2">
      <c r="A102" s="192">
        <v>4</v>
      </c>
      <c r="B102" s="192"/>
      <c r="C102" s="192">
        <v>84.8</v>
      </c>
      <c r="D102" s="192">
        <v>70.2</v>
      </c>
      <c r="E102" s="192"/>
      <c r="F102" s="192"/>
      <c r="G102" s="192"/>
      <c r="I102" s="197">
        <v>85.1</v>
      </c>
      <c r="J102" s="189">
        <v>4</v>
      </c>
      <c r="L102" s="198">
        <v>11076</v>
      </c>
      <c r="M102" s="197">
        <v>120</v>
      </c>
      <c r="N102" s="197">
        <f t="shared" si="0"/>
        <v>255.51351351351349</v>
      </c>
      <c r="V102" s="192" t="s">
        <v>86</v>
      </c>
      <c r="W102" s="202">
        <f>IF('Tab7'!C12="",+'Tab7'!C11+'Tab11'!C11,+'Tab7'!C12+'Tab11'!C12)</f>
        <v>103582.85518140522</v>
      </c>
      <c r="X102" s="202">
        <f>IF('Tab7'!D12="",+'Tab7'!D11+'Tab11'!D11,+'Tab7'!D12+'Tab11'!D12)</f>
        <v>89507.289752128534</v>
      </c>
      <c r="Y102" s="202">
        <f>IF('Tab7'!E12="",+'Tab7'!E11+'Tab11'!E11,+'Tab7'!E12+'Tab11'!E12)</f>
        <v>109920.25794466403</v>
      </c>
    </row>
    <row r="103" spans="1:25" x14ac:dyDescent="0.2">
      <c r="A103" s="192">
        <v>1</v>
      </c>
      <c r="B103" s="192">
        <v>1991</v>
      </c>
      <c r="C103" s="192">
        <v>97.5</v>
      </c>
      <c r="D103" s="192">
        <v>82.4</v>
      </c>
      <c r="E103" s="192"/>
      <c r="F103" s="192"/>
      <c r="G103" s="192"/>
      <c r="I103" s="197">
        <v>85.5</v>
      </c>
      <c r="J103" s="189">
        <v>1</v>
      </c>
      <c r="K103" s="189">
        <v>1991</v>
      </c>
      <c r="L103" s="198">
        <v>10172</v>
      </c>
      <c r="M103" s="197">
        <v>130.10000000000002</v>
      </c>
      <c r="N103" s="197">
        <f t="shared" ref="N103:N106" si="1">M103/I103*$I$69</f>
        <v>275.72323781676408</v>
      </c>
      <c r="O103" s="198">
        <v>6727</v>
      </c>
      <c r="P103" s="197">
        <v>376.9</v>
      </c>
      <c r="Q103" s="197">
        <f>P103/I103*$I$69</f>
        <v>798.77085575048704</v>
      </c>
      <c r="R103" s="198">
        <v>9077</v>
      </c>
      <c r="S103" s="197">
        <v>139.9</v>
      </c>
      <c r="T103" s="197">
        <f>S103/I103*$I$69</f>
        <v>296.49255165692</v>
      </c>
      <c r="V103" s="192" t="s">
        <v>63</v>
      </c>
      <c r="W103" s="202">
        <f>IF('Tab7'!C14="",+'Tab7'!C13+'Tab11'!C13,+'Tab7'!C14+'Tab11'!C14)</f>
        <v>31303.148126309316</v>
      </c>
      <c r="X103" s="202">
        <f>IF('Tab7'!D14="",+'Tab7'!D13+'Tab11'!D13,+'Tab7'!D14+'Tab11'!D14)</f>
        <v>40682.804869304215</v>
      </c>
      <c r="Y103" s="202">
        <f>IF('Tab7'!E14="",+'Tab7'!E13+'Tab11'!E13,+'Tab7'!E14+'Tab11'!E14)</f>
        <v>41704.404993788819</v>
      </c>
    </row>
    <row r="104" spans="1:25" x14ac:dyDescent="0.2">
      <c r="A104" s="192">
        <v>2</v>
      </c>
      <c r="B104" s="192"/>
      <c r="C104" s="192">
        <v>93.9</v>
      </c>
      <c r="D104" s="192">
        <v>78</v>
      </c>
      <c r="E104" s="192"/>
      <c r="F104" s="192"/>
      <c r="G104" s="192"/>
      <c r="I104" s="197">
        <v>86.6</v>
      </c>
      <c r="J104" s="189">
        <v>2</v>
      </c>
      <c r="L104" s="198">
        <v>10188</v>
      </c>
      <c r="M104" s="197">
        <v>126.69999999999993</v>
      </c>
      <c r="N104" s="197">
        <f t="shared" si="1"/>
        <v>265.10682640492672</v>
      </c>
      <c r="O104" s="198">
        <v>5864</v>
      </c>
      <c r="P104" s="197">
        <v>369.29999999999995</v>
      </c>
      <c r="Q104" s="197">
        <f t="shared" ref="Q104:Q167" si="2">P104/I104*$I$69</f>
        <v>772.72258083140855</v>
      </c>
      <c r="R104" s="198">
        <v>12525</v>
      </c>
      <c r="S104" s="197">
        <v>176.29999999999998</v>
      </c>
      <c r="T104" s="197">
        <f t="shared" ref="T104:T167" si="3">S104/I104*$I$69</f>
        <v>368.88976712856032</v>
      </c>
      <c r="V104" s="192" t="s">
        <v>14</v>
      </c>
      <c r="W104" s="203">
        <f>+W106-SUM(W101:W103)</f>
        <v>333320.57083195559</v>
      </c>
      <c r="X104" s="203">
        <f>+X106-SUM(X101:X103)</f>
        <v>294391.06461577071</v>
      </c>
      <c r="Y104" s="203">
        <f>+Y106-SUM(Y101:Y103)</f>
        <v>318212.61879669013</v>
      </c>
    </row>
    <row r="105" spans="1:25" x14ac:dyDescent="0.2">
      <c r="A105" s="192">
        <v>3</v>
      </c>
      <c r="B105" s="192"/>
      <c r="C105" s="192">
        <v>90.2</v>
      </c>
      <c r="D105" s="192">
        <v>76.099999999999994</v>
      </c>
      <c r="E105" s="192"/>
      <c r="F105" s="192"/>
      <c r="G105" s="192"/>
      <c r="I105" s="197">
        <v>86.6</v>
      </c>
      <c r="J105" s="189">
        <v>3</v>
      </c>
      <c r="L105" s="198">
        <v>10621</v>
      </c>
      <c r="M105" s="197">
        <v>132.60000000000002</v>
      </c>
      <c r="N105" s="197">
        <f t="shared" si="1"/>
        <v>277.45197459584296</v>
      </c>
      <c r="O105" s="198">
        <v>7951</v>
      </c>
      <c r="P105" s="197">
        <v>430.9</v>
      </c>
      <c r="Q105" s="197">
        <f t="shared" si="2"/>
        <v>901.61429753656637</v>
      </c>
      <c r="R105" s="198">
        <v>14126</v>
      </c>
      <c r="S105" s="197">
        <v>204.90000000000003</v>
      </c>
      <c r="T105" s="197">
        <f t="shared" si="3"/>
        <v>428.73234988452651</v>
      </c>
      <c r="V105" s="192"/>
      <c r="W105" s="192"/>
      <c r="X105" s="192"/>
      <c r="Y105" s="192"/>
    </row>
    <row r="106" spans="1:25" x14ac:dyDescent="0.2">
      <c r="A106" s="192">
        <v>4</v>
      </c>
      <c r="B106" s="192"/>
      <c r="C106" s="192">
        <v>92.6</v>
      </c>
      <c r="D106" s="192">
        <v>78.099999999999994</v>
      </c>
      <c r="E106" s="192"/>
      <c r="F106" s="192"/>
      <c r="G106" s="192"/>
      <c r="I106" s="197">
        <v>87.3</v>
      </c>
      <c r="J106" s="189">
        <v>4</v>
      </c>
      <c r="L106" s="198">
        <v>11640</v>
      </c>
      <c r="M106" s="197">
        <v>138.20000000000005</v>
      </c>
      <c r="N106" s="197">
        <f t="shared" si="1"/>
        <v>286.85074837724329</v>
      </c>
      <c r="O106" s="198">
        <v>13048</v>
      </c>
      <c r="P106" s="197">
        <v>427.00000000000023</v>
      </c>
      <c r="Q106" s="197">
        <f t="shared" si="2"/>
        <v>886.28993890798051</v>
      </c>
      <c r="R106" s="198">
        <v>13048</v>
      </c>
      <c r="S106" s="197">
        <v>185</v>
      </c>
      <c r="T106" s="197">
        <f t="shared" si="3"/>
        <v>383.9897861779304</v>
      </c>
      <c r="V106" s="192" t="s">
        <v>87</v>
      </c>
      <c r="W106" s="202">
        <f>IF('Tab7'!C8="",+'Tab7'!C7+'Tab11'!C7,+'Tab7'!C8+'Tab11'!C8)</f>
        <v>502434.82431754388</v>
      </c>
      <c r="X106" s="202">
        <f>IF('Tab7'!D8="",+'Tab7'!D7+'Tab11'!D7,+'Tab7'!D8+'Tab11'!D8)</f>
        <v>455539.89448738209</v>
      </c>
      <c r="Y106" s="202">
        <f>IF('Tab7'!E8="",+'Tab7'!E7+'Tab11'!E7,+'Tab7'!E8+'Tab11'!E8)</f>
        <v>501445.94906847633</v>
      </c>
    </row>
    <row r="107" spans="1:25" x14ac:dyDescent="0.2">
      <c r="A107" s="192">
        <v>1</v>
      </c>
      <c r="B107" s="192">
        <v>1992</v>
      </c>
      <c r="C107" s="192">
        <v>102</v>
      </c>
      <c r="D107" s="192">
        <v>87.1</v>
      </c>
      <c r="E107" s="192"/>
      <c r="F107" s="192"/>
      <c r="G107" s="192"/>
      <c r="I107" s="197">
        <v>87.5</v>
      </c>
      <c r="J107" s="189">
        <v>1</v>
      </c>
      <c r="K107" s="189">
        <v>1992</v>
      </c>
      <c r="L107" s="198">
        <v>10520</v>
      </c>
      <c r="M107" s="197">
        <v>129.4</v>
      </c>
      <c r="N107" s="197">
        <f>M107/I107*$I$69</f>
        <v>267.971379047619</v>
      </c>
      <c r="O107" s="198">
        <v>6509</v>
      </c>
      <c r="P107" s="197">
        <v>409.5</v>
      </c>
      <c r="Q107" s="197">
        <f t="shared" si="2"/>
        <v>848.02379999999971</v>
      </c>
      <c r="R107" s="198">
        <v>11030</v>
      </c>
      <c r="S107" s="197">
        <v>180.5</v>
      </c>
      <c r="T107" s="197">
        <f t="shared" si="3"/>
        <v>373.79315238095228</v>
      </c>
    </row>
    <row r="108" spans="1:25" x14ac:dyDescent="0.2">
      <c r="A108" s="192">
        <v>2</v>
      </c>
      <c r="B108" s="192"/>
      <c r="C108" s="192">
        <v>92.2</v>
      </c>
      <c r="D108" s="192">
        <v>78.900000000000006</v>
      </c>
      <c r="E108" s="192"/>
      <c r="F108" s="192"/>
      <c r="G108" s="192"/>
      <c r="I108" s="197">
        <v>88.6</v>
      </c>
      <c r="J108" s="189">
        <v>2</v>
      </c>
      <c r="L108" s="198">
        <v>10661</v>
      </c>
      <c r="M108" s="197">
        <v>112.9</v>
      </c>
      <c r="N108" s="197">
        <f t="shared" ref="N108:N171" si="4">M108/I108*$I$69</f>
        <v>230.8991892400301</v>
      </c>
      <c r="O108" s="198">
        <v>5632</v>
      </c>
      <c r="P108" s="197">
        <v>412</v>
      </c>
      <c r="Q108" s="197">
        <f t="shared" si="2"/>
        <v>842.60820165537984</v>
      </c>
      <c r="R108" s="198">
        <v>13252</v>
      </c>
      <c r="S108" s="197">
        <v>167</v>
      </c>
      <c r="T108" s="197">
        <f t="shared" si="3"/>
        <v>341.54264484574861</v>
      </c>
    </row>
    <row r="109" spans="1:25" x14ac:dyDescent="0.2">
      <c r="A109" s="192">
        <v>3</v>
      </c>
      <c r="B109" s="192"/>
      <c r="C109" s="192">
        <v>93.3</v>
      </c>
      <c r="D109" s="192">
        <v>79.900000000000006</v>
      </c>
      <c r="E109" s="192"/>
      <c r="F109" s="192"/>
      <c r="G109" s="192"/>
      <c r="I109" s="197">
        <v>88.7</v>
      </c>
      <c r="J109" s="189">
        <v>3</v>
      </c>
      <c r="L109" s="198">
        <v>11590</v>
      </c>
      <c r="M109" s="197">
        <v>130.59999999999997</v>
      </c>
      <c r="N109" s="197">
        <f t="shared" si="4"/>
        <v>266.79749342352483</v>
      </c>
      <c r="O109" s="198">
        <v>8642</v>
      </c>
      <c r="P109" s="197">
        <v>440.40000000000009</v>
      </c>
      <c r="Q109" s="197">
        <f t="shared" si="2"/>
        <v>899.67546786922208</v>
      </c>
      <c r="R109" s="198">
        <v>15450</v>
      </c>
      <c r="S109" s="197">
        <v>219.10000000000002</v>
      </c>
      <c r="T109" s="197">
        <f t="shared" si="3"/>
        <v>447.59058812476502</v>
      </c>
      <c r="V109" s="191" t="s">
        <v>186</v>
      </c>
      <c r="W109" s="192"/>
      <c r="X109" s="192"/>
      <c r="Y109" s="192"/>
    </row>
    <row r="110" spans="1:25" x14ac:dyDescent="0.2">
      <c r="A110" s="192">
        <v>4</v>
      </c>
      <c r="B110" s="192"/>
      <c r="C110" s="192">
        <v>90.8</v>
      </c>
      <c r="D110" s="192">
        <v>77.599999999999994</v>
      </c>
      <c r="E110" s="192"/>
      <c r="F110" s="192"/>
      <c r="G110" s="192"/>
      <c r="I110" s="197">
        <v>89.3</v>
      </c>
      <c r="J110" s="189">
        <v>4</v>
      </c>
      <c r="L110" s="198">
        <v>11917</v>
      </c>
      <c r="M110" s="197">
        <v>108.50000000000006</v>
      </c>
      <c r="N110" s="197">
        <f t="shared" si="4"/>
        <v>220.16103956700269</v>
      </c>
      <c r="O110" s="198">
        <v>7139</v>
      </c>
      <c r="P110" s="197">
        <v>425.59999999999991</v>
      </c>
      <c r="Q110" s="197">
        <f t="shared" si="2"/>
        <v>863.59943262411309</v>
      </c>
      <c r="R110" s="198">
        <v>12309</v>
      </c>
      <c r="S110" s="197">
        <v>109.39999999999998</v>
      </c>
      <c r="T110" s="197">
        <f t="shared" si="3"/>
        <v>221.98726017170577</v>
      </c>
      <c r="V110" s="192"/>
      <c r="W110" s="192"/>
      <c r="X110" s="192"/>
      <c r="Y110" s="192"/>
    </row>
    <row r="111" spans="1:25" x14ac:dyDescent="0.2">
      <c r="A111" s="192">
        <v>1</v>
      </c>
      <c r="B111" s="192">
        <v>1993</v>
      </c>
      <c r="C111" s="192">
        <v>112.6</v>
      </c>
      <c r="D111" s="192">
        <v>96.5</v>
      </c>
      <c r="E111" s="192"/>
      <c r="F111" s="192"/>
      <c r="G111" s="192"/>
      <c r="I111" s="197">
        <v>89.8</v>
      </c>
      <c r="J111" s="189">
        <v>1</v>
      </c>
      <c r="K111" s="189">
        <v>1993</v>
      </c>
      <c r="L111" s="198">
        <v>11275</v>
      </c>
      <c r="M111" s="197">
        <v>136.89999999999998</v>
      </c>
      <c r="N111" s="197">
        <f t="shared" si="4"/>
        <v>276.24173904974003</v>
      </c>
      <c r="O111" s="198">
        <v>6982</v>
      </c>
      <c r="P111" s="197">
        <v>449.4</v>
      </c>
      <c r="Q111" s="197">
        <f t="shared" si="2"/>
        <v>906.81546770601312</v>
      </c>
      <c r="R111" s="198">
        <v>10571</v>
      </c>
      <c r="S111" s="197">
        <v>175.5</v>
      </c>
      <c r="T111" s="197">
        <f t="shared" si="3"/>
        <v>354.13020601336297</v>
      </c>
      <c r="V111" s="192"/>
      <c r="W111" s="196" t="str">
        <f>+W100</f>
        <v>2021</v>
      </c>
      <c r="X111" s="196" t="str">
        <f>+X100</f>
        <v>2022</v>
      </c>
      <c r="Y111" s="196" t="str">
        <f>+Y100</f>
        <v>2023</v>
      </c>
    </row>
    <row r="112" spans="1:25" x14ac:dyDescent="0.2">
      <c r="A112" s="192">
        <v>2</v>
      </c>
      <c r="B112" s="192"/>
      <c r="C112" s="192">
        <f>205.6-C111</f>
        <v>93</v>
      </c>
      <c r="D112" s="192">
        <f>176.6-D111</f>
        <v>80.099999999999994</v>
      </c>
      <c r="E112" s="192"/>
      <c r="F112" s="192"/>
      <c r="G112" s="192"/>
      <c r="I112" s="197">
        <v>90.8</v>
      </c>
      <c r="J112" s="189">
        <v>2</v>
      </c>
      <c r="L112" s="198">
        <v>10076</v>
      </c>
      <c r="M112" s="197">
        <v>115.20000000000002</v>
      </c>
      <c r="N112" s="197">
        <f t="shared" si="4"/>
        <v>229.89462555066081</v>
      </c>
      <c r="O112" s="198">
        <v>6332</v>
      </c>
      <c r="P112" s="197">
        <v>352.9</v>
      </c>
      <c r="Q112" s="197">
        <f t="shared" si="2"/>
        <v>704.2518520558001</v>
      </c>
      <c r="R112" s="198">
        <v>12919</v>
      </c>
      <c r="S112" s="197">
        <v>191.20000000000005</v>
      </c>
      <c r="T112" s="197">
        <f t="shared" si="3"/>
        <v>381.56121879588841</v>
      </c>
      <c r="V112" s="192" t="s">
        <v>171</v>
      </c>
      <c r="W112" s="201">
        <f>IF('Tab7'!C38="",+'Tab7'!C37+'Tab11'!C37,+'Tab7'!C38+'Tab11'!C38)</f>
        <v>5611.3158084307979</v>
      </c>
      <c r="X112" s="201">
        <f>IF('Tab7'!D38="",+'Tab7'!D37+'Tab11'!D37,+'Tab7'!D38+'Tab11'!D38)</f>
        <v>6952.1194142841505</v>
      </c>
      <c r="Y112" s="201">
        <f>IF('Tab7'!E38="",+'Tab7'!E37+'Tab11'!E37,+'Tab7'!E38+'Tab11'!E38)</f>
        <v>7022.7365470831883</v>
      </c>
    </row>
    <row r="113" spans="1:25" x14ac:dyDescent="0.2">
      <c r="A113" s="192">
        <v>3</v>
      </c>
      <c r="B113" s="192"/>
      <c r="C113" s="192">
        <f>293.1-C112-C111</f>
        <v>87.500000000000028</v>
      </c>
      <c r="D113" s="192">
        <f>250.2-D112-D111</f>
        <v>73.599999999999994</v>
      </c>
      <c r="E113" s="192"/>
      <c r="F113" s="192"/>
      <c r="G113" s="192"/>
      <c r="I113" s="197">
        <v>90.6</v>
      </c>
      <c r="J113" s="189">
        <v>3</v>
      </c>
      <c r="L113" s="198">
        <v>11766</v>
      </c>
      <c r="M113" s="197">
        <v>132.79999999999998</v>
      </c>
      <c r="N113" s="197">
        <f t="shared" si="4"/>
        <v>265.60244297277404</v>
      </c>
      <c r="O113" s="198">
        <v>6675</v>
      </c>
      <c r="P113" s="197">
        <v>388.50000000000023</v>
      </c>
      <c r="Q113" s="197">
        <f t="shared" si="2"/>
        <v>777.00714679911732</v>
      </c>
      <c r="R113" s="198">
        <v>14800</v>
      </c>
      <c r="S113" s="197">
        <v>216.89999999999998</v>
      </c>
      <c r="T113" s="197">
        <f t="shared" si="3"/>
        <v>433.80399006622503</v>
      </c>
      <c r="V113" s="192" t="s">
        <v>86</v>
      </c>
      <c r="W113" s="201">
        <f>IF('Tab7'!C40="",+'Tab7'!C39+'Tab11'!C39,+'Tab7'!C40+'Tab11'!C40)</f>
        <v>5335.1013615169859</v>
      </c>
      <c r="X113" s="201">
        <f>IF('Tab7'!D40="",+'Tab7'!D39+'Tab11'!D39,+'Tab7'!D40+'Tab11'!D40)</f>
        <v>5324.2496455159562</v>
      </c>
      <c r="Y113" s="201">
        <f>IF('Tab7'!E40="",+'Tab7'!E39+'Tab11'!E39,+'Tab7'!E40+'Tab11'!E40)</f>
        <v>7696.740476460318</v>
      </c>
    </row>
    <row r="114" spans="1:25" x14ac:dyDescent="0.2">
      <c r="A114" s="192">
        <v>4</v>
      </c>
      <c r="B114" s="192"/>
      <c r="C114" s="192">
        <f>413.2-C113-C112-C111</f>
        <v>120.09999999999994</v>
      </c>
      <c r="D114" s="192">
        <f>356.8-D113-D112-D111</f>
        <v>106.60000000000005</v>
      </c>
      <c r="E114" s="192"/>
      <c r="F114" s="192"/>
      <c r="G114" s="192"/>
      <c r="I114" s="197">
        <v>91</v>
      </c>
      <c r="J114" s="189">
        <v>4</v>
      </c>
      <c r="L114" s="198">
        <v>12707</v>
      </c>
      <c r="M114" s="197">
        <v>157.79999999999995</v>
      </c>
      <c r="N114" s="197">
        <f t="shared" si="4"/>
        <v>314.21563736263715</v>
      </c>
      <c r="O114" s="198">
        <v>6319</v>
      </c>
      <c r="P114" s="197">
        <v>466.99999999999977</v>
      </c>
      <c r="Q114" s="197">
        <f t="shared" si="2"/>
        <v>929.90305860805802</v>
      </c>
      <c r="R114" s="198">
        <v>11391</v>
      </c>
      <c r="S114" s="197">
        <v>164.5</v>
      </c>
      <c r="T114" s="197">
        <f t="shared" si="3"/>
        <v>327.55685897435887</v>
      </c>
      <c r="V114" s="192" t="s">
        <v>63</v>
      </c>
      <c r="W114" s="201">
        <f>IF('Tab7'!C42="",+'Tab7'!C41+'Tab11'!C41,+'Tab7'!C42+'Tab11'!C42)</f>
        <v>460.47883543046873</v>
      </c>
      <c r="X114" s="201">
        <f>IF('Tab7'!D42="",+'Tab7'!D41+'Tab11'!D41,+'Tab7'!D42+'Tab11'!D42)</f>
        <v>631.06983640403121</v>
      </c>
      <c r="Y114" s="201">
        <f>IF('Tab7'!E42="",+'Tab7'!E41+'Tab11'!E41,+'Tab7'!E42+'Tab11'!E42)</f>
        <v>771.56266497393744</v>
      </c>
    </row>
    <row r="115" spans="1:25" x14ac:dyDescent="0.2">
      <c r="A115" s="192">
        <v>1</v>
      </c>
      <c r="B115" s="192">
        <v>1994</v>
      </c>
      <c r="C115" s="192">
        <v>138.4</v>
      </c>
      <c r="D115" s="192">
        <v>120</v>
      </c>
      <c r="E115" s="192"/>
      <c r="F115" s="192"/>
      <c r="G115" s="192"/>
      <c r="I115" s="197">
        <v>91</v>
      </c>
      <c r="J115" s="189">
        <v>1</v>
      </c>
      <c r="K115" s="189">
        <v>1994</v>
      </c>
      <c r="L115" s="198">
        <v>15224</v>
      </c>
      <c r="M115" s="197">
        <v>189</v>
      </c>
      <c r="N115" s="197">
        <f t="shared" si="4"/>
        <v>376.34192307692302</v>
      </c>
      <c r="O115" s="198">
        <v>6291</v>
      </c>
      <c r="P115" s="197">
        <v>427.6</v>
      </c>
      <c r="Q115" s="197">
        <f t="shared" si="2"/>
        <v>851.44871062271045</v>
      </c>
      <c r="R115" s="198">
        <v>8795</v>
      </c>
      <c r="S115" s="197">
        <v>161.69999999999999</v>
      </c>
      <c r="T115" s="197">
        <f t="shared" si="3"/>
        <v>321.98142307692297</v>
      </c>
      <c r="V115" s="192" t="s">
        <v>14</v>
      </c>
      <c r="W115" s="204">
        <f>+W117-SUM(W112:W114)</f>
        <v>3984.7890098146345</v>
      </c>
      <c r="X115" s="204">
        <f>+X117-SUM(X112:X114)</f>
        <v>4100.1775217016657</v>
      </c>
      <c r="Y115" s="204">
        <f>+Y117-SUM(Y112:Y114)</f>
        <v>6953.1645613011406</v>
      </c>
    </row>
    <row r="116" spans="1:25" x14ac:dyDescent="0.2">
      <c r="A116" s="192">
        <v>2</v>
      </c>
      <c r="B116" s="192"/>
      <c r="C116" s="192">
        <f>252.9-C115</f>
        <v>114.5</v>
      </c>
      <c r="D116" s="192">
        <f>218.1-D115</f>
        <v>98.1</v>
      </c>
      <c r="E116" s="192"/>
      <c r="F116" s="192"/>
      <c r="G116" s="192"/>
      <c r="I116" s="197">
        <v>91.7</v>
      </c>
      <c r="J116" s="189">
        <v>2</v>
      </c>
      <c r="L116" s="198">
        <v>13585</v>
      </c>
      <c r="M116" s="197">
        <v>166.5</v>
      </c>
      <c r="N116" s="197">
        <f t="shared" si="4"/>
        <v>329.00847873500538</v>
      </c>
      <c r="O116" s="198">
        <v>5517</v>
      </c>
      <c r="P116" s="197">
        <v>494.30000000000007</v>
      </c>
      <c r="Q116" s="197">
        <f t="shared" si="2"/>
        <v>976.75009632860758</v>
      </c>
      <c r="R116" s="198">
        <v>13449</v>
      </c>
      <c r="S116" s="197">
        <v>196.2</v>
      </c>
      <c r="T116" s="197">
        <f t="shared" si="3"/>
        <v>387.6964776444928</v>
      </c>
      <c r="V116" s="192"/>
      <c r="W116" s="201"/>
      <c r="X116" s="201"/>
      <c r="Y116" s="201"/>
    </row>
    <row r="117" spans="1:25" x14ac:dyDescent="0.2">
      <c r="A117" s="192">
        <v>3</v>
      </c>
      <c r="B117" s="192"/>
      <c r="C117" s="192">
        <f>365.7-C115-C116</f>
        <v>112.79999999999998</v>
      </c>
      <c r="D117" s="192">
        <f>316.9-D115-D116</f>
        <v>98.799999999999983</v>
      </c>
      <c r="E117" s="192"/>
      <c r="F117" s="192"/>
      <c r="G117" s="192"/>
      <c r="I117" s="197">
        <v>92.1</v>
      </c>
      <c r="J117" s="189">
        <v>3</v>
      </c>
      <c r="L117" s="198">
        <v>13956</v>
      </c>
      <c r="M117" s="197">
        <v>169.89999999999998</v>
      </c>
      <c r="N117" s="197">
        <f t="shared" si="4"/>
        <v>334.26887260224385</v>
      </c>
      <c r="O117" s="198">
        <v>8952</v>
      </c>
      <c r="P117" s="197">
        <v>425.5</v>
      </c>
      <c r="Q117" s="197">
        <f t="shared" si="2"/>
        <v>837.14776511038724</v>
      </c>
      <c r="R117" s="198">
        <v>15669</v>
      </c>
      <c r="S117" s="197">
        <v>219.80000000000007</v>
      </c>
      <c r="T117" s="197">
        <f t="shared" si="3"/>
        <v>432.44436844010141</v>
      </c>
      <c r="V117" s="192" t="s">
        <v>87</v>
      </c>
      <c r="W117" s="201">
        <f>IF('Tab7'!C36="",+'Tab7'!C35+'Tab11'!C35,+'Tab7'!C36+'Tab11'!C36)</f>
        <v>15391.685015192888</v>
      </c>
      <c r="X117" s="201">
        <f>IF('Tab7'!D36="",+'Tab7'!D35+'Tab11'!D35,+'Tab7'!D36+'Tab11'!D36)</f>
        <v>17007.616417905803</v>
      </c>
      <c r="Y117" s="201">
        <f>IF('Tab7'!E36="",+'Tab7'!E35+'Tab11'!E35,+'Tab7'!E36+'Tab11'!E36)</f>
        <v>22444.204249818584</v>
      </c>
    </row>
    <row r="118" spans="1:25" x14ac:dyDescent="0.2">
      <c r="A118" s="192">
        <v>4</v>
      </c>
      <c r="B118" s="192"/>
      <c r="C118" s="192">
        <f>480.2-C115-C116-C117</f>
        <v>114.49999999999997</v>
      </c>
      <c r="D118" s="192">
        <f>417.1-D115-D116-D117</f>
        <v>100.20000000000005</v>
      </c>
      <c r="E118" s="192"/>
      <c r="F118" s="192"/>
      <c r="G118" s="192"/>
      <c r="I118" s="197">
        <v>92.6</v>
      </c>
      <c r="J118" s="189">
        <v>4</v>
      </c>
      <c r="L118" s="198">
        <v>14006</v>
      </c>
      <c r="M118" s="197">
        <v>140.80000000000007</v>
      </c>
      <c r="N118" s="197">
        <f t="shared" si="4"/>
        <v>275.520460763139</v>
      </c>
      <c r="O118" s="198">
        <v>8189</v>
      </c>
      <c r="P118" s="197">
        <v>390.59999999999991</v>
      </c>
      <c r="Q118" s="197">
        <f t="shared" si="2"/>
        <v>764.33446004319626</v>
      </c>
      <c r="R118" s="198">
        <v>14139</v>
      </c>
      <c r="S118" s="197">
        <v>214.39999999999998</v>
      </c>
      <c r="T118" s="197">
        <f t="shared" si="3"/>
        <v>419.54251979841598</v>
      </c>
      <c r="V118" s="192"/>
      <c r="X118" s="192"/>
    </row>
    <row r="119" spans="1:25" x14ac:dyDescent="0.2">
      <c r="A119" s="192">
        <v>1</v>
      </c>
      <c r="B119" s="192">
        <v>1995</v>
      </c>
      <c r="C119" s="192">
        <v>137.19999999999999</v>
      </c>
      <c r="D119" s="192">
        <v>119.3</v>
      </c>
      <c r="E119" s="192"/>
      <c r="F119" s="192"/>
      <c r="G119" s="192"/>
      <c r="I119" s="197">
        <v>93.4</v>
      </c>
      <c r="J119" s="189">
        <v>1</v>
      </c>
      <c r="K119" s="189">
        <v>1995</v>
      </c>
      <c r="L119" s="198">
        <v>13188</v>
      </c>
      <c r="M119" s="197">
        <v>171.1</v>
      </c>
      <c r="N119" s="197">
        <f t="shared" si="4"/>
        <v>331.94438079942887</v>
      </c>
      <c r="O119" s="198">
        <v>7699</v>
      </c>
      <c r="P119" s="197">
        <v>543</v>
      </c>
      <c r="Q119" s="197">
        <f t="shared" si="2"/>
        <v>1053.4529443254814</v>
      </c>
      <c r="R119" s="198">
        <v>11007</v>
      </c>
      <c r="S119" s="197">
        <v>183.1</v>
      </c>
      <c r="T119" s="197">
        <f t="shared" si="3"/>
        <v>355.22510885082073</v>
      </c>
      <c r="V119" s="191" t="s">
        <v>180</v>
      </c>
    </row>
    <row r="120" spans="1:25" x14ac:dyDescent="0.2">
      <c r="A120" s="192">
        <v>2</v>
      </c>
      <c r="B120" s="192"/>
      <c r="C120" s="192">
        <f>248.2-C119</f>
        <v>111</v>
      </c>
      <c r="D120" s="192">
        <f>214.7-D119</f>
        <v>95.399999999999991</v>
      </c>
      <c r="E120" s="192"/>
      <c r="F120" s="192"/>
      <c r="G120" s="192"/>
      <c r="I120" s="197">
        <v>94.1</v>
      </c>
      <c r="J120" s="189">
        <v>2</v>
      </c>
      <c r="L120" s="198">
        <v>11077</v>
      </c>
      <c r="M120" s="197">
        <v>148.30000000000004</v>
      </c>
      <c r="N120" s="197">
        <f t="shared" si="4"/>
        <v>285.57074566064472</v>
      </c>
      <c r="O120" s="198">
        <v>5465</v>
      </c>
      <c r="P120" s="197">
        <v>462.40000000000009</v>
      </c>
      <c r="Q120" s="197">
        <f t="shared" si="2"/>
        <v>890.41074034714848</v>
      </c>
      <c r="R120" s="198">
        <v>13915</v>
      </c>
      <c r="S120" s="197">
        <v>213.4</v>
      </c>
      <c r="T120" s="197">
        <f t="shared" si="3"/>
        <v>410.92917817924189</v>
      </c>
    </row>
    <row r="121" spans="1:25" x14ac:dyDescent="0.2">
      <c r="A121" s="192">
        <v>3</v>
      </c>
      <c r="B121" s="192"/>
      <c r="C121" s="192">
        <f>364.1-C119-C120</f>
        <v>115.90000000000003</v>
      </c>
      <c r="D121" s="192">
        <f>315.7-D119-D120</f>
        <v>100.99999999999999</v>
      </c>
      <c r="E121" s="192"/>
      <c r="F121" s="192"/>
      <c r="G121" s="192"/>
      <c r="I121" s="197">
        <v>94.1</v>
      </c>
      <c r="J121" s="189">
        <v>3</v>
      </c>
      <c r="L121" s="198">
        <v>13937</v>
      </c>
      <c r="M121" s="197">
        <v>180.19999999999993</v>
      </c>
      <c r="N121" s="197">
        <f t="shared" si="4"/>
        <v>346.99830322352091</v>
      </c>
      <c r="O121" s="198">
        <v>9139</v>
      </c>
      <c r="P121" s="197">
        <v>487.89999999999986</v>
      </c>
      <c r="Q121" s="197">
        <f t="shared" si="2"/>
        <v>939.51427382217446</v>
      </c>
      <c r="R121" s="198">
        <v>17436</v>
      </c>
      <c r="S121" s="197">
        <v>224.09999999999991</v>
      </c>
      <c r="T121" s="197">
        <f t="shared" si="3"/>
        <v>431.53340595111558</v>
      </c>
      <c r="V121" s="192"/>
      <c r="W121" s="196" t="str">
        <f>+'Tab3'!C6</f>
        <v>2021</v>
      </c>
      <c r="X121" s="196" t="str">
        <f>+'Tab3'!D6</f>
        <v>2022</v>
      </c>
      <c r="Y121" s="196" t="str">
        <f>+'Tab3'!E6</f>
        <v>2023</v>
      </c>
    </row>
    <row r="122" spans="1:25" x14ac:dyDescent="0.2">
      <c r="A122" s="192">
        <v>4</v>
      </c>
      <c r="B122" s="192"/>
      <c r="C122" s="192">
        <f>482.9-C119-C120-C121</f>
        <v>118.79999999999995</v>
      </c>
      <c r="D122" s="192">
        <f>420.1-D119-D120-D121</f>
        <v>104.40000000000005</v>
      </c>
      <c r="E122" s="192"/>
      <c r="F122" s="192"/>
      <c r="G122" s="192"/>
      <c r="I122" s="197">
        <v>94.6</v>
      </c>
      <c r="J122" s="189">
        <v>4</v>
      </c>
      <c r="L122" s="198">
        <v>13920</v>
      </c>
      <c r="M122" s="197">
        <v>172.00000000000006</v>
      </c>
      <c r="N122" s="197">
        <f t="shared" si="4"/>
        <v>329.4575757575758</v>
      </c>
      <c r="O122" s="198">
        <v>7500</v>
      </c>
      <c r="P122" s="197">
        <v>369.89999999999986</v>
      </c>
      <c r="Q122" s="197">
        <f t="shared" si="2"/>
        <v>708.52533298097217</v>
      </c>
      <c r="R122" s="198">
        <v>15130</v>
      </c>
      <c r="S122" s="197">
        <v>206.30000000000018</v>
      </c>
      <c r="T122" s="197">
        <f t="shared" si="3"/>
        <v>395.15754580690651</v>
      </c>
      <c r="V122" s="192" t="s">
        <v>10</v>
      </c>
      <c r="W122" s="196">
        <f>IF('Tab3'!C22="",'Tab3'!C29,'Tab3'!C30)</f>
        <v>169642</v>
      </c>
      <c r="X122" s="196">
        <f>IF('Tab3'!D22="",'Tab3'!D29,'Tab3'!D30)</f>
        <v>354485</v>
      </c>
      <c r="Y122" s="196">
        <f>IF('Tab3'!E22="",'Tab3'!E29,'Tab3'!E30)</f>
        <v>384965.43589743588</v>
      </c>
    </row>
    <row r="123" spans="1:25" x14ac:dyDescent="0.2">
      <c r="A123" s="192">
        <v>1</v>
      </c>
      <c r="B123" s="192">
        <v>1996</v>
      </c>
      <c r="C123" s="192">
        <v>143.9</v>
      </c>
      <c r="D123" s="192">
        <v>126.9</v>
      </c>
      <c r="E123" s="192"/>
      <c r="F123" s="192"/>
      <c r="G123" s="192"/>
      <c r="I123" s="197">
        <v>94.2</v>
      </c>
      <c r="J123" s="189">
        <v>1</v>
      </c>
      <c r="K123" s="189">
        <v>1996</v>
      </c>
      <c r="L123" s="198">
        <v>29850</v>
      </c>
      <c r="M123" s="197">
        <v>375.59999999999997</v>
      </c>
      <c r="N123" s="197">
        <f t="shared" si="4"/>
        <v>722.49836518046686</v>
      </c>
      <c r="O123" s="198">
        <v>7239</v>
      </c>
      <c r="P123" s="197">
        <v>479.9</v>
      </c>
      <c r="Q123" s="197">
        <f t="shared" si="2"/>
        <v>923.12823602264666</v>
      </c>
      <c r="R123" s="198">
        <v>11785</v>
      </c>
      <c r="S123" s="197">
        <v>198.60000000000002</v>
      </c>
      <c r="T123" s="197">
        <f t="shared" si="3"/>
        <v>382.02389596602967</v>
      </c>
      <c r="V123" s="189" t="s">
        <v>112</v>
      </c>
      <c r="W123" s="196">
        <f>IF('Tab9'!C8="",'Tab9'!C7,'Tab9'!C8)</f>
        <v>143670.22691942658</v>
      </c>
      <c r="X123" s="196">
        <f>IF('Tab9'!D8="",'Tab9'!D7,'Tab9'!D8)</f>
        <v>126288.32491710703</v>
      </c>
      <c r="Y123" s="196">
        <f>IF('Tab9'!E8="",'Tab9'!E7,'Tab9'!E8)</f>
        <v>144387.81848305691</v>
      </c>
    </row>
    <row r="124" spans="1:25" x14ac:dyDescent="0.2">
      <c r="A124" s="192">
        <v>2</v>
      </c>
      <c r="B124" s="192"/>
      <c r="C124" s="192">
        <f>275.5-C123</f>
        <v>131.6</v>
      </c>
      <c r="D124" s="192">
        <f>242.6-D123</f>
        <v>115.69999999999999</v>
      </c>
      <c r="E124" s="192"/>
      <c r="F124" s="192"/>
      <c r="G124" s="192"/>
      <c r="I124" s="197">
        <v>95.1</v>
      </c>
      <c r="J124" s="189">
        <v>2</v>
      </c>
      <c r="L124" s="198">
        <v>17799</v>
      </c>
      <c r="M124" s="197">
        <v>234.8</v>
      </c>
      <c r="N124" s="197">
        <f t="shared" si="4"/>
        <v>447.38329477742718</v>
      </c>
      <c r="O124" s="198">
        <v>6503</v>
      </c>
      <c r="P124" s="197">
        <v>585.30000000000007</v>
      </c>
      <c r="Q124" s="197">
        <f t="shared" si="2"/>
        <v>1115.2190904311251</v>
      </c>
      <c r="R124" s="198">
        <v>14642</v>
      </c>
      <c r="S124" s="197">
        <v>220.09999999999997</v>
      </c>
      <c r="T124" s="197">
        <f t="shared" si="3"/>
        <v>419.37420434630201</v>
      </c>
      <c r="V124" s="189" t="s">
        <v>111</v>
      </c>
      <c r="W124" s="196">
        <f>IF('Tab8'!C8="",'Tab8'!C7,'Tab8'!C8)</f>
        <v>251790</v>
      </c>
      <c r="X124" s="196">
        <f>IF('Tab8'!D8="",'Tab8'!D7,'Tab8'!D8)</f>
        <v>249832.07214984566</v>
      </c>
      <c r="Y124" s="196">
        <f>IF('Tab8'!E8="",'Tab8'!E7,'Tab8'!E8)</f>
        <v>264124.51689077239</v>
      </c>
    </row>
    <row r="125" spans="1:25" x14ac:dyDescent="0.2">
      <c r="A125" s="192">
        <v>3</v>
      </c>
      <c r="B125" s="192"/>
      <c r="C125" s="192">
        <f>387.5-C123-C124</f>
        <v>112</v>
      </c>
      <c r="D125" s="192">
        <f>339.3-D123-D124</f>
        <v>96.700000000000017</v>
      </c>
      <c r="E125" s="192"/>
      <c r="F125" s="192"/>
      <c r="G125" s="192"/>
      <c r="I125" s="197">
        <v>95.5</v>
      </c>
      <c r="J125" s="189">
        <v>3</v>
      </c>
      <c r="L125" s="198">
        <v>16263</v>
      </c>
      <c r="M125" s="197">
        <v>240.00000000000011</v>
      </c>
      <c r="N125" s="197">
        <f t="shared" si="4"/>
        <v>455.37591623036661</v>
      </c>
      <c r="O125" s="198">
        <v>8934</v>
      </c>
      <c r="P125" s="197">
        <v>581.89999999999986</v>
      </c>
      <c r="Q125" s="197">
        <f t="shared" si="2"/>
        <v>1104.0968568935423</v>
      </c>
      <c r="R125" s="198">
        <v>17198</v>
      </c>
      <c r="S125" s="197">
        <v>233.2</v>
      </c>
      <c r="T125" s="197">
        <f t="shared" si="3"/>
        <v>442.47359860383932</v>
      </c>
      <c r="V125" s="192" t="s">
        <v>169</v>
      </c>
      <c r="W125" s="196">
        <f>IF('Tab3'!C16="",'Tab3'!C15,'Tab3'!C16)</f>
        <v>47091.596212135693</v>
      </c>
      <c r="X125" s="196">
        <f>IF('Tab3'!D16="",'Tab3'!D15,'Tab3'!D16)</f>
        <v>44703.941502659662</v>
      </c>
      <c r="Y125" s="196">
        <f>IF('Tab3'!E16="",'Tab3'!E15,'Tab3'!E16)</f>
        <v>53986.423475075651</v>
      </c>
    </row>
    <row r="126" spans="1:25" x14ac:dyDescent="0.2">
      <c r="A126" s="192">
        <v>4</v>
      </c>
      <c r="B126" s="192"/>
      <c r="C126" s="192">
        <f>520-C123-C124-C125</f>
        <v>132.50000000000003</v>
      </c>
      <c r="D126" s="192">
        <f>452.4-D123-D124-D125</f>
        <v>113.1</v>
      </c>
      <c r="E126" s="192"/>
      <c r="F126" s="192"/>
      <c r="G126" s="192"/>
      <c r="I126" s="197">
        <v>96.3</v>
      </c>
      <c r="J126" s="189">
        <v>4</v>
      </c>
      <c r="L126" s="198">
        <v>16638</v>
      </c>
      <c r="M126" s="197">
        <v>233.40000000000009</v>
      </c>
      <c r="N126" s="197">
        <f t="shared" si="4"/>
        <v>439.17413291796476</v>
      </c>
      <c r="O126" s="198">
        <v>7966</v>
      </c>
      <c r="P126" s="197">
        <v>665.80000000000018</v>
      </c>
      <c r="Q126" s="197">
        <f t="shared" si="2"/>
        <v>1252.7940775354796</v>
      </c>
      <c r="R126" s="198">
        <v>13841</v>
      </c>
      <c r="S126" s="197">
        <v>188.00000000000011</v>
      </c>
      <c r="T126" s="197">
        <f t="shared" si="3"/>
        <v>353.74780200761523</v>
      </c>
    </row>
    <row r="127" spans="1:25" x14ac:dyDescent="0.2">
      <c r="A127" s="192">
        <v>1</v>
      </c>
      <c r="B127" s="192">
        <v>1997</v>
      </c>
      <c r="C127" s="192">
        <v>142.6</v>
      </c>
      <c r="D127" s="192">
        <v>124.8</v>
      </c>
      <c r="E127" s="192"/>
      <c r="F127" s="192"/>
      <c r="G127" s="192"/>
      <c r="I127" s="197">
        <v>97.3</v>
      </c>
      <c r="J127" s="189">
        <v>1</v>
      </c>
      <c r="K127" s="189">
        <v>1997</v>
      </c>
      <c r="L127" s="198">
        <v>17837</v>
      </c>
      <c r="M127" s="197">
        <v>255.29999999999998</v>
      </c>
      <c r="N127" s="197">
        <f t="shared" si="4"/>
        <v>475.44486639260009</v>
      </c>
      <c r="O127" s="198">
        <v>7574</v>
      </c>
      <c r="P127" s="197">
        <v>625.70000000000005</v>
      </c>
      <c r="Q127" s="197">
        <f t="shared" si="2"/>
        <v>1165.2403168893454</v>
      </c>
      <c r="R127" s="198">
        <v>10571</v>
      </c>
      <c r="S127" s="197">
        <v>187.8</v>
      </c>
      <c r="T127" s="197">
        <f t="shared" si="3"/>
        <v>349.73970195272346</v>
      </c>
      <c r="V127" s="191" t="s">
        <v>181</v>
      </c>
    </row>
    <row r="128" spans="1:25" x14ac:dyDescent="0.2">
      <c r="A128" s="192">
        <v>2</v>
      </c>
      <c r="B128" s="192"/>
      <c r="C128" s="192">
        <f>284.4-C127</f>
        <v>141.79999999999998</v>
      </c>
      <c r="D128" s="192">
        <f>247.3-D127</f>
        <v>122.50000000000001</v>
      </c>
      <c r="E128" s="192"/>
      <c r="F128" s="192"/>
      <c r="G128" s="192"/>
      <c r="I128" s="197">
        <v>97.7</v>
      </c>
      <c r="J128" s="189">
        <v>2</v>
      </c>
      <c r="L128" s="198">
        <v>16872</v>
      </c>
      <c r="M128" s="197">
        <v>281.30000000000007</v>
      </c>
      <c r="N128" s="197">
        <f t="shared" si="4"/>
        <v>521.71984476287957</v>
      </c>
      <c r="O128" s="198">
        <v>7284</v>
      </c>
      <c r="P128" s="197">
        <v>664.39999999999986</v>
      </c>
      <c r="Q128" s="197">
        <f t="shared" si="2"/>
        <v>1232.2455203002382</v>
      </c>
      <c r="R128" s="198">
        <v>14837</v>
      </c>
      <c r="S128" s="197">
        <v>224.59999999999997</v>
      </c>
      <c r="T128" s="197">
        <f t="shared" si="3"/>
        <v>416.55981917434303</v>
      </c>
      <c r="W128" s="196" t="str">
        <f>+'Tab3'!C6</f>
        <v>2021</v>
      </c>
      <c r="X128" s="196" t="str">
        <f>+'Tab3'!D6</f>
        <v>2022</v>
      </c>
      <c r="Y128" s="196" t="str">
        <f>+'Tab3'!E6</f>
        <v>2023</v>
      </c>
    </row>
    <row r="129" spans="1:25" x14ac:dyDescent="0.2">
      <c r="A129" s="192">
        <v>3</v>
      </c>
      <c r="B129" s="192"/>
      <c r="C129" s="192">
        <f>419.8-C127-C128</f>
        <v>135.40000000000006</v>
      </c>
      <c r="D129" s="192">
        <f>364.6-D127-D128</f>
        <v>117.3</v>
      </c>
      <c r="E129" s="192"/>
      <c r="F129" s="192" t="s">
        <v>74</v>
      </c>
      <c r="G129" s="192"/>
      <c r="I129" s="197">
        <v>97.7</v>
      </c>
      <c r="J129" s="189">
        <v>3</v>
      </c>
      <c r="L129" s="198">
        <v>17873</v>
      </c>
      <c r="M129" s="197">
        <v>297.89999999999998</v>
      </c>
      <c r="N129" s="197">
        <f t="shared" si="4"/>
        <v>552.50743602865896</v>
      </c>
      <c r="O129" s="198">
        <v>14581</v>
      </c>
      <c r="P129" s="197">
        <v>720.30000000000018</v>
      </c>
      <c r="Q129" s="197">
        <f t="shared" si="2"/>
        <v>1335.9218065506652</v>
      </c>
      <c r="R129" s="198">
        <v>15670</v>
      </c>
      <c r="S129" s="197">
        <v>198.80000000000007</v>
      </c>
      <c r="T129" s="197">
        <f t="shared" si="3"/>
        <v>368.70922552030027</v>
      </c>
      <c r="V129" s="192" t="s">
        <v>11</v>
      </c>
      <c r="W129" s="196">
        <f>IF('Tab3'!C30="",'Tab3'!C31,'Tab3'!C32)</f>
        <v>12717.945965835412</v>
      </c>
      <c r="X129" s="196">
        <f>IF('Tab3'!D30="",'Tab3'!D31,'Tab3'!D32)</f>
        <v>11276.932267581047</v>
      </c>
      <c r="Y129" s="196">
        <f>IF('Tab3'!E30="",'Tab3'!E31,'Tab3'!E32)</f>
        <v>11960.346633416459</v>
      </c>
    </row>
    <row r="130" spans="1:25" x14ac:dyDescent="0.2">
      <c r="A130" s="192">
        <v>4</v>
      </c>
      <c r="B130" s="192"/>
      <c r="C130" s="192">
        <f>550.4-C127-C128-C129</f>
        <v>130.59999999999994</v>
      </c>
      <c r="D130" s="192">
        <f>478.3-D127-D128-D129</f>
        <v>113.7</v>
      </c>
      <c r="E130" s="192"/>
      <c r="F130" s="192"/>
      <c r="G130" s="192"/>
      <c r="I130" s="197">
        <v>98.4</v>
      </c>
      <c r="J130" s="189">
        <v>4</v>
      </c>
      <c r="L130" s="198">
        <v>15493</v>
      </c>
      <c r="M130" s="197">
        <v>267.70000000000005</v>
      </c>
      <c r="N130" s="197">
        <f t="shared" si="4"/>
        <v>492.96429031165303</v>
      </c>
      <c r="O130" s="198">
        <v>9445</v>
      </c>
      <c r="P130" s="197">
        <v>564</v>
      </c>
      <c r="Q130" s="197">
        <f t="shared" si="2"/>
        <v>1038.5949186991868</v>
      </c>
      <c r="R130" s="198">
        <v>13087</v>
      </c>
      <c r="S130" s="197">
        <v>185.09999999999991</v>
      </c>
      <c r="T130" s="197">
        <f t="shared" si="3"/>
        <v>340.85801321138183</v>
      </c>
      <c r="V130" s="192" t="s">
        <v>12</v>
      </c>
      <c r="W130" s="196">
        <f>IF('Tab3'!C32="",'Tab3'!C33,'Tab3'!C34)</f>
        <v>11455.784425960001</v>
      </c>
      <c r="X130" s="196">
        <f>IF('Tab3'!D32="",'Tab3'!D33,'Tab3'!D34)</f>
        <v>12078.23712256</v>
      </c>
      <c r="Y130" s="196">
        <f>IF('Tab3'!E32="",'Tab3'!E33,'Tab3'!E34)</f>
        <v>13236.987999999999</v>
      </c>
    </row>
    <row r="131" spans="1:25" x14ac:dyDescent="0.2">
      <c r="A131" s="192">
        <v>1</v>
      </c>
      <c r="B131" s="192">
        <v>1998</v>
      </c>
      <c r="C131" s="192">
        <v>150</v>
      </c>
      <c r="D131" s="192">
        <v>131.9</v>
      </c>
      <c r="E131" s="192"/>
      <c r="F131" s="192" t="s">
        <v>78</v>
      </c>
      <c r="G131" s="192"/>
      <c r="I131" s="197">
        <v>99.3</v>
      </c>
      <c r="J131" s="189">
        <v>1</v>
      </c>
      <c r="K131" s="189">
        <v>1998</v>
      </c>
      <c r="L131" s="198">
        <v>17629</v>
      </c>
      <c r="M131" s="197">
        <v>285</v>
      </c>
      <c r="N131" s="197">
        <f t="shared" si="4"/>
        <v>520.06520644511568</v>
      </c>
      <c r="O131" s="198">
        <v>7614</v>
      </c>
      <c r="P131" s="197">
        <v>599.6</v>
      </c>
      <c r="Q131" s="197">
        <f t="shared" si="2"/>
        <v>1094.1442027526014</v>
      </c>
      <c r="R131" s="198">
        <v>11958</v>
      </c>
      <c r="S131" s="197">
        <v>185.4</v>
      </c>
      <c r="T131" s="197">
        <f t="shared" si="3"/>
        <v>338.31610271903321</v>
      </c>
      <c r="V131" s="192" t="s">
        <v>7</v>
      </c>
      <c r="W131" s="196">
        <f>IF('Tab3'!C18="",'Tab3'!C17,'Tab3'!C18)</f>
        <v>8798.6610285714287</v>
      </c>
      <c r="X131" s="196">
        <f>IF('Tab3'!D18="",'Tab3'!D17,'Tab3'!D18)</f>
        <v>8629.6967836734693</v>
      </c>
      <c r="Y131" s="196">
        <f>IF('Tab3'!E18="",'Tab3'!E17,'Tab3'!E18)</f>
        <v>9255.1604571428579</v>
      </c>
    </row>
    <row r="132" spans="1:25" x14ac:dyDescent="0.2">
      <c r="A132" s="192">
        <v>2</v>
      </c>
      <c r="B132" s="192"/>
      <c r="C132" s="192">
        <f>289.8-C131</f>
        <v>139.80000000000001</v>
      </c>
      <c r="D132" s="192">
        <f>253.9-D131</f>
        <v>122</v>
      </c>
      <c r="E132" s="192"/>
      <c r="F132" s="192" t="s">
        <v>79</v>
      </c>
      <c r="G132" s="192" t="s">
        <v>80</v>
      </c>
      <c r="I132" s="197">
        <v>99.7</v>
      </c>
      <c r="J132" s="189">
        <v>2</v>
      </c>
      <c r="L132" s="198">
        <v>14484</v>
      </c>
      <c r="M132" s="197">
        <v>253.5</v>
      </c>
      <c r="N132" s="197">
        <f t="shared" si="4"/>
        <v>460.72841023069196</v>
      </c>
      <c r="O132" s="198">
        <v>6009</v>
      </c>
      <c r="P132" s="197">
        <v>576.9</v>
      </c>
      <c r="Q132" s="197">
        <f t="shared" si="2"/>
        <v>1048.4979087261784</v>
      </c>
      <c r="R132" s="198">
        <v>15060</v>
      </c>
      <c r="S132" s="197">
        <v>204.20000000000002</v>
      </c>
      <c r="T132" s="197">
        <f t="shared" si="3"/>
        <v>371.12718488799726</v>
      </c>
      <c r="V132" s="189" t="s">
        <v>113</v>
      </c>
      <c r="W132" s="196">
        <f>IF('Tab10'!C8="",'Tab10'!C7,'Tab10'!C8)</f>
        <v>22199</v>
      </c>
      <c r="X132" s="196">
        <f>IF('Tab10'!D8="",'Tab10'!D7,'Tab10'!D8)</f>
        <v>18907.302359650501</v>
      </c>
      <c r="Y132" s="196">
        <f>IF('Tab10'!E8="",'Tab10'!E7,'Tab10'!E8)</f>
        <v>23362.869983780671</v>
      </c>
    </row>
    <row r="133" spans="1:25" x14ac:dyDescent="0.2">
      <c r="A133" s="192">
        <v>3</v>
      </c>
      <c r="B133" s="192"/>
      <c r="C133" s="192">
        <f>+E133-C131-C132</f>
        <v>128.09999999999997</v>
      </c>
      <c r="D133" s="192">
        <f>+G133-D131-D132</f>
        <v>112.1</v>
      </c>
      <c r="E133" s="192">
        <v>417.9</v>
      </c>
      <c r="G133" s="192">
        <v>366</v>
      </c>
      <c r="I133" s="201">
        <v>99.8</v>
      </c>
      <c r="J133" s="189">
        <v>3</v>
      </c>
      <c r="L133" s="198">
        <v>15693</v>
      </c>
      <c r="M133" s="197">
        <v>257.89999999999998</v>
      </c>
      <c r="N133" s="197">
        <f t="shared" si="4"/>
        <v>468.2556095524381</v>
      </c>
      <c r="O133" s="198">
        <v>8328</v>
      </c>
      <c r="P133" s="197">
        <v>432.80000000000018</v>
      </c>
      <c r="Q133" s="197">
        <f t="shared" si="2"/>
        <v>785.81243820975305</v>
      </c>
      <c r="R133" s="198">
        <v>17098</v>
      </c>
      <c r="S133" s="197">
        <v>209.60000000000002</v>
      </c>
      <c r="T133" s="197">
        <f t="shared" si="3"/>
        <v>380.55981295925181</v>
      </c>
      <c r="V133" s="192" t="s">
        <v>9</v>
      </c>
      <c r="W133" s="196">
        <f>IF('Tab3'!C22="",'Tab3'!C21,'Tab3'!C22)</f>
        <v>31589.073333333334</v>
      </c>
      <c r="X133" s="196">
        <f>IF('Tab3'!D22="",'Tab3'!D21,'Tab3'!D22)</f>
        <v>37157.663333333338</v>
      </c>
      <c r="Y133" s="196">
        <f>IF('Tab3'!E22="",'Tab3'!E21,'Tab3'!E22)</f>
        <v>42542.303333333337</v>
      </c>
    </row>
    <row r="134" spans="1:25" x14ac:dyDescent="0.2">
      <c r="A134" s="192">
        <v>4</v>
      </c>
      <c r="B134" s="192"/>
      <c r="C134" s="192">
        <f>+E134-E133</f>
        <v>141.80000000000007</v>
      </c>
      <c r="D134" s="192">
        <f>+G134-G133</f>
        <v>125.60000000000002</v>
      </c>
      <c r="E134" s="192">
        <v>559.70000000000005</v>
      </c>
      <c r="G134" s="192">
        <v>491.6</v>
      </c>
      <c r="I134" s="201">
        <v>100.7</v>
      </c>
      <c r="J134" s="189">
        <v>4</v>
      </c>
      <c r="L134" s="198">
        <v>16502</v>
      </c>
      <c r="M134" s="197">
        <v>299.10000000000002</v>
      </c>
      <c r="N134" s="197">
        <f t="shared" si="4"/>
        <v>538.20673783515383</v>
      </c>
      <c r="O134" s="198">
        <v>7526</v>
      </c>
      <c r="P134" s="197">
        <v>738.59999999999945</v>
      </c>
      <c r="Q134" s="197">
        <f t="shared" si="2"/>
        <v>1329.0521449851028</v>
      </c>
      <c r="R134" s="198">
        <v>14647</v>
      </c>
      <c r="S134" s="197">
        <v>205.79999999999995</v>
      </c>
      <c r="T134" s="197">
        <f t="shared" si="3"/>
        <v>370.32078450844074</v>
      </c>
    </row>
    <row r="135" spans="1:25" x14ac:dyDescent="0.2">
      <c r="A135" s="192">
        <v>1</v>
      </c>
      <c r="B135" s="192">
        <v>1999</v>
      </c>
      <c r="C135" s="192">
        <f>+E135</f>
        <v>154.19999999999999</v>
      </c>
      <c r="D135" s="192">
        <f>+G135</f>
        <v>137.1</v>
      </c>
      <c r="E135" s="192">
        <v>154.19999999999999</v>
      </c>
      <c r="G135" s="192">
        <v>137.1</v>
      </c>
      <c r="I135" s="201">
        <v>101.4</v>
      </c>
      <c r="J135" s="189">
        <v>1</v>
      </c>
      <c r="K135" s="189">
        <v>1999</v>
      </c>
      <c r="L135" s="198">
        <v>18095</v>
      </c>
      <c r="M135" s="197">
        <v>328.50000000000006</v>
      </c>
      <c r="N135" s="197">
        <f t="shared" si="4"/>
        <v>587.0290680473372</v>
      </c>
      <c r="O135" s="198">
        <v>8863</v>
      </c>
      <c r="P135" s="197">
        <v>689.1</v>
      </c>
      <c r="Q135" s="197">
        <f t="shared" si="2"/>
        <v>1231.4207938856014</v>
      </c>
      <c r="R135" s="198">
        <v>11175</v>
      </c>
      <c r="S135" s="197">
        <v>162.80000000000001</v>
      </c>
      <c r="T135" s="197">
        <f t="shared" si="3"/>
        <v>290.92338593030894</v>
      </c>
    </row>
    <row r="136" spans="1:25" x14ac:dyDescent="0.2">
      <c r="A136" s="192">
        <v>2</v>
      </c>
      <c r="B136" s="192"/>
      <c r="C136" s="192">
        <f>+E136-E135</f>
        <v>159.30000000000001</v>
      </c>
      <c r="D136" s="192">
        <f>+G136-G135</f>
        <v>140.70000000000002</v>
      </c>
      <c r="E136" s="192">
        <v>313.5</v>
      </c>
      <c r="G136" s="192">
        <v>277.8</v>
      </c>
      <c r="I136" s="201">
        <v>102.2</v>
      </c>
      <c r="J136" s="189">
        <v>2</v>
      </c>
      <c r="L136" s="198">
        <v>12899</v>
      </c>
      <c r="M136" s="197">
        <v>332.7</v>
      </c>
      <c r="N136" s="197">
        <f t="shared" si="4"/>
        <v>589.88057240704484</v>
      </c>
      <c r="O136" s="198">
        <v>5920</v>
      </c>
      <c r="P136" s="197">
        <v>874.6</v>
      </c>
      <c r="Q136" s="197">
        <f t="shared" si="2"/>
        <v>1550.6749282452704</v>
      </c>
      <c r="R136" s="198">
        <v>12451</v>
      </c>
      <c r="S136" s="197">
        <v>199.09999999999997</v>
      </c>
      <c r="T136" s="197">
        <f t="shared" si="3"/>
        <v>353.00637801696007</v>
      </c>
    </row>
    <row r="137" spans="1:25" x14ac:dyDescent="0.2">
      <c r="A137" s="192">
        <v>3</v>
      </c>
      <c r="B137" s="192"/>
      <c r="C137" s="192">
        <f>+E137-E136</f>
        <v>146.30000000000001</v>
      </c>
      <c r="D137" s="192">
        <f>+G137-G136</f>
        <v>128.69999999999999</v>
      </c>
      <c r="E137" s="192">
        <v>459.8</v>
      </c>
      <c r="G137" s="192">
        <v>406.5</v>
      </c>
      <c r="I137" s="201">
        <v>101.7</v>
      </c>
      <c r="J137" s="189">
        <v>3</v>
      </c>
      <c r="L137" s="198">
        <v>23305</v>
      </c>
      <c r="M137" s="197">
        <v>445.5</v>
      </c>
      <c r="N137" s="197">
        <f t="shared" si="4"/>
        <v>793.75951327433597</v>
      </c>
      <c r="O137" s="198">
        <v>11181</v>
      </c>
      <c r="P137" s="197">
        <v>566.99999999999977</v>
      </c>
      <c r="Q137" s="197">
        <f t="shared" si="2"/>
        <v>1010.2393805309728</v>
      </c>
      <c r="R137" s="198">
        <v>18817</v>
      </c>
      <c r="S137" s="197">
        <v>227.70000000000005</v>
      </c>
      <c r="T137" s="197">
        <f t="shared" si="3"/>
        <v>405.69930678466079</v>
      </c>
    </row>
    <row r="138" spans="1:25" x14ac:dyDescent="0.2">
      <c r="A138" s="192">
        <v>4</v>
      </c>
      <c r="B138" s="192"/>
      <c r="C138" s="192">
        <f>+E138-E137</f>
        <v>141.90000000000003</v>
      </c>
      <c r="D138" s="192">
        <f>+G138-G137</f>
        <v>126.39999999999998</v>
      </c>
      <c r="E138" s="192">
        <v>601.70000000000005</v>
      </c>
      <c r="G138" s="192">
        <v>532.9</v>
      </c>
      <c r="I138" s="197">
        <v>103.5</v>
      </c>
      <c r="J138" s="189">
        <v>4</v>
      </c>
      <c r="L138" s="198">
        <v>18359</v>
      </c>
      <c r="M138" s="197">
        <v>410.59999999999968</v>
      </c>
      <c r="N138" s="197">
        <f t="shared" si="4"/>
        <v>718.85414814814737</v>
      </c>
      <c r="O138" s="198">
        <v>9544</v>
      </c>
      <c r="P138" s="197">
        <v>935.5</v>
      </c>
      <c r="Q138" s="197">
        <f t="shared" si="2"/>
        <v>1637.8179629629626</v>
      </c>
      <c r="R138" s="198">
        <v>13692</v>
      </c>
      <c r="S138" s="197">
        <v>192.19999999999993</v>
      </c>
      <c r="T138" s="197">
        <f t="shared" si="3"/>
        <v>336.49237037037017</v>
      </c>
    </row>
    <row r="139" spans="1:25" x14ac:dyDescent="0.2">
      <c r="A139" s="192">
        <v>1</v>
      </c>
      <c r="B139" s="192">
        <v>2000</v>
      </c>
      <c r="C139" s="192">
        <f>+E139</f>
        <v>169.1</v>
      </c>
      <c r="D139" s="192">
        <f>+G139</f>
        <v>150.9</v>
      </c>
      <c r="E139" s="192">
        <v>169.1</v>
      </c>
      <c r="G139" s="192">
        <v>150.9</v>
      </c>
      <c r="I139" s="197">
        <v>104.6</v>
      </c>
      <c r="J139" s="189">
        <v>1</v>
      </c>
      <c r="K139" s="189">
        <v>2000</v>
      </c>
      <c r="L139" s="198">
        <v>17570</v>
      </c>
      <c r="M139" s="197">
        <v>345.9</v>
      </c>
      <c r="N139" s="197">
        <f t="shared" si="4"/>
        <v>599.21277724665379</v>
      </c>
      <c r="O139" s="198">
        <v>9154</v>
      </c>
      <c r="P139" s="197">
        <v>819.9</v>
      </c>
      <c r="Q139" s="197">
        <f t="shared" si="2"/>
        <v>1420.3369646271508</v>
      </c>
      <c r="R139" s="198">
        <v>12421</v>
      </c>
      <c r="S139" s="197">
        <v>198</v>
      </c>
      <c r="T139" s="197">
        <f t="shared" si="3"/>
        <v>343.00124282982785</v>
      </c>
    </row>
    <row r="140" spans="1:25" x14ac:dyDescent="0.2">
      <c r="A140" s="192">
        <v>2</v>
      </c>
      <c r="B140" s="192"/>
      <c r="C140" s="192">
        <f>+E140-E139</f>
        <v>151.50000000000003</v>
      </c>
      <c r="D140" s="192">
        <f>+G140-G139</f>
        <v>133.4</v>
      </c>
      <c r="E140" s="192">
        <v>320.60000000000002</v>
      </c>
      <c r="G140" s="192">
        <v>284.3</v>
      </c>
      <c r="I140" s="197">
        <v>105.1</v>
      </c>
      <c r="J140" s="189">
        <v>2</v>
      </c>
      <c r="L140" s="198">
        <v>14069</v>
      </c>
      <c r="M140" s="197">
        <v>252.39999999999998</v>
      </c>
      <c r="N140" s="197">
        <f t="shared" si="4"/>
        <v>435.15985410719941</v>
      </c>
      <c r="O140" s="198">
        <v>10238</v>
      </c>
      <c r="P140" s="197">
        <v>674.19999999999993</v>
      </c>
      <c r="Q140" s="197">
        <f t="shared" si="2"/>
        <v>1162.3802442118615</v>
      </c>
      <c r="R140" s="198">
        <v>13950</v>
      </c>
      <c r="S140" s="197">
        <v>184.5</v>
      </c>
      <c r="T140" s="197">
        <f t="shared" si="3"/>
        <v>318.0942673644148</v>
      </c>
    </row>
    <row r="141" spans="1:25" x14ac:dyDescent="0.2">
      <c r="A141" s="192">
        <v>3</v>
      </c>
      <c r="B141" s="192"/>
      <c r="C141" s="192">
        <f>+E141-E140</f>
        <v>139</v>
      </c>
      <c r="D141" s="192">
        <f>+G141-G140</f>
        <v>123.5</v>
      </c>
      <c r="E141" s="192">
        <v>459.6</v>
      </c>
      <c r="G141" s="192">
        <v>407.8</v>
      </c>
      <c r="I141" s="197">
        <v>105.3</v>
      </c>
      <c r="J141" s="189">
        <v>3</v>
      </c>
      <c r="L141" s="198">
        <v>16329</v>
      </c>
      <c r="M141" s="197">
        <v>313.5</v>
      </c>
      <c r="N141" s="197">
        <f t="shared" si="4"/>
        <v>539.47504748338065</v>
      </c>
      <c r="O141" s="198">
        <v>13877</v>
      </c>
      <c r="P141" s="197">
        <v>706.20000000000027</v>
      </c>
      <c r="Q141" s="197">
        <f t="shared" si="2"/>
        <v>1215.2385280151948</v>
      </c>
      <c r="R141" s="198">
        <v>14850</v>
      </c>
      <c r="S141" s="197">
        <v>193.89999999999998</v>
      </c>
      <c r="T141" s="197">
        <f t="shared" si="3"/>
        <v>333.66574707185805</v>
      </c>
    </row>
    <row r="142" spans="1:25" x14ac:dyDescent="0.2">
      <c r="A142" s="192">
        <v>4</v>
      </c>
      <c r="B142" s="192"/>
      <c r="C142" s="192">
        <f>+E142-E141</f>
        <v>135.10000000000002</v>
      </c>
      <c r="D142" s="192">
        <f>+G142-G141</f>
        <v>121.40000000000003</v>
      </c>
      <c r="E142" s="192">
        <v>594.70000000000005</v>
      </c>
      <c r="G142" s="192">
        <v>529.20000000000005</v>
      </c>
      <c r="I142" s="197">
        <v>106.8</v>
      </c>
      <c r="J142" s="189">
        <v>4</v>
      </c>
      <c r="L142" s="198">
        <v>21735</v>
      </c>
      <c r="M142" s="197">
        <v>484.79999999999995</v>
      </c>
      <c r="N142" s="197">
        <f t="shared" si="4"/>
        <v>822.53340823970007</v>
      </c>
      <c r="O142" s="198">
        <v>9978</v>
      </c>
      <c r="P142" s="197">
        <v>739.19999999999982</v>
      </c>
      <c r="Q142" s="197">
        <f t="shared" si="2"/>
        <v>1254.1598501872654</v>
      </c>
      <c r="R142" s="198">
        <v>13212</v>
      </c>
      <c r="S142" s="197">
        <v>215</v>
      </c>
      <c r="T142" s="197">
        <f t="shared" si="3"/>
        <v>364.77863607990008</v>
      </c>
    </row>
    <row r="143" spans="1:25" x14ac:dyDescent="0.2">
      <c r="A143" s="192">
        <v>1</v>
      </c>
      <c r="B143" s="192">
        <v>2001</v>
      </c>
      <c r="C143" s="192">
        <f>+E143</f>
        <v>158.5</v>
      </c>
      <c r="D143" s="192">
        <f>+G143</f>
        <v>143.1</v>
      </c>
      <c r="E143" s="192">
        <v>158.5</v>
      </c>
      <c r="G143" s="192">
        <v>143.1</v>
      </c>
      <c r="I143" s="197">
        <v>108.4</v>
      </c>
      <c r="J143" s="189">
        <v>1</v>
      </c>
      <c r="K143" s="189">
        <v>2001</v>
      </c>
      <c r="L143" s="198">
        <v>27280</v>
      </c>
      <c r="M143" s="197">
        <v>675.3</v>
      </c>
      <c r="N143" s="197">
        <f t="shared" si="4"/>
        <v>1128.8328920664203</v>
      </c>
      <c r="O143" s="198">
        <v>7776</v>
      </c>
      <c r="P143" s="197">
        <v>877</v>
      </c>
      <c r="Q143" s="197">
        <f t="shared" si="2"/>
        <v>1465.9950338253377</v>
      </c>
      <c r="R143" s="198">
        <v>10538</v>
      </c>
      <c r="S143" s="197">
        <v>164.1</v>
      </c>
      <c r="T143" s="197">
        <f t="shared" si="3"/>
        <v>274.30990313653126</v>
      </c>
    </row>
    <row r="144" spans="1:25" x14ac:dyDescent="0.2">
      <c r="A144" s="192">
        <v>2</v>
      </c>
      <c r="B144" s="192"/>
      <c r="C144" s="192">
        <f>+E144-E143</f>
        <v>140.45999999999998</v>
      </c>
      <c r="D144" s="192">
        <f>+G144-G143</f>
        <v>125.70000000000002</v>
      </c>
      <c r="E144" s="192">
        <v>298.95999999999998</v>
      </c>
      <c r="G144" s="192">
        <v>268.8</v>
      </c>
      <c r="I144" s="197">
        <v>109.6</v>
      </c>
      <c r="J144" s="189">
        <v>2</v>
      </c>
      <c r="L144" s="198">
        <v>17111</v>
      </c>
      <c r="M144" s="197">
        <v>452</v>
      </c>
      <c r="N144" s="197">
        <f t="shared" si="4"/>
        <v>747.29154501216533</v>
      </c>
      <c r="O144" s="198">
        <v>5711</v>
      </c>
      <c r="P144" s="197">
        <v>923</v>
      </c>
      <c r="Q144" s="197">
        <f t="shared" si="2"/>
        <v>1525.995787712895</v>
      </c>
      <c r="R144" s="198">
        <v>11841</v>
      </c>
      <c r="S144" s="197">
        <v>190.29999999999998</v>
      </c>
      <c r="T144" s="197">
        <f t="shared" si="3"/>
        <v>314.62296684914833</v>
      </c>
    </row>
    <row r="145" spans="1:20" x14ac:dyDescent="0.2">
      <c r="A145" s="192">
        <v>3</v>
      </c>
      <c r="C145" s="192">
        <f>+E145-E144</f>
        <v>134.24</v>
      </c>
      <c r="D145" s="192">
        <f>+G145-G144</f>
        <v>119.19999999999999</v>
      </c>
      <c r="E145" s="192">
        <v>433.2</v>
      </c>
      <c r="G145" s="192">
        <v>388</v>
      </c>
      <c r="I145" s="197">
        <v>108.1</v>
      </c>
      <c r="J145" s="189">
        <v>3</v>
      </c>
      <c r="L145" s="198">
        <v>16407</v>
      </c>
      <c r="M145" s="197">
        <v>400.40000000000009</v>
      </c>
      <c r="N145" s="197">
        <f t="shared" si="4"/>
        <v>671.16695035460998</v>
      </c>
      <c r="O145" s="198">
        <v>15359</v>
      </c>
      <c r="P145" s="197">
        <v>1172.1999999999998</v>
      </c>
      <c r="Q145" s="197">
        <f t="shared" si="2"/>
        <v>1964.8898581560277</v>
      </c>
      <c r="R145" s="198">
        <v>13534</v>
      </c>
      <c r="S145" s="197">
        <v>158.5</v>
      </c>
      <c r="T145" s="197">
        <f t="shared" si="3"/>
        <v>265.68421985815598</v>
      </c>
    </row>
    <row r="146" spans="1:20" x14ac:dyDescent="0.2">
      <c r="A146" s="192">
        <v>4</v>
      </c>
      <c r="C146" s="192">
        <f>+E146-E145</f>
        <v>137.49520000000001</v>
      </c>
      <c r="D146" s="192">
        <f>+G146-G145</f>
        <v>124.07220000000007</v>
      </c>
      <c r="E146" s="200">
        <v>570.6952</v>
      </c>
      <c r="F146" s="205"/>
      <c r="G146" s="200">
        <v>512.07220000000007</v>
      </c>
      <c r="I146" s="197">
        <v>108.7</v>
      </c>
      <c r="J146" s="189">
        <v>4</v>
      </c>
      <c r="L146" s="198">
        <v>16945</v>
      </c>
      <c r="M146" s="197">
        <v>509.39999999999986</v>
      </c>
      <c r="N146" s="197">
        <f t="shared" si="4"/>
        <v>849.16402023918988</v>
      </c>
      <c r="O146" s="198">
        <v>9601</v>
      </c>
      <c r="P146" s="197">
        <v>803.30000000000018</v>
      </c>
      <c r="Q146" s="197">
        <f t="shared" si="2"/>
        <v>1339.0919855872432</v>
      </c>
      <c r="R146" s="198">
        <v>12341</v>
      </c>
      <c r="S146" s="197">
        <v>258.5</v>
      </c>
      <c r="T146" s="197">
        <f t="shared" si="3"/>
        <v>430.91656700398636</v>
      </c>
    </row>
    <row r="147" spans="1:20" x14ac:dyDescent="0.2">
      <c r="A147" s="192">
        <v>1</v>
      </c>
      <c r="B147" s="192">
        <v>2002</v>
      </c>
      <c r="C147" s="192">
        <f>+E147</f>
        <v>155.81399999999999</v>
      </c>
      <c r="D147" s="192">
        <f>+G147</f>
        <v>141.72399999999999</v>
      </c>
      <c r="E147" s="200">
        <v>155.81399999999999</v>
      </c>
      <c r="F147" s="205"/>
      <c r="G147" s="200">
        <v>141.72399999999999</v>
      </c>
      <c r="I147" s="197">
        <v>109.3</v>
      </c>
      <c r="J147" s="189">
        <v>1</v>
      </c>
      <c r="K147" s="189">
        <v>2002</v>
      </c>
      <c r="L147" s="198">
        <v>17523</v>
      </c>
      <c r="M147" s="197">
        <v>466.5</v>
      </c>
      <c r="N147" s="197">
        <f t="shared" si="4"/>
        <v>773.38131290027434</v>
      </c>
      <c r="O147" s="198">
        <v>6856</v>
      </c>
      <c r="P147" s="197">
        <v>820.40000000000009</v>
      </c>
      <c r="Q147" s="197">
        <f t="shared" si="2"/>
        <v>1360.0900945410185</v>
      </c>
      <c r="R147" s="198">
        <v>9371</v>
      </c>
      <c r="S147" s="197">
        <v>197.9</v>
      </c>
      <c r="T147" s="197">
        <f t="shared" si="3"/>
        <v>328.08609179627928</v>
      </c>
    </row>
    <row r="148" spans="1:20" x14ac:dyDescent="0.2">
      <c r="A148" s="192">
        <v>2</v>
      </c>
      <c r="B148" s="192"/>
      <c r="C148" s="192">
        <f>+E148-E147</f>
        <v>146.54300000000003</v>
      </c>
      <c r="D148" s="192">
        <f>+G148-G147</f>
        <v>133.19</v>
      </c>
      <c r="E148" s="192">
        <v>302.35700000000003</v>
      </c>
      <c r="G148" s="192">
        <v>274.91399999999999</v>
      </c>
      <c r="I148" s="197">
        <v>110</v>
      </c>
      <c r="J148" s="189">
        <v>2</v>
      </c>
      <c r="L148" s="198">
        <v>17469</v>
      </c>
      <c r="M148" s="197">
        <v>408.5</v>
      </c>
      <c r="N148" s="197">
        <f t="shared" si="4"/>
        <v>672.91709848484834</v>
      </c>
      <c r="O148" s="198">
        <v>9323</v>
      </c>
      <c r="P148" s="197">
        <v>689.09999999999991</v>
      </c>
      <c r="Q148" s="197">
        <f t="shared" si="2"/>
        <v>1135.1460772727269</v>
      </c>
      <c r="R148" s="198">
        <v>14749</v>
      </c>
      <c r="S148" s="197">
        <v>233.49999999999997</v>
      </c>
      <c r="T148" s="197">
        <f t="shared" si="3"/>
        <v>384.64171969696957</v>
      </c>
    </row>
    <row r="149" spans="1:20" x14ac:dyDescent="0.2">
      <c r="A149" s="192">
        <v>3</v>
      </c>
      <c r="C149" s="192">
        <f>+E149-E148</f>
        <v>146.23099999999999</v>
      </c>
      <c r="D149" s="192">
        <f>+G149-G148</f>
        <v>127.14100000000002</v>
      </c>
      <c r="E149" s="192">
        <v>448.58800000000002</v>
      </c>
      <c r="G149" s="192">
        <v>402.05500000000001</v>
      </c>
      <c r="I149" s="197">
        <v>109.6</v>
      </c>
      <c r="J149" s="189">
        <v>3</v>
      </c>
      <c r="L149" s="198">
        <v>19641</v>
      </c>
      <c r="M149" s="197">
        <v>503</v>
      </c>
      <c r="N149" s="197">
        <f t="shared" si="4"/>
        <v>831.60983880778565</v>
      </c>
      <c r="O149" s="198">
        <v>17422</v>
      </c>
      <c r="P149" s="197">
        <v>895.90000000000009</v>
      </c>
      <c r="Q149" s="197">
        <f t="shared" si="2"/>
        <v>1481.1913610097322</v>
      </c>
      <c r="R149" s="198">
        <v>14722</v>
      </c>
      <c r="S149" s="197">
        <v>184.5</v>
      </c>
      <c r="T149" s="197">
        <f t="shared" si="3"/>
        <v>305.03382755474451</v>
      </c>
    </row>
    <row r="150" spans="1:20" x14ac:dyDescent="0.2">
      <c r="A150" s="192">
        <v>4</v>
      </c>
      <c r="C150" s="192">
        <f>+E150-E149</f>
        <v>137.96699999999993</v>
      </c>
      <c r="D150" s="192">
        <f>+G150-G149</f>
        <v>124.64100000000002</v>
      </c>
      <c r="E150" s="200">
        <v>586.55499999999995</v>
      </c>
      <c r="F150" s="205"/>
      <c r="G150" s="200">
        <v>526.69600000000003</v>
      </c>
      <c r="I150" s="197">
        <v>111</v>
      </c>
      <c r="J150" s="189">
        <v>4</v>
      </c>
      <c r="L150" s="198">
        <v>17442</v>
      </c>
      <c r="M150" s="197">
        <v>464.20000000000005</v>
      </c>
      <c r="N150" s="197">
        <f t="shared" si="4"/>
        <v>757.78210510510496</v>
      </c>
      <c r="O150" s="198">
        <v>8123</v>
      </c>
      <c r="P150" s="197">
        <v>938.5</v>
      </c>
      <c r="Q150" s="197">
        <f t="shared" si="2"/>
        <v>1532.051929429429</v>
      </c>
      <c r="R150" s="198">
        <v>14689</v>
      </c>
      <c r="S150" s="197">
        <v>194.00000000000011</v>
      </c>
      <c r="T150" s="197">
        <f t="shared" si="3"/>
        <v>316.6948048048049</v>
      </c>
    </row>
    <row r="151" spans="1:20" x14ac:dyDescent="0.2">
      <c r="A151" s="192">
        <v>1</v>
      </c>
      <c r="B151" s="192">
        <v>2003</v>
      </c>
      <c r="C151" s="200">
        <f>+E151</f>
        <v>165.679</v>
      </c>
      <c r="D151" s="192">
        <f>+G151</f>
        <v>150.81100000000001</v>
      </c>
      <c r="E151" s="200">
        <v>165.679</v>
      </c>
      <c r="F151" s="205"/>
      <c r="G151" s="200">
        <v>150.81100000000001</v>
      </c>
      <c r="I151" s="197">
        <v>114.6</v>
      </c>
      <c r="J151" s="189">
        <v>1</v>
      </c>
      <c r="K151" s="189">
        <v>2003</v>
      </c>
      <c r="L151" s="198">
        <v>22781</v>
      </c>
      <c r="M151" s="197">
        <v>626.79999999999995</v>
      </c>
      <c r="N151" s="197">
        <f t="shared" si="4"/>
        <v>991.07508435136685</v>
      </c>
      <c r="O151" s="198">
        <v>6823</v>
      </c>
      <c r="P151" s="197">
        <v>1087.2</v>
      </c>
      <c r="Q151" s="197">
        <f t="shared" si="2"/>
        <v>1719.0440837696333</v>
      </c>
      <c r="R151" s="198">
        <v>10626</v>
      </c>
      <c r="S151" s="197">
        <v>183</v>
      </c>
      <c r="T151" s="197">
        <f t="shared" si="3"/>
        <v>289.35344677137863</v>
      </c>
    </row>
    <row r="152" spans="1:20" x14ac:dyDescent="0.2">
      <c r="A152" s="192">
        <v>2</v>
      </c>
      <c r="B152" s="192"/>
      <c r="C152" s="200">
        <f>+E152-E151</f>
        <v>135.02099999999999</v>
      </c>
      <c r="D152" s="192">
        <f>+G152-G151</f>
        <v>121.10099999999997</v>
      </c>
      <c r="E152" s="192">
        <v>300.7</v>
      </c>
      <c r="G152" s="192">
        <v>271.91199999999998</v>
      </c>
      <c r="I152" s="197">
        <v>112.3</v>
      </c>
      <c r="J152" s="189">
        <v>2</v>
      </c>
      <c r="L152" s="198">
        <v>15417</v>
      </c>
      <c r="M152" s="197">
        <v>406.10000000000014</v>
      </c>
      <c r="N152" s="197">
        <f t="shared" si="4"/>
        <v>655.26266102701106</v>
      </c>
      <c r="O152" s="198">
        <v>5618</v>
      </c>
      <c r="P152" s="197">
        <v>817.8</v>
      </c>
      <c r="Q152" s="197">
        <f t="shared" si="2"/>
        <v>1319.5612021371323</v>
      </c>
      <c r="R152" s="198">
        <v>12719</v>
      </c>
      <c r="S152" s="197">
        <v>203.2</v>
      </c>
      <c r="T152" s="197">
        <f t="shared" si="3"/>
        <v>327.87336301573157</v>
      </c>
    </row>
    <row r="153" spans="1:20" x14ac:dyDescent="0.2">
      <c r="A153" s="192">
        <v>3</v>
      </c>
      <c r="B153" s="192"/>
      <c r="C153" s="200">
        <f>+E153-E152</f>
        <v>134.11099999999999</v>
      </c>
      <c r="D153" s="192">
        <f>+G153-G152</f>
        <v>119.49100000000004</v>
      </c>
      <c r="E153" s="192">
        <v>434.81099999999998</v>
      </c>
      <c r="G153" s="192">
        <v>391.40300000000002</v>
      </c>
      <c r="I153" s="197">
        <v>111.9</v>
      </c>
      <c r="J153" s="189">
        <v>3</v>
      </c>
      <c r="L153" s="198">
        <v>18848</v>
      </c>
      <c r="M153" s="197">
        <v>430.5</v>
      </c>
      <c r="N153" s="197">
        <f t="shared" si="4"/>
        <v>697.11633154602305</v>
      </c>
      <c r="O153" s="198">
        <v>16056</v>
      </c>
      <c r="P153" s="197">
        <v>860.19999999999982</v>
      </c>
      <c r="Q153" s="197">
        <f t="shared" si="2"/>
        <v>1392.9372088173959</v>
      </c>
      <c r="R153" s="198">
        <v>13690</v>
      </c>
      <c r="S153" s="197">
        <v>188.8</v>
      </c>
      <c r="T153" s="197">
        <f t="shared" si="3"/>
        <v>305.72720881739639</v>
      </c>
    </row>
    <row r="154" spans="1:20" x14ac:dyDescent="0.2">
      <c r="A154" s="192">
        <v>4</v>
      </c>
      <c r="B154" s="192"/>
      <c r="C154" s="200">
        <f>+E154-E153</f>
        <v>142.01299999999998</v>
      </c>
      <c r="D154" s="192">
        <f>+G154-G153</f>
        <v>125.95899999999995</v>
      </c>
      <c r="E154" s="192">
        <v>576.82399999999996</v>
      </c>
      <c r="G154" s="192">
        <v>517.36199999999997</v>
      </c>
      <c r="I154" s="197">
        <v>112.6</v>
      </c>
      <c r="J154" s="189">
        <v>4</v>
      </c>
      <c r="L154" s="198">
        <v>16096</v>
      </c>
      <c r="M154" s="197">
        <v>471.89999999999986</v>
      </c>
      <c r="N154" s="197">
        <f t="shared" si="4"/>
        <v>759.40556394316127</v>
      </c>
      <c r="O154" s="198">
        <v>7652</v>
      </c>
      <c r="P154" s="197">
        <v>762.30000000000018</v>
      </c>
      <c r="Q154" s="197">
        <f t="shared" si="2"/>
        <v>1226.7320648312611</v>
      </c>
      <c r="R154" s="198">
        <v>11607</v>
      </c>
      <c r="S154" s="197">
        <v>220.90000000000009</v>
      </c>
      <c r="T154" s="197">
        <f t="shared" si="3"/>
        <v>355.48355387803446</v>
      </c>
    </row>
    <row r="155" spans="1:20" x14ac:dyDescent="0.2">
      <c r="A155" s="192">
        <v>1</v>
      </c>
      <c r="B155" s="192">
        <v>2004</v>
      </c>
      <c r="C155" s="200">
        <f>+E155</f>
        <v>168.309</v>
      </c>
      <c r="D155" s="192">
        <f>+G155</f>
        <v>153.04300000000001</v>
      </c>
      <c r="E155" s="192">
        <v>168.309</v>
      </c>
      <c r="G155" s="192">
        <v>153.04300000000001</v>
      </c>
      <c r="I155" s="197">
        <v>112.6</v>
      </c>
      <c r="J155" s="189">
        <v>1</v>
      </c>
      <c r="K155" s="189">
        <v>2004</v>
      </c>
      <c r="L155" s="198">
        <v>17805</v>
      </c>
      <c r="M155" s="197">
        <v>517.69999999999993</v>
      </c>
      <c r="N155" s="197">
        <f t="shared" si="4"/>
        <v>833.10926139727621</v>
      </c>
      <c r="O155" s="198">
        <v>7033</v>
      </c>
      <c r="P155" s="197">
        <v>735.2</v>
      </c>
      <c r="Q155" s="197">
        <f t="shared" si="2"/>
        <v>1183.1213617525161</v>
      </c>
      <c r="R155" s="198">
        <v>8913</v>
      </c>
      <c r="S155" s="197">
        <v>178.89999999999998</v>
      </c>
      <c r="T155" s="197">
        <f t="shared" si="3"/>
        <v>287.89501036116036</v>
      </c>
    </row>
    <row r="156" spans="1:20" x14ac:dyDescent="0.2">
      <c r="A156" s="192">
        <v>2</v>
      </c>
      <c r="B156" s="192"/>
      <c r="C156" s="200">
        <f>+E156-E155</f>
        <v>140.26700000000002</v>
      </c>
      <c r="D156" s="192">
        <f>+G156-G155</f>
        <v>125.56799999999998</v>
      </c>
      <c r="E156" s="192">
        <v>308.57600000000002</v>
      </c>
      <c r="G156" s="192">
        <v>278.61099999999999</v>
      </c>
      <c r="I156" s="197">
        <v>113.4</v>
      </c>
      <c r="J156" s="189">
        <v>2</v>
      </c>
      <c r="L156" s="198">
        <v>13855</v>
      </c>
      <c r="M156" s="197">
        <v>344.69999999999993</v>
      </c>
      <c r="N156" s="197">
        <f t="shared" si="4"/>
        <v>550.79554232804207</v>
      </c>
      <c r="O156" s="198">
        <v>6436</v>
      </c>
      <c r="P156" s="197">
        <v>708.3</v>
      </c>
      <c r="Q156" s="197">
        <f t="shared" si="2"/>
        <v>1131.7913624338621</v>
      </c>
      <c r="R156" s="198">
        <v>10802</v>
      </c>
      <c r="S156" s="197">
        <v>228.40000000000003</v>
      </c>
      <c r="T156" s="197">
        <f t="shared" si="3"/>
        <v>364.95997060552605</v>
      </c>
    </row>
    <row r="157" spans="1:20" x14ac:dyDescent="0.2">
      <c r="A157" s="192">
        <v>3</v>
      </c>
      <c r="B157" s="192"/>
      <c r="C157" s="200">
        <f>+E157-E156</f>
        <v>137.76999999999998</v>
      </c>
      <c r="D157" s="192">
        <f>+G157-G156</f>
        <v>123.12100000000004</v>
      </c>
      <c r="E157" s="192">
        <v>446.346</v>
      </c>
      <c r="G157" s="192">
        <v>401.73200000000003</v>
      </c>
      <c r="I157" s="197">
        <v>113</v>
      </c>
      <c r="J157" s="189">
        <v>3</v>
      </c>
      <c r="L157" s="198">
        <v>17630</v>
      </c>
      <c r="M157" s="197">
        <v>454.09999999999991</v>
      </c>
      <c r="N157" s="197">
        <f t="shared" si="4"/>
        <v>728.17413126843621</v>
      </c>
      <c r="O157" s="198">
        <v>11805</v>
      </c>
      <c r="P157" s="197">
        <v>652.69999999999982</v>
      </c>
      <c r="Q157" s="197">
        <f t="shared" si="2"/>
        <v>1046.6400693215335</v>
      </c>
      <c r="R157" s="198">
        <v>11365</v>
      </c>
      <c r="S157" s="197">
        <v>160.7999999999999</v>
      </c>
      <c r="T157" s="197">
        <f t="shared" si="3"/>
        <v>257.8515752212387</v>
      </c>
    </row>
    <row r="158" spans="1:20" x14ac:dyDescent="0.2">
      <c r="A158" s="192">
        <v>4</v>
      </c>
      <c r="B158" s="192"/>
      <c r="C158" s="200">
        <f>+E158-E157</f>
        <v>137.68499999999995</v>
      </c>
      <c r="D158" s="192">
        <f>+G158-G157</f>
        <v>124.50600000000003</v>
      </c>
      <c r="E158" s="192">
        <v>584.03099999999995</v>
      </c>
      <c r="G158" s="192">
        <v>526.23800000000006</v>
      </c>
      <c r="I158" s="197">
        <v>114</v>
      </c>
      <c r="J158" s="189">
        <v>4</v>
      </c>
      <c r="L158" s="198">
        <v>16674</v>
      </c>
      <c r="M158" s="197">
        <v>428.20000000000027</v>
      </c>
      <c r="N158" s="197">
        <f t="shared" si="4"/>
        <v>680.61889181286585</v>
      </c>
      <c r="O158" s="198">
        <v>10088</v>
      </c>
      <c r="P158" s="197">
        <v>709.40000000000055</v>
      </c>
      <c r="Q158" s="197">
        <f t="shared" si="2"/>
        <v>1127.5830029239773</v>
      </c>
      <c r="R158" s="198">
        <v>9276</v>
      </c>
      <c r="S158" s="197">
        <v>162.90000000000009</v>
      </c>
      <c r="T158" s="197">
        <f t="shared" si="3"/>
        <v>258.92764473684218</v>
      </c>
    </row>
    <row r="159" spans="1:20" x14ac:dyDescent="0.2">
      <c r="A159" s="192">
        <v>1</v>
      </c>
      <c r="B159" s="192">
        <v>2005</v>
      </c>
      <c r="C159" s="200">
        <f>+E159</f>
        <v>147.31100000000001</v>
      </c>
      <c r="D159" s="192">
        <f>+G159</f>
        <v>133.756</v>
      </c>
      <c r="E159" s="192">
        <v>147.31100000000001</v>
      </c>
      <c r="G159" s="192">
        <v>133.756</v>
      </c>
      <c r="I159" s="197">
        <v>113.7</v>
      </c>
      <c r="J159" s="189">
        <v>1</v>
      </c>
      <c r="K159" s="189">
        <v>2005</v>
      </c>
      <c r="L159" s="198">
        <v>15151</v>
      </c>
      <c r="M159" s="197">
        <v>418</v>
      </c>
      <c r="N159" s="197">
        <f t="shared" si="4"/>
        <v>666.15916153620617</v>
      </c>
      <c r="O159" s="198">
        <v>7287</v>
      </c>
      <c r="P159" s="197">
        <v>715.2</v>
      </c>
      <c r="Q159" s="197">
        <f t="shared" si="2"/>
        <v>1139.8015127528581</v>
      </c>
      <c r="R159" s="198">
        <v>7498</v>
      </c>
      <c r="S159" s="197">
        <v>159.69999999999999</v>
      </c>
      <c r="T159" s="197">
        <f t="shared" si="3"/>
        <v>254.51104807974195</v>
      </c>
    </row>
    <row r="160" spans="1:20" x14ac:dyDescent="0.2">
      <c r="A160" s="192">
        <v>2</v>
      </c>
      <c r="B160" s="192"/>
      <c r="C160" s="200">
        <f>+E160-E159</f>
        <v>143.51699999999997</v>
      </c>
      <c r="D160" s="192">
        <f>+G160-G159</f>
        <v>128.79</v>
      </c>
      <c r="E160" s="192">
        <v>290.82799999999997</v>
      </c>
      <c r="G160" s="192">
        <v>262.54599999999999</v>
      </c>
      <c r="I160" s="197">
        <v>115.2</v>
      </c>
      <c r="J160" s="189">
        <v>2</v>
      </c>
      <c r="L160" s="198">
        <v>14855</v>
      </c>
      <c r="M160" s="197">
        <v>323.20000000000005</v>
      </c>
      <c r="N160" s="197">
        <f t="shared" si="4"/>
        <v>508.3713425925925</v>
      </c>
      <c r="O160" s="198">
        <v>6172</v>
      </c>
      <c r="P160" s="197">
        <v>745.5</v>
      </c>
      <c r="Q160" s="197">
        <f t="shared" si="2"/>
        <v>1172.6201605902775</v>
      </c>
      <c r="R160" s="198">
        <v>11610</v>
      </c>
      <c r="S160" s="197">
        <v>152.50000000000006</v>
      </c>
      <c r="T160" s="197">
        <f t="shared" si="3"/>
        <v>239.87199797453707</v>
      </c>
    </row>
    <row r="161" spans="1:20" x14ac:dyDescent="0.2">
      <c r="A161" s="192">
        <v>3</v>
      </c>
      <c r="B161" s="192"/>
      <c r="C161" s="200">
        <f>+E161-E160</f>
        <v>134.78300000000002</v>
      </c>
      <c r="D161" s="192">
        <f>+G161-G160</f>
        <v>120.57100000000003</v>
      </c>
      <c r="E161" s="192">
        <v>425.61099999999999</v>
      </c>
      <c r="G161" s="192">
        <v>383.11700000000002</v>
      </c>
      <c r="I161" s="197">
        <v>115.1</v>
      </c>
      <c r="J161" s="189">
        <v>3</v>
      </c>
      <c r="L161" s="198">
        <v>13014</v>
      </c>
      <c r="M161" s="197">
        <v>448.29999999999995</v>
      </c>
      <c r="N161" s="197">
        <f t="shared" si="4"/>
        <v>705.75766434984052</v>
      </c>
      <c r="O161" s="198">
        <v>6734</v>
      </c>
      <c r="P161" s="197">
        <v>832.10000000000014</v>
      </c>
      <c r="Q161" s="197">
        <f t="shared" si="2"/>
        <v>1309.9731262670143</v>
      </c>
      <c r="R161" s="198">
        <v>8742</v>
      </c>
      <c r="S161" s="197">
        <v>152.99999999999994</v>
      </c>
      <c r="T161" s="197">
        <f t="shared" si="3"/>
        <v>240.86754995655937</v>
      </c>
    </row>
    <row r="162" spans="1:20" x14ac:dyDescent="0.2">
      <c r="A162" s="192">
        <v>4</v>
      </c>
      <c r="B162" s="192"/>
      <c r="C162" s="200">
        <f>+E162-E161</f>
        <v>137.37</v>
      </c>
      <c r="D162" s="192">
        <f>+G162-G161</f>
        <v>124.38200000000001</v>
      </c>
      <c r="E162" s="192">
        <v>562.98099999999999</v>
      </c>
      <c r="G162" s="192">
        <v>507.49900000000002</v>
      </c>
      <c r="I162" s="197">
        <v>116</v>
      </c>
      <c r="J162" s="189">
        <v>4</v>
      </c>
      <c r="L162" s="198">
        <v>22745</v>
      </c>
      <c r="M162" s="197">
        <v>478.79999999999995</v>
      </c>
      <c r="N162" s="197">
        <f t="shared" si="4"/>
        <v>747.92549999999983</v>
      </c>
      <c r="O162" s="198">
        <v>8144</v>
      </c>
      <c r="P162" s="197">
        <v>795.79999999999973</v>
      </c>
      <c r="Q162" s="197">
        <f t="shared" si="2"/>
        <v>1243.105916666666</v>
      </c>
      <c r="R162" s="198">
        <v>11407</v>
      </c>
      <c r="S162" s="197">
        <v>142.00000000000006</v>
      </c>
      <c r="T162" s="197">
        <f t="shared" si="3"/>
        <v>221.81583333333339</v>
      </c>
    </row>
    <row r="163" spans="1:20" x14ac:dyDescent="0.2">
      <c r="A163" s="192">
        <v>1</v>
      </c>
      <c r="B163" s="192">
        <v>2006</v>
      </c>
      <c r="C163" s="200">
        <f>+E163</f>
        <v>155.21299999999999</v>
      </c>
      <c r="D163" s="192">
        <f>+G163</f>
        <v>139.72800000000001</v>
      </c>
      <c r="E163" s="192">
        <v>155.21299999999999</v>
      </c>
      <c r="G163" s="192">
        <v>139.72800000000001</v>
      </c>
      <c r="I163" s="197">
        <v>116.6</v>
      </c>
      <c r="J163" s="189">
        <v>1</v>
      </c>
      <c r="K163" s="189">
        <v>2006</v>
      </c>
      <c r="L163" s="198">
        <v>18196</v>
      </c>
      <c r="M163" s="197">
        <v>585</v>
      </c>
      <c r="N163" s="197">
        <f t="shared" si="4"/>
        <v>909.11642367066884</v>
      </c>
      <c r="O163" s="198">
        <v>6106</v>
      </c>
      <c r="P163" s="197">
        <v>947.2</v>
      </c>
      <c r="Q163" s="197">
        <f t="shared" si="2"/>
        <v>1471.9915837621497</v>
      </c>
      <c r="R163" s="198">
        <v>7106</v>
      </c>
      <c r="S163" s="197">
        <v>150.6</v>
      </c>
      <c r="T163" s="197">
        <f t="shared" si="3"/>
        <v>234.03920240137217</v>
      </c>
    </row>
    <row r="164" spans="1:20" x14ac:dyDescent="0.2">
      <c r="A164" s="192">
        <v>2</v>
      </c>
      <c r="B164" s="192"/>
      <c r="C164" s="200">
        <f>+E164-E163</f>
        <v>147.44399999999999</v>
      </c>
      <c r="D164" s="192">
        <f>+G164-G163</f>
        <v>129.572</v>
      </c>
      <c r="E164" s="192">
        <v>302.65699999999998</v>
      </c>
      <c r="G164" s="192">
        <v>269.3</v>
      </c>
      <c r="I164" s="197">
        <v>117.9</v>
      </c>
      <c r="J164" s="189">
        <v>2</v>
      </c>
      <c r="L164" s="198">
        <v>13943</v>
      </c>
      <c r="M164" s="197">
        <v>433.79999999999995</v>
      </c>
      <c r="N164" s="197">
        <f t="shared" si="4"/>
        <v>666.71147582697176</v>
      </c>
      <c r="O164" s="198">
        <v>5246</v>
      </c>
      <c r="P164" s="197">
        <v>811.2</v>
      </c>
      <c r="Q164" s="197">
        <f t="shared" si="2"/>
        <v>1246.741238337574</v>
      </c>
      <c r="R164" s="198">
        <v>9193</v>
      </c>
      <c r="S164" s="197">
        <v>176.1</v>
      </c>
      <c r="T164" s="197">
        <f t="shared" si="3"/>
        <v>270.64981764206948</v>
      </c>
    </row>
    <row r="165" spans="1:20" x14ac:dyDescent="0.2">
      <c r="A165" s="192">
        <v>3</v>
      </c>
      <c r="B165" s="192"/>
      <c r="C165" s="200">
        <f>+E165-E164</f>
        <v>143.45100000000002</v>
      </c>
      <c r="D165" s="192">
        <f>+G165-G164</f>
        <v>126.00599999999997</v>
      </c>
      <c r="E165" s="192">
        <v>446.108</v>
      </c>
      <c r="G165" s="192">
        <v>395.30599999999998</v>
      </c>
      <c r="I165" s="201">
        <v>117.3</v>
      </c>
      <c r="J165" s="189">
        <v>3</v>
      </c>
      <c r="L165" s="198">
        <v>13690</v>
      </c>
      <c r="M165" s="197">
        <v>496.59999999999991</v>
      </c>
      <c r="N165" s="197">
        <f t="shared" si="4"/>
        <v>767.13339869281015</v>
      </c>
      <c r="O165" s="198">
        <v>9450</v>
      </c>
      <c r="P165" s="197">
        <v>855.90000000000009</v>
      </c>
      <c r="Q165" s="197">
        <f t="shared" si="2"/>
        <v>1322.1697058823529</v>
      </c>
      <c r="R165" s="198">
        <v>10840</v>
      </c>
      <c r="S165" s="197">
        <v>167.10000000000002</v>
      </c>
      <c r="T165" s="197">
        <f t="shared" si="3"/>
        <v>258.13127450980392</v>
      </c>
    </row>
    <row r="166" spans="1:20" x14ac:dyDescent="0.2">
      <c r="A166" s="192">
        <v>4</v>
      </c>
      <c r="B166" s="192"/>
      <c r="C166" s="200">
        <f>+E166-E165</f>
        <v>148.56090999999998</v>
      </c>
      <c r="D166" s="192">
        <f>+G166-G165</f>
        <v>131.19532799999996</v>
      </c>
      <c r="E166" s="192">
        <v>594.66890999999998</v>
      </c>
      <c r="G166" s="192">
        <v>526.50132799999994</v>
      </c>
      <c r="I166" s="201">
        <v>119</v>
      </c>
      <c r="J166" s="189">
        <v>4</v>
      </c>
      <c r="L166" s="198">
        <v>16682</v>
      </c>
      <c r="M166" s="197">
        <v>525.60000000000014</v>
      </c>
      <c r="N166" s="197">
        <f t="shared" si="4"/>
        <v>800.33273949579836</v>
      </c>
      <c r="O166" s="198">
        <v>10233</v>
      </c>
      <c r="P166" s="197">
        <v>826</v>
      </c>
      <c r="Q166" s="197">
        <f t="shared" si="2"/>
        <v>1257.752745098039</v>
      </c>
      <c r="R166" s="198">
        <v>9520</v>
      </c>
      <c r="S166" s="197">
        <v>144.09999999999997</v>
      </c>
      <c r="T166" s="197">
        <f t="shared" si="3"/>
        <v>219.42151400560215</v>
      </c>
    </row>
    <row r="167" spans="1:20" x14ac:dyDescent="0.2">
      <c r="A167" s="192">
        <v>1</v>
      </c>
      <c r="B167" s="192">
        <v>2007</v>
      </c>
      <c r="C167" s="200">
        <f>+E167</f>
        <v>158.09976</v>
      </c>
      <c r="D167" s="192">
        <f>+G167</f>
        <v>141.08400800000001</v>
      </c>
      <c r="E167" s="192">
        <v>158.09976</v>
      </c>
      <c r="G167" s="192">
        <v>141.08400800000001</v>
      </c>
      <c r="I167" s="201">
        <v>117.5</v>
      </c>
      <c r="J167" s="189">
        <v>1</v>
      </c>
      <c r="K167" s="189">
        <v>2007</v>
      </c>
      <c r="L167" s="198">
        <v>18623</v>
      </c>
      <c r="M167" s="197">
        <v>649.6</v>
      </c>
      <c r="N167" s="197">
        <f t="shared" si="4"/>
        <v>1001.7753418439713</v>
      </c>
      <c r="O167" s="198">
        <v>7737</v>
      </c>
      <c r="P167" s="197">
        <v>1092.1999999999998</v>
      </c>
      <c r="Q167" s="197">
        <f t="shared" si="2"/>
        <v>1684.3273219858152</v>
      </c>
      <c r="R167" s="198">
        <v>8112</v>
      </c>
      <c r="S167" s="197">
        <v>167.4</v>
      </c>
      <c r="T167" s="197">
        <f t="shared" si="3"/>
        <v>258.15454468085102</v>
      </c>
    </row>
    <row r="168" spans="1:20" x14ac:dyDescent="0.2">
      <c r="A168" s="192">
        <v>2</v>
      </c>
      <c r="B168" s="192"/>
      <c r="C168" s="200">
        <f>+E168-E167</f>
        <v>161.61276000000004</v>
      </c>
      <c r="D168" s="192">
        <f>+G168-G167</f>
        <v>142.897008</v>
      </c>
      <c r="E168" s="192">
        <v>319.71252000000004</v>
      </c>
      <c r="G168" s="192">
        <v>283.98101600000001</v>
      </c>
      <c r="I168" s="201">
        <v>118.3</v>
      </c>
      <c r="J168" s="189">
        <v>2</v>
      </c>
      <c r="L168" s="198">
        <v>15831</v>
      </c>
      <c r="M168" s="197">
        <v>514.19999999999993</v>
      </c>
      <c r="N168" s="197">
        <f t="shared" si="4"/>
        <v>787.60690617075215</v>
      </c>
      <c r="O168" s="198">
        <v>5067</v>
      </c>
      <c r="P168" s="197">
        <v>1041.6999999999998</v>
      </c>
      <c r="Q168" s="197">
        <f t="shared" ref="Q168:Q189" si="5">P168/I168*$I$69</f>
        <v>1595.585597351366</v>
      </c>
      <c r="R168" s="198">
        <v>10608</v>
      </c>
      <c r="S168" s="197">
        <v>160.99999999999997</v>
      </c>
      <c r="T168" s="197">
        <f t="shared" ref="T168:T189" si="6">S168/I168*$I$69</f>
        <v>246.60581854043383</v>
      </c>
    </row>
    <row r="169" spans="1:20" x14ac:dyDescent="0.2">
      <c r="A169" s="192">
        <v>3</v>
      </c>
      <c r="B169" s="192"/>
      <c r="C169" s="200">
        <f>+E169-E168</f>
        <v>135.82058024999998</v>
      </c>
      <c r="D169" s="192">
        <f>+G169-G168</f>
        <v>119.75308425000003</v>
      </c>
      <c r="E169" s="192">
        <v>455.53310025000002</v>
      </c>
      <c r="G169" s="192">
        <v>403.73410025000004</v>
      </c>
      <c r="I169" s="201">
        <v>117.8</v>
      </c>
      <c r="J169" s="189">
        <v>3</v>
      </c>
      <c r="L169" s="198">
        <v>18428</v>
      </c>
      <c r="M169" s="197">
        <v>654.20000000000027</v>
      </c>
      <c r="N169" s="197">
        <f t="shared" si="4"/>
        <v>1006.2999179400116</v>
      </c>
      <c r="O169" s="198">
        <v>6417</v>
      </c>
      <c r="P169" s="197">
        <v>679.60000000000036</v>
      </c>
      <c r="Q169" s="197">
        <f t="shared" si="5"/>
        <v>1045.3705659309567</v>
      </c>
      <c r="R169" s="198">
        <v>10319</v>
      </c>
      <c r="S169" s="197">
        <v>152.89999999999998</v>
      </c>
      <c r="T169" s="197">
        <f t="shared" si="6"/>
        <v>235.19299518958678</v>
      </c>
    </row>
    <row r="170" spans="1:20" x14ac:dyDescent="0.2">
      <c r="A170" s="192">
        <v>4</v>
      </c>
      <c r="B170" s="192"/>
      <c r="C170" s="200">
        <f>+E170-E169</f>
        <v>149.79139924999998</v>
      </c>
      <c r="D170" s="192">
        <f>+G170-G169</f>
        <v>133.49839924999998</v>
      </c>
      <c r="E170" s="192">
        <v>605.3244995</v>
      </c>
      <c r="G170" s="192">
        <v>537.23249950000002</v>
      </c>
      <c r="I170" s="201">
        <v>120.8</v>
      </c>
      <c r="J170" s="189">
        <v>4</v>
      </c>
      <c r="L170" s="198">
        <v>15870</v>
      </c>
      <c r="M170" s="197">
        <v>567.19999999999959</v>
      </c>
      <c r="N170" s="197">
        <f t="shared" si="4"/>
        <v>850.80782560706325</v>
      </c>
      <c r="O170" s="198">
        <v>5114</v>
      </c>
      <c r="P170" s="197">
        <v>911.69999999999982</v>
      </c>
      <c r="Q170" s="197">
        <f t="shared" si="5"/>
        <v>1367.5625786423836</v>
      </c>
      <c r="R170" s="198">
        <v>8645</v>
      </c>
      <c r="S170" s="197">
        <v>142.80000000000007</v>
      </c>
      <c r="T170" s="197">
        <f t="shared" si="6"/>
        <v>214.20197019867555</v>
      </c>
    </row>
    <row r="171" spans="1:20" x14ac:dyDescent="0.2">
      <c r="A171" s="192">
        <v>1</v>
      </c>
      <c r="B171" s="192">
        <v>2008</v>
      </c>
      <c r="C171" s="200">
        <f>+E171</f>
        <v>164.64169099999998</v>
      </c>
      <c r="D171" s="192">
        <f>+G171</f>
        <v>148.61369099999999</v>
      </c>
      <c r="E171" s="192">
        <v>164.64169099999998</v>
      </c>
      <c r="G171" s="192">
        <v>148.61369099999999</v>
      </c>
      <c r="I171" s="201">
        <v>121.9</v>
      </c>
      <c r="J171" s="189">
        <v>1</v>
      </c>
      <c r="K171" s="189">
        <v>2008</v>
      </c>
      <c r="L171" s="198">
        <v>17004</v>
      </c>
      <c r="M171" s="197">
        <v>591.9</v>
      </c>
      <c r="N171" s="197">
        <f t="shared" si="4"/>
        <v>879.84632075471666</v>
      </c>
      <c r="O171" s="198">
        <v>6274</v>
      </c>
      <c r="P171" s="197">
        <v>963.6</v>
      </c>
      <c r="Q171" s="197">
        <f t="shared" si="5"/>
        <v>1432.3701886792451</v>
      </c>
      <c r="R171" s="198">
        <v>7939</v>
      </c>
      <c r="S171" s="197">
        <v>160.1</v>
      </c>
      <c r="T171" s="197">
        <f t="shared" si="6"/>
        <v>237.98512578616345</v>
      </c>
    </row>
    <row r="172" spans="1:20" x14ac:dyDescent="0.2">
      <c r="A172" s="192">
        <v>2</v>
      </c>
      <c r="B172" s="192"/>
      <c r="C172" s="200">
        <f>+E172-E171</f>
        <v>197.28657850000002</v>
      </c>
      <c r="D172" s="192">
        <f>+G172-G171</f>
        <v>175.71357850000001</v>
      </c>
      <c r="E172" s="192">
        <v>361.9282695</v>
      </c>
      <c r="G172" s="192">
        <v>324.3272695</v>
      </c>
      <c r="I172" s="201">
        <v>122</v>
      </c>
      <c r="J172" s="189">
        <v>2</v>
      </c>
      <c r="L172" s="198">
        <v>14987</v>
      </c>
      <c r="M172" s="197">
        <v>548.4</v>
      </c>
      <c r="N172" s="197">
        <f t="shared" ref="N172:N181" si="7">M172/I172*$I$69</f>
        <v>814.51634426229487</v>
      </c>
      <c r="O172" s="198">
        <v>5831</v>
      </c>
      <c r="P172" s="197">
        <v>1153.8000000000002</v>
      </c>
      <c r="Q172" s="197">
        <f t="shared" si="5"/>
        <v>1713.6924836065575</v>
      </c>
      <c r="R172" s="198">
        <v>10207</v>
      </c>
      <c r="S172" s="197">
        <v>188.4</v>
      </c>
      <c r="T172" s="197">
        <f t="shared" si="6"/>
        <v>279.8229016393442</v>
      </c>
    </row>
    <row r="173" spans="1:20" x14ac:dyDescent="0.2">
      <c r="A173" s="192">
        <v>3</v>
      </c>
      <c r="B173" s="192"/>
      <c r="C173" s="200">
        <f>+E173-E172</f>
        <v>159.71767174999997</v>
      </c>
      <c r="D173" s="192">
        <f>+G173-G172</f>
        <v>141.40667174999999</v>
      </c>
      <c r="E173" s="192">
        <v>521.64594124999996</v>
      </c>
      <c r="G173" s="192">
        <v>465.73394124999999</v>
      </c>
      <c r="I173" s="201">
        <v>123.1</v>
      </c>
      <c r="J173" s="189">
        <v>3</v>
      </c>
      <c r="L173" s="198">
        <v>19290</v>
      </c>
      <c r="M173" s="197">
        <v>722.70000000000027</v>
      </c>
      <c r="N173" s="197">
        <f t="shared" si="7"/>
        <v>1063.8053980503657</v>
      </c>
      <c r="O173" s="198">
        <v>12252</v>
      </c>
      <c r="P173" s="197">
        <v>1486.4999999999995</v>
      </c>
      <c r="Q173" s="197">
        <f t="shared" si="5"/>
        <v>2188.1094841592189</v>
      </c>
      <c r="R173" s="198">
        <v>11007</v>
      </c>
      <c r="S173" s="197">
        <v>186.29999999999995</v>
      </c>
      <c r="T173" s="197">
        <f t="shared" si="6"/>
        <v>274.23127944760347</v>
      </c>
    </row>
    <row r="174" spans="1:20" x14ac:dyDescent="0.2">
      <c r="A174" s="192">
        <v>4</v>
      </c>
      <c r="B174" s="192"/>
      <c r="C174" s="200">
        <f>+E174-E173</f>
        <v>170.05706974999998</v>
      </c>
      <c r="D174" s="192">
        <f>+G174-G173</f>
        <v>152.54014889999991</v>
      </c>
      <c r="E174" s="192">
        <v>691.70301099999995</v>
      </c>
      <c r="G174" s="192">
        <v>618.27409014999989</v>
      </c>
      <c r="I174" s="197">
        <v>124.7</v>
      </c>
      <c r="J174" s="189">
        <v>4</v>
      </c>
      <c r="L174" s="198">
        <v>16976</v>
      </c>
      <c r="M174" s="197">
        <v>703.10000000000014</v>
      </c>
      <c r="N174" s="197">
        <f t="shared" si="7"/>
        <v>1021.6751550387597</v>
      </c>
      <c r="O174" s="198">
        <v>7247</v>
      </c>
      <c r="P174" s="197">
        <v>1160</v>
      </c>
      <c r="Q174" s="197">
        <f t="shared" si="5"/>
        <v>1685.5968992248058</v>
      </c>
      <c r="R174" s="198">
        <v>10145</v>
      </c>
      <c r="S174" s="197">
        <v>269.60000000000014</v>
      </c>
      <c r="T174" s="197">
        <f t="shared" si="6"/>
        <v>391.7559689922482</v>
      </c>
    </row>
    <row r="175" spans="1:20" x14ac:dyDescent="0.2">
      <c r="A175" s="192">
        <v>1</v>
      </c>
      <c r="B175" s="192">
        <v>2009</v>
      </c>
      <c r="C175" s="200">
        <f>+E175</f>
        <v>191.37959499999999</v>
      </c>
      <c r="D175" s="192">
        <f>+G175</f>
        <v>172.55938714999999</v>
      </c>
      <c r="E175" s="192">
        <v>191.37959499999999</v>
      </c>
      <c r="G175" s="192">
        <v>172.55938714999999</v>
      </c>
      <c r="I175" s="197">
        <v>125</v>
      </c>
      <c r="J175" s="189">
        <v>1</v>
      </c>
      <c r="K175" s="189">
        <v>2009</v>
      </c>
      <c r="L175" s="198">
        <v>18865</v>
      </c>
      <c r="M175" s="197">
        <v>739.59999999999991</v>
      </c>
      <c r="N175" s="197">
        <f t="shared" si="7"/>
        <v>1072.1340213333331</v>
      </c>
      <c r="O175" s="198">
        <v>6194</v>
      </c>
      <c r="P175" s="197">
        <v>1049.9000000000001</v>
      </c>
      <c r="Q175" s="197">
        <f t="shared" si="5"/>
        <v>1521.9490386666664</v>
      </c>
      <c r="R175" s="198">
        <v>8619</v>
      </c>
      <c r="S175" s="197">
        <v>213.2</v>
      </c>
      <c r="T175" s="197">
        <f t="shared" si="6"/>
        <v>309.05756266666657</v>
      </c>
    </row>
    <row r="176" spans="1:20" x14ac:dyDescent="0.2">
      <c r="A176" s="192">
        <v>2</v>
      </c>
      <c r="B176" s="192"/>
      <c r="C176" s="200">
        <f>+E176-E175</f>
        <v>178.90604250000001</v>
      </c>
      <c r="D176" s="192">
        <f>+G176-G175</f>
        <v>160.765232725</v>
      </c>
      <c r="E176" s="192">
        <v>370.28563750000001</v>
      </c>
      <c r="G176" s="192">
        <v>333.324619875</v>
      </c>
      <c r="I176" s="197">
        <v>125.7</v>
      </c>
      <c r="J176" s="189">
        <v>2</v>
      </c>
      <c r="L176" s="198">
        <v>14610</v>
      </c>
      <c r="M176" s="197">
        <v>603.80000000000018</v>
      </c>
      <c r="N176" s="197">
        <f t="shared" si="7"/>
        <v>870.40227791036853</v>
      </c>
      <c r="O176" s="198">
        <v>5486</v>
      </c>
      <c r="P176" s="197">
        <v>1077.9000000000001</v>
      </c>
      <c r="Q176" s="197">
        <f t="shared" si="5"/>
        <v>1553.8367263325374</v>
      </c>
      <c r="R176" s="198">
        <v>11296</v>
      </c>
      <c r="S176" s="197">
        <v>235.3</v>
      </c>
      <c r="T176" s="197">
        <f t="shared" si="6"/>
        <v>339.19452797666395</v>
      </c>
    </row>
    <row r="177" spans="1:20" x14ac:dyDescent="0.2">
      <c r="A177" s="192">
        <v>3</v>
      </c>
      <c r="B177" s="192"/>
      <c r="C177" s="200">
        <f>+E177-E176</f>
        <v>160.23377500000004</v>
      </c>
      <c r="D177" s="192">
        <f>+G177-G176</f>
        <v>142.31202375000004</v>
      </c>
      <c r="E177" s="192">
        <v>530.51941250000004</v>
      </c>
      <c r="G177" s="192">
        <v>475.63664362500003</v>
      </c>
      <c r="I177" s="197">
        <v>125.4</v>
      </c>
      <c r="J177" s="189">
        <v>3</v>
      </c>
      <c r="L177" s="198">
        <v>19220</v>
      </c>
      <c r="M177" s="197">
        <v>795.69999999999982</v>
      </c>
      <c r="N177" s="197">
        <f t="shared" si="7"/>
        <v>1149.7780396065916</v>
      </c>
      <c r="O177" s="198">
        <v>13278</v>
      </c>
      <c r="P177" s="197">
        <v>1278.0999999999999</v>
      </c>
      <c r="Q177" s="197">
        <f t="shared" si="5"/>
        <v>1846.8409104199886</v>
      </c>
      <c r="R177" s="198">
        <v>11383</v>
      </c>
      <c r="S177" s="197">
        <v>231.79999999999995</v>
      </c>
      <c r="T177" s="197">
        <f t="shared" si="6"/>
        <v>334.94853535353519</v>
      </c>
    </row>
    <row r="178" spans="1:20" x14ac:dyDescent="0.2">
      <c r="A178" s="192">
        <v>4</v>
      </c>
      <c r="B178" s="192"/>
      <c r="C178" s="200">
        <f>+E178-E177</f>
        <v>179.8571388695641</v>
      </c>
      <c r="D178" s="192">
        <f>+G178-G177</f>
        <v>163.53199924456408</v>
      </c>
      <c r="E178" s="192">
        <v>710.37655136956414</v>
      </c>
      <c r="G178" s="192">
        <v>639.16864286956411</v>
      </c>
      <c r="I178" s="197">
        <v>126.6</v>
      </c>
      <c r="J178" s="189">
        <v>4</v>
      </c>
      <c r="L178" s="198">
        <v>16838</v>
      </c>
      <c r="M178" s="197">
        <v>759.30000000000018</v>
      </c>
      <c r="N178" s="197">
        <f t="shared" si="7"/>
        <v>1086.7806121642971</v>
      </c>
      <c r="O178" s="198">
        <v>6227</v>
      </c>
      <c r="P178" s="197">
        <v>1192.2000000000003</v>
      </c>
      <c r="Q178" s="197">
        <f t="shared" si="5"/>
        <v>1706.3872590837284</v>
      </c>
      <c r="R178" s="198">
        <v>10409</v>
      </c>
      <c r="S178" s="197">
        <v>276.40000000000009</v>
      </c>
      <c r="T178" s="197">
        <f t="shared" si="6"/>
        <v>395.6093259610322</v>
      </c>
    </row>
    <row r="179" spans="1:20" x14ac:dyDescent="0.2">
      <c r="A179" s="192">
        <v>1</v>
      </c>
      <c r="B179" s="192">
        <v>2010</v>
      </c>
      <c r="C179" s="200">
        <f>+E179</f>
        <v>204.63648875000001</v>
      </c>
      <c r="D179" s="192">
        <f>+G179</f>
        <v>186.506571025</v>
      </c>
      <c r="E179" s="192">
        <v>204.63648875000001</v>
      </c>
      <c r="G179" s="192">
        <v>186.506571025</v>
      </c>
      <c r="I179" s="197">
        <v>128.69999999999999</v>
      </c>
      <c r="J179" s="189">
        <v>1</v>
      </c>
      <c r="K179" s="189">
        <v>2010</v>
      </c>
      <c r="L179" s="198">
        <v>40484.70904761905</v>
      </c>
      <c r="M179" s="197">
        <v>1693.2251146266974</v>
      </c>
      <c r="N179" s="197">
        <f t="shared" si="7"/>
        <v>2383.9565875075</v>
      </c>
      <c r="O179" s="198">
        <v>6690</v>
      </c>
      <c r="P179" s="197">
        <v>1648.5</v>
      </c>
      <c r="Q179" s="197">
        <f t="shared" si="5"/>
        <v>2320.9863830613826</v>
      </c>
      <c r="R179" s="198">
        <v>7227</v>
      </c>
      <c r="S179" s="197">
        <v>243.10000000000002</v>
      </c>
      <c r="T179" s="197">
        <f t="shared" si="6"/>
        <v>342.26981481481482</v>
      </c>
    </row>
    <row r="180" spans="1:20" x14ac:dyDescent="0.2">
      <c r="A180" s="192">
        <v>2</v>
      </c>
      <c r="B180" s="192"/>
      <c r="C180" s="200">
        <f>+E180-E179</f>
        <v>188.95691625000001</v>
      </c>
      <c r="D180" s="192">
        <f>+G180-G179</f>
        <v>170.46253197500002</v>
      </c>
      <c r="E180" s="192">
        <v>393.59340500000002</v>
      </c>
      <c r="G180" s="192">
        <v>356.96910300000002</v>
      </c>
      <c r="I180" s="197">
        <v>128.9</v>
      </c>
      <c r="J180" s="189">
        <v>2</v>
      </c>
      <c r="L180" s="198">
        <v>20633.79583333333</v>
      </c>
      <c r="M180" s="197">
        <v>864.97098885712671</v>
      </c>
      <c r="N180" s="197">
        <f t="shared" si="7"/>
        <v>1215.9362668675415</v>
      </c>
      <c r="O180" s="198">
        <v>5716</v>
      </c>
      <c r="P180" s="197">
        <v>1381.6999999999998</v>
      </c>
      <c r="Q180" s="197">
        <f t="shared" si="5"/>
        <v>1942.3300452547187</v>
      </c>
      <c r="R180" s="198">
        <v>10696</v>
      </c>
      <c r="S180" s="197">
        <v>201.60000000000002</v>
      </c>
      <c r="T180" s="197">
        <f t="shared" si="6"/>
        <v>283.39996896819235</v>
      </c>
    </row>
    <row r="181" spans="1:20" x14ac:dyDescent="0.2">
      <c r="A181" s="192">
        <v>3</v>
      </c>
      <c r="B181" s="192"/>
      <c r="C181" s="200">
        <f>+E181-E180</f>
        <v>172.07737875000004</v>
      </c>
      <c r="D181" s="192">
        <f>+G181-G180</f>
        <v>154.15607493749997</v>
      </c>
      <c r="E181" s="192">
        <v>565.67078375000006</v>
      </c>
      <c r="G181" s="192">
        <v>511.12517793749998</v>
      </c>
      <c r="I181" s="197">
        <v>127.8</v>
      </c>
      <c r="J181" s="189">
        <v>3</v>
      </c>
      <c r="L181" s="198">
        <v>19149.335833333338</v>
      </c>
      <c r="M181" s="197">
        <v>861.71516601647909</v>
      </c>
      <c r="N181" s="197">
        <f t="shared" si="7"/>
        <v>1221.7857924423267</v>
      </c>
      <c r="O181" s="198">
        <v>9089</v>
      </c>
      <c r="P181" s="197">
        <v>1286.1999999999998</v>
      </c>
      <c r="Q181" s="197">
        <f t="shared" si="5"/>
        <v>1823.6430646844021</v>
      </c>
      <c r="R181" s="198">
        <v>11532</v>
      </c>
      <c r="S181" s="197">
        <v>200.69999999999993</v>
      </c>
      <c r="T181" s="197">
        <f t="shared" si="6"/>
        <v>284.56318075117355</v>
      </c>
    </row>
    <row r="182" spans="1:20" x14ac:dyDescent="0.2">
      <c r="A182" s="192">
        <v>4</v>
      </c>
      <c r="B182" s="192"/>
      <c r="C182" s="200">
        <f>+E182-E181</f>
        <v>192.96143124999992</v>
      </c>
      <c r="D182" s="192">
        <f>+G182-G181</f>
        <v>174.39946771249993</v>
      </c>
      <c r="E182" s="192">
        <v>758.63221499999997</v>
      </c>
      <c r="G182" s="192">
        <v>685.52464564999991</v>
      </c>
      <c r="I182" s="197">
        <v>129</v>
      </c>
      <c r="J182" s="189">
        <v>4</v>
      </c>
      <c r="L182" s="198">
        <v>22322.361666666664</v>
      </c>
      <c r="M182" s="197">
        <v>889.84894905372039</v>
      </c>
      <c r="N182" s="197">
        <f t="shared" ref="N182" si="8">M182/I182*$I$69</f>
        <v>1249.9388577528362</v>
      </c>
      <c r="O182" s="198">
        <v>5858</v>
      </c>
      <c r="P182" s="197">
        <v>1310.8000000000011</v>
      </c>
      <c r="Q182" s="197">
        <f t="shared" si="5"/>
        <v>1841.2336795865644</v>
      </c>
      <c r="R182" s="198">
        <v>9548</v>
      </c>
      <c r="S182" s="197">
        <v>205</v>
      </c>
      <c r="T182" s="197">
        <f t="shared" si="6"/>
        <v>287.95613695090429</v>
      </c>
    </row>
    <row r="183" spans="1:20" x14ac:dyDescent="0.2">
      <c r="A183" s="192">
        <v>1</v>
      </c>
      <c r="B183" s="192">
        <v>2011</v>
      </c>
      <c r="C183" s="200">
        <f>+E183</f>
        <v>204.00503875000001</v>
      </c>
      <c r="D183" s="192">
        <f>+G183</f>
        <v>184.8599929625</v>
      </c>
      <c r="E183" s="192">
        <v>204.00503875000001</v>
      </c>
      <c r="G183" s="192">
        <v>184.8599929625</v>
      </c>
      <c r="I183" s="197">
        <v>130.19999999999999</v>
      </c>
      <c r="J183" s="189">
        <v>1</v>
      </c>
      <c r="K183" s="189">
        <v>2011</v>
      </c>
      <c r="L183" s="198">
        <v>26141.662648809524</v>
      </c>
      <c r="M183" s="197">
        <v>1061.4209517567813</v>
      </c>
      <c r="N183" s="197">
        <f t="shared" ref="N183:N186" si="9">M183/I183*$I$69</f>
        <v>1477.1985060925372</v>
      </c>
      <c r="O183" s="198">
        <v>5959</v>
      </c>
      <c r="P183" s="197">
        <v>1698.7</v>
      </c>
      <c r="Q183" s="197">
        <f t="shared" si="5"/>
        <v>2364.1111456733229</v>
      </c>
      <c r="R183" s="198">
        <v>6732</v>
      </c>
      <c r="S183" s="197">
        <v>156.5</v>
      </c>
      <c r="T183" s="197">
        <f t="shared" si="6"/>
        <v>217.80384664618532</v>
      </c>
    </row>
    <row r="184" spans="1:20" x14ac:dyDescent="0.2">
      <c r="A184" s="192">
        <v>2</v>
      </c>
      <c r="B184" s="192"/>
      <c r="C184" s="200">
        <f>+E184-E183</f>
        <v>188.74104374999999</v>
      </c>
      <c r="D184" s="192">
        <f>+G184-G183</f>
        <v>171.33320521249996</v>
      </c>
      <c r="E184" s="189">
        <v>392.7460825</v>
      </c>
      <c r="G184" s="189">
        <v>356.19319817499996</v>
      </c>
      <c r="I184" s="197">
        <v>131</v>
      </c>
      <c r="J184" s="189">
        <v>2</v>
      </c>
      <c r="L184" s="206">
        <v>18851.951101190472</v>
      </c>
      <c r="M184" s="207">
        <v>776.58308820124375</v>
      </c>
      <c r="N184" s="197">
        <f t="shared" si="9"/>
        <v>1074.1843502840636</v>
      </c>
      <c r="O184" s="198">
        <v>7524</v>
      </c>
      <c r="P184" s="197">
        <v>1533.4000000000003</v>
      </c>
      <c r="Q184" s="197">
        <f t="shared" si="5"/>
        <v>2121.0277531806614</v>
      </c>
      <c r="R184" s="198">
        <v>10017</v>
      </c>
      <c r="S184" s="197">
        <v>197.79999999999995</v>
      </c>
      <c r="T184" s="197">
        <f t="shared" si="6"/>
        <v>273.60068447837136</v>
      </c>
    </row>
    <row r="185" spans="1:20" x14ac:dyDescent="0.2">
      <c r="A185" s="192">
        <v>3</v>
      </c>
      <c r="C185" s="200">
        <f>+E185-E184</f>
        <v>169.93391749999995</v>
      </c>
      <c r="D185" s="192">
        <f>+G185-G184</f>
        <v>151.69380182500004</v>
      </c>
      <c r="E185" s="189">
        <v>562.67999999999995</v>
      </c>
      <c r="G185" s="189">
        <v>507.887</v>
      </c>
      <c r="I185" s="197">
        <v>129.4</v>
      </c>
      <c r="J185" s="189">
        <v>3</v>
      </c>
      <c r="L185" s="206">
        <v>24107.386250000007</v>
      </c>
      <c r="M185" s="207">
        <v>914.64669811090494</v>
      </c>
      <c r="N185" s="197">
        <f t="shared" si="9"/>
        <v>1280.7998926496093</v>
      </c>
      <c r="O185" s="198">
        <v>10171</v>
      </c>
      <c r="P185" s="197">
        <v>1285.3999999999996</v>
      </c>
      <c r="Q185" s="197">
        <f t="shared" si="5"/>
        <v>1799.9738974755271</v>
      </c>
      <c r="R185" s="198">
        <v>10339</v>
      </c>
      <c r="S185" s="197">
        <v>167.29999999999995</v>
      </c>
      <c r="T185" s="197">
        <f t="shared" si="6"/>
        <v>234.2738704276145</v>
      </c>
    </row>
    <row r="186" spans="1:20" x14ac:dyDescent="0.2">
      <c r="A186" s="189">
        <v>4</v>
      </c>
      <c r="C186" s="200">
        <f>+E186-E185</f>
        <v>202.17554500000006</v>
      </c>
      <c r="D186" s="192">
        <f>+G186-G185</f>
        <v>178.91908595000001</v>
      </c>
      <c r="E186" s="189">
        <v>764.85554500000001</v>
      </c>
      <c r="G186" s="189">
        <v>686.80608595000001</v>
      </c>
      <c r="I186" s="189">
        <v>130.5</v>
      </c>
      <c r="J186" s="189">
        <v>4</v>
      </c>
      <c r="L186" s="206">
        <v>18022.572976190484</v>
      </c>
      <c r="M186" s="197">
        <v>777.38419736292576</v>
      </c>
      <c r="N186" s="197">
        <f t="shared" si="9"/>
        <v>1079.4123540420771</v>
      </c>
      <c r="O186" s="206">
        <v>8775.7956028314002</v>
      </c>
      <c r="P186" s="197">
        <v>1286.8626975018997</v>
      </c>
      <c r="Q186" s="197">
        <f t="shared" si="5"/>
        <v>1786.8326862720819</v>
      </c>
      <c r="R186" s="206">
        <v>9645.4866500746648</v>
      </c>
      <c r="S186" s="197">
        <v>181.103452008619</v>
      </c>
      <c r="T186" s="197">
        <f t="shared" si="6"/>
        <v>251.46549688159723</v>
      </c>
    </row>
    <row r="187" spans="1:20" x14ac:dyDescent="0.2">
      <c r="A187" s="189">
        <v>1</v>
      </c>
      <c r="B187" s="189">
        <v>2012</v>
      </c>
      <c r="C187" s="200">
        <f>+E187</f>
        <v>195.82938625</v>
      </c>
      <c r="D187" s="192">
        <f>+G187</f>
        <v>177.0717714875</v>
      </c>
      <c r="E187" s="189">
        <v>195.82938625</v>
      </c>
      <c r="G187" s="189">
        <v>177.0717714875</v>
      </c>
      <c r="I187" s="189">
        <v>131.69999999999999</v>
      </c>
      <c r="J187" s="189">
        <v>1</v>
      </c>
      <c r="K187" s="189">
        <v>2012</v>
      </c>
      <c r="L187" s="206">
        <v>18517.39324404762</v>
      </c>
      <c r="M187" s="197">
        <v>869.15461769403078</v>
      </c>
      <c r="N187" s="197">
        <f t="shared" ref="N187:N193" si="10">M187/I187*$I$69</f>
        <v>1195.8410426513883</v>
      </c>
      <c r="O187" s="198">
        <v>6822.44890070785</v>
      </c>
      <c r="P187" s="197">
        <v>1150.314057295883</v>
      </c>
      <c r="Q187" s="197">
        <f t="shared" si="5"/>
        <v>1582.6790005475282</v>
      </c>
      <c r="R187" s="198">
        <v>7564.3716625186662</v>
      </c>
      <c r="S187" s="197">
        <v>175.73767321176348</v>
      </c>
      <c r="T187" s="197">
        <f t="shared" si="6"/>
        <v>241.79164223305662</v>
      </c>
    </row>
    <row r="188" spans="1:20" x14ac:dyDescent="0.2">
      <c r="A188" s="189">
        <v>2</v>
      </c>
      <c r="C188" s="200">
        <f>+E188-E187</f>
        <v>182.75061374999999</v>
      </c>
      <c r="D188" s="192">
        <f>+G188-G187</f>
        <v>165.12822851249999</v>
      </c>
      <c r="E188" s="208">
        <v>378.58</v>
      </c>
      <c r="G188" s="208">
        <v>342.2</v>
      </c>
      <c r="I188" s="189">
        <v>131.69999999999999</v>
      </c>
      <c r="J188" s="189">
        <v>2</v>
      </c>
      <c r="L188" s="206">
        <v>14087.60675595238</v>
      </c>
      <c r="M188" s="197">
        <v>635.43152402028181</v>
      </c>
      <c r="N188" s="197">
        <f t="shared" si="10"/>
        <v>874.26918151112443</v>
      </c>
      <c r="O188" s="198">
        <v>4838.55109929215</v>
      </c>
      <c r="P188" s="197">
        <v>1037.7970664905204</v>
      </c>
      <c r="Q188" s="197">
        <f t="shared" si="5"/>
        <v>1427.8706006823063</v>
      </c>
      <c r="R188" s="198">
        <v>10002.628337481334</v>
      </c>
      <c r="S188" s="197">
        <v>184.20744441885319</v>
      </c>
      <c r="T188" s="197">
        <f t="shared" si="6"/>
        <v>253.44491982614699</v>
      </c>
    </row>
    <row r="189" spans="1:20" x14ac:dyDescent="0.2">
      <c r="A189" s="192">
        <v>3</v>
      </c>
      <c r="C189" s="200">
        <f>+E189-E188</f>
        <v>165.72960875000007</v>
      </c>
      <c r="D189" s="192">
        <f>+G189-G188</f>
        <v>148.24155396250001</v>
      </c>
      <c r="E189" s="189">
        <v>544.30960875000005</v>
      </c>
      <c r="G189" s="189">
        <v>490.4415539625</v>
      </c>
      <c r="I189" s="189">
        <v>130</v>
      </c>
      <c r="J189" s="189">
        <v>3</v>
      </c>
      <c r="L189" s="209">
        <v>20999.460714285713</v>
      </c>
      <c r="M189" s="210">
        <v>864.77367174435972</v>
      </c>
      <c r="N189" s="197">
        <f t="shared" si="10"/>
        <v>1205.3725431502373</v>
      </c>
      <c r="O189" s="209">
        <v>6828.0536397386386</v>
      </c>
      <c r="P189" s="210">
        <v>1132.0609213635664</v>
      </c>
      <c r="Q189" s="197">
        <f t="shared" si="5"/>
        <v>1577.9332747636959</v>
      </c>
      <c r="R189" s="209">
        <v>10877.781177428844</v>
      </c>
      <c r="S189" s="210">
        <v>190.02859425457928</v>
      </c>
      <c r="T189" s="197">
        <f t="shared" si="6"/>
        <v>264.87306148656546</v>
      </c>
    </row>
    <row r="190" spans="1:20" x14ac:dyDescent="0.2">
      <c r="A190" s="192">
        <v>4</v>
      </c>
      <c r="C190" s="200">
        <f>+E190-E189</f>
        <v>166.80539124999996</v>
      </c>
      <c r="D190" s="192">
        <f>+G190-G189</f>
        <v>151.72844603749996</v>
      </c>
      <c r="E190" s="189">
        <v>711.11500000000001</v>
      </c>
      <c r="G190" s="189">
        <v>642.16999999999996</v>
      </c>
      <c r="I190" s="189">
        <v>132</v>
      </c>
      <c r="J190" s="189">
        <v>4</v>
      </c>
      <c r="L190" s="209">
        <v>17946.539285714287</v>
      </c>
      <c r="M190" s="210">
        <v>826.79347775776318</v>
      </c>
      <c r="N190" s="197">
        <f t="shared" si="10"/>
        <v>1134.9723951426988</v>
      </c>
      <c r="O190" s="209">
        <v>5621.9463602613596</v>
      </c>
      <c r="P190" s="210">
        <v>1071.0118577206574</v>
      </c>
      <c r="Q190" s="197">
        <f t="shared" ref="Q190:Q234" si="11">P190/I190*$I$69</f>
        <v>1470.2207093844388</v>
      </c>
      <c r="R190" s="209">
        <v>8525.2188225711561</v>
      </c>
      <c r="S190" s="210">
        <v>190.41732478586363</v>
      </c>
      <c r="T190" s="197">
        <f t="shared" ref="T190:T234" si="12">S190/I190*$I$69</f>
        <v>261.39345919247313</v>
      </c>
    </row>
    <row r="191" spans="1:20" x14ac:dyDescent="0.2">
      <c r="A191" s="189">
        <v>1</v>
      </c>
      <c r="B191" s="189">
        <v>2013</v>
      </c>
      <c r="C191" s="200">
        <f>+E191</f>
        <v>199.180995</v>
      </c>
      <c r="D191" s="192">
        <f>+G191</f>
        <v>183.65288545000001</v>
      </c>
      <c r="E191" s="189">
        <v>199.180995</v>
      </c>
      <c r="G191" s="189">
        <v>183.65288545000001</v>
      </c>
      <c r="I191" s="189">
        <v>133</v>
      </c>
      <c r="J191" s="189">
        <v>1</v>
      </c>
      <c r="K191" s="189">
        <f>B191</f>
        <v>2013</v>
      </c>
      <c r="L191" s="209">
        <v>21974.571815476189</v>
      </c>
      <c r="M191" s="210">
        <v>1023.0812127444322</v>
      </c>
      <c r="N191" s="197">
        <f t="shared" si="10"/>
        <v>1393.8648186815462</v>
      </c>
      <c r="O191" s="209">
        <v>5520.4451678348678</v>
      </c>
      <c r="P191" s="210">
        <v>1148.1840804128565</v>
      </c>
      <c r="Q191" s="197">
        <f t="shared" si="11"/>
        <v>1564.3072857965683</v>
      </c>
      <c r="R191" s="209">
        <v>5958.3970505452735</v>
      </c>
      <c r="S191" s="210">
        <v>167.84779905693762</v>
      </c>
      <c r="T191" s="197">
        <f t="shared" si="12"/>
        <v>228.67895440187107</v>
      </c>
    </row>
    <row r="192" spans="1:20" x14ac:dyDescent="0.2">
      <c r="A192" s="189">
        <v>2</v>
      </c>
      <c r="C192" s="200">
        <f>+E192-E191</f>
        <v>205.01500500000003</v>
      </c>
      <c r="D192" s="192">
        <f>+G192-G191</f>
        <v>185.63411454999996</v>
      </c>
      <c r="E192" s="189">
        <v>404.19600000000003</v>
      </c>
      <c r="G192" s="189">
        <v>369.28699999999998</v>
      </c>
      <c r="I192" s="189">
        <v>134.30000000000001</v>
      </c>
      <c r="J192" s="189">
        <v>2</v>
      </c>
      <c r="L192" s="209">
        <v>23960.428184523811</v>
      </c>
      <c r="M192" s="210">
        <v>1011.581560458749</v>
      </c>
      <c r="N192" s="197">
        <f t="shared" si="10"/>
        <v>1364.8567738227305</v>
      </c>
      <c r="O192" s="209">
        <v>6388.5548321651322</v>
      </c>
      <c r="P192" s="210">
        <v>1133.7065185307133</v>
      </c>
      <c r="Q192" s="197">
        <f t="shared" si="11"/>
        <v>1529.6315016279182</v>
      </c>
      <c r="R192" s="209">
        <v>10154.602949454726</v>
      </c>
      <c r="S192" s="210">
        <v>176.1673175310234</v>
      </c>
      <c r="T192" s="197">
        <f t="shared" si="12"/>
        <v>237.69033171122348</v>
      </c>
    </row>
    <row r="193" spans="1:20" x14ac:dyDescent="0.2">
      <c r="A193" s="189">
        <v>3</v>
      </c>
      <c r="C193" s="200">
        <f>+E193-E192</f>
        <v>172.04383408071794</v>
      </c>
      <c r="D193" s="192">
        <f>+G193-G192</f>
        <v>153.21019910313902</v>
      </c>
      <c r="E193" s="189">
        <v>576.23983408071797</v>
      </c>
      <c r="G193" s="189">
        <v>522.497199103139</v>
      </c>
      <c r="I193" s="189">
        <v>134.19999999999999</v>
      </c>
      <c r="J193" s="189">
        <v>3</v>
      </c>
      <c r="L193" s="209">
        <v>18388.581422924897</v>
      </c>
      <c r="M193" s="210">
        <v>735.52528494140915</v>
      </c>
      <c r="N193" s="197">
        <f t="shared" si="10"/>
        <v>993.13269379178996</v>
      </c>
      <c r="O193" s="209">
        <v>11492.955434782609</v>
      </c>
      <c r="P193" s="210">
        <v>1323.3889549928699</v>
      </c>
      <c r="Q193" s="197">
        <f t="shared" si="11"/>
        <v>1786.8873643291081</v>
      </c>
      <c r="R193" s="209">
        <v>11786.02326086957</v>
      </c>
      <c r="S193" s="210">
        <v>172.41802435151402</v>
      </c>
      <c r="T193" s="197">
        <f t="shared" si="12"/>
        <v>232.80501770393636</v>
      </c>
    </row>
    <row r="194" spans="1:20" x14ac:dyDescent="0.2">
      <c r="A194" s="192">
        <v>4</v>
      </c>
      <c r="C194" s="200">
        <f>+E194-E193</f>
        <v>204.099832585949</v>
      </c>
      <c r="D194" s="192">
        <f>+G194-G193</f>
        <v>188.07946756352794</v>
      </c>
      <c r="E194" s="189">
        <v>780.33966666666697</v>
      </c>
      <c r="G194" s="189">
        <v>710.57666666666694</v>
      </c>
      <c r="I194" s="189">
        <v>135.30000000000001</v>
      </c>
      <c r="J194" s="189">
        <v>4</v>
      </c>
      <c r="L194" s="209">
        <v>18420.418577075106</v>
      </c>
      <c r="M194" s="209">
        <v>895.71090498583999</v>
      </c>
      <c r="N194" s="197">
        <f>M194/I194*$I$69</f>
        <v>1199.5883875457685</v>
      </c>
      <c r="O194" s="209">
        <v>7745.0445652173912</v>
      </c>
      <c r="P194" s="209">
        <v>1212.6630411771803</v>
      </c>
      <c r="Q194" s="197">
        <f t="shared" si="11"/>
        <v>1624.0692103944837</v>
      </c>
      <c r="R194" s="209">
        <v>11621.97673913043</v>
      </c>
      <c r="S194" s="209">
        <v>180.100371437175</v>
      </c>
      <c r="T194" s="197">
        <f t="shared" si="12"/>
        <v>241.20094214118129</v>
      </c>
    </row>
    <row r="195" spans="1:20" x14ac:dyDescent="0.2">
      <c r="A195" s="192">
        <v>1</v>
      </c>
      <c r="B195" s="189">
        <v>2014</v>
      </c>
      <c r="C195" s="200">
        <f>E195</f>
        <v>196.17699999999999</v>
      </c>
      <c r="D195" s="192">
        <f>G195</f>
        <v>179.55199999999999</v>
      </c>
      <c r="E195" s="189">
        <v>196.17699999999999</v>
      </c>
      <c r="G195" s="189">
        <v>179.55199999999999</v>
      </c>
      <c r="I195" s="189">
        <v>135.80000000000001</v>
      </c>
      <c r="J195" s="189">
        <f>A195</f>
        <v>1</v>
      </c>
      <c r="K195" s="189">
        <f>B195</f>
        <v>2014</v>
      </c>
      <c r="L195" s="209">
        <v>19713</v>
      </c>
      <c r="M195" s="209">
        <v>886.67647724495987</v>
      </c>
      <c r="N195" s="197">
        <f>M195/I195*$I$69</f>
        <v>1183.1167560450326</v>
      </c>
      <c r="O195" s="209">
        <v>7032</v>
      </c>
      <c r="P195" s="209">
        <v>1484.9150299297401</v>
      </c>
      <c r="Q195" s="197">
        <f t="shared" ref="Q195" si="13">P195/I195*$I$69</f>
        <v>1981.3628739444187</v>
      </c>
      <c r="R195" s="209">
        <v>8004</v>
      </c>
      <c r="S195" s="209">
        <v>165.16263465729782</v>
      </c>
      <c r="T195" s="197">
        <f t="shared" ref="T195" si="14">S195/I195*$I$69</f>
        <v>220.38103586863119</v>
      </c>
    </row>
    <row r="196" spans="1:20" x14ac:dyDescent="0.2">
      <c r="A196" s="189">
        <v>2</v>
      </c>
      <c r="C196" s="200">
        <f>+E196-E195</f>
        <v>197.965</v>
      </c>
      <c r="D196" s="192">
        <f>+G196-G195</f>
        <v>179.76700000000002</v>
      </c>
      <c r="E196" s="189">
        <v>394.142</v>
      </c>
      <c r="G196" s="189">
        <v>359.31900000000002</v>
      </c>
      <c r="I196" s="189">
        <v>136.69999999999999</v>
      </c>
      <c r="J196" s="189">
        <v>2</v>
      </c>
      <c r="L196" s="209">
        <v>16691</v>
      </c>
      <c r="M196" s="209">
        <v>732.96206934555016</v>
      </c>
      <c r="N196" s="197">
        <f t="shared" ref="N196:N234" si="15">M196/I196*$I$69</f>
        <v>971.57241089145998</v>
      </c>
      <c r="O196" s="209">
        <v>6228</v>
      </c>
      <c r="P196" s="209">
        <v>1158.7677611998799</v>
      </c>
      <c r="Q196" s="197">
        <f t="shared" si="11"/>
        <v>1535.9959737309453</v>
      </c>
      <c r="R196" s="209">
        <v>11579</v>
      </c>
      <c r="S196" s="209">
        <v>167.32102845142202</v>
      </c>
      <c r="T196" s="197">
        <f t="shared" si="12"/>
        <v>221.79114282208059</v>
      </c>
    </row>
    <row r="197" spans="1:20" x14ac:dyDescent="0.2">
      <c r="A197" s="189">
        <v>3</v>
      </c>
      <c r="C197" s="200">
        <f>+E197-E196</f>
        <v>192.10452006852</v>
      </c>
      <c r="D197" s="192">
        <f>+G197-G196</f>
        <v>173.47352006851992</v>
      </c>
      <c r="E197" s="189">
        <v>586.24652006852</v>
      </c>
      <c r="G197" s="189">
        <v>532.79252006851993</v>
      </c>
      <c r="I197" s="189">
        <v>137</v>
      </c>
      <c r="J197" s="189">
        <v>3</v>
      </c>
      <c r="L197" s="209">
        <v>21817</v>
      </c>
      <c r="M197" s="209">
        <v>1080.59231996894</v>
      </c>
      <c r="N197" s="197">
        <f t="shared" si="15"/>
        <v>1429.2345209165828</v>
      </c>
      <c r="O197" s="209">
        <v>20407</v>
      </c>
      <c r="P197" s="209">
        <v>1259.8740491119995</v>
      </c>
      <c r="Q197" s="197">
        <f t="shared" si="11"/>
        <v>1666.3596897020154</v>
      </c>
      <c r="R197" s="209">
        <v>11684</v>
      </c>
      <c r="S197" s="209">
        <v>177.03184293206914</v>
      </c>
      <c r="T197" s="197">
        <f t="shared" si="12"/>
        <v>234.14937950629545</v>
      </c>
    </row>
    <row r="198" spans="1:20" x14ac:dyDescent="0.2">
      <c r="A198" s="189">
        <v>4</v>
      </c>
      <c r="C198" s="200">
        <f>+E198-E197</f>
        <v>196.808833167682</v>
      </c>
      <c r="D198" s="192">
        <f>+G198-G197</f>
        <v>184.73883316768206</v>
      </c>
      <c r="E198" s="189">
        <v>783.055353236202</v>
      </c>
      <c r="G198" s="189">
        <v>717.53135323620199</v>
      </c>
      <c r="I198" s="189">
        <v>137.9</v>
      </c>
      <c r="J198" s="189">
        <v>4</v>
      </c>
      <c r="L198" s="209">
        <v>20183</v>
      </c>
      <c r="M198" s="209">
        <v>869.67426416194962</v>
      </c>
      <c r="N198" s="197">
        <f t="shared" si="15"/>
        <v>1142.7587101033514</v>
      </c>
      <c r="O198" s="209">
        <v>12863</v>
      </c>
      <c r="P198" s="209">
        <v>1106.850761909501</v>
      </c>
      <c r="Q198" s="197">
        <f t="shared" si="11"/>
        <v>1454.4104627213296</v>
      </c>
      <c r="R198" s="209">
        <v>9690</v>
      </c>
      <c r="S198" s="209">
        <v>175.42101671448501</v>
      </c>
      <c r="T198" s="197">
        <f t="shared" si="12"/>
        <v>230.50457285733043</v>
      </c>
    </row>
    <row r="199" spans="1:20" x14ac:dyDescent="0.2">
      <c r="A199" s="189">
        <v>1</v>
      </c>
      <c r="B199" s="189">
        <v>2015</v>
      </c>
      <c r="C199" s="200">
        <f>E199</f>
        <v>219.418599054541</v>
      </c>
      <c r="D199" s="192">
        <f>G199</f>
        <v>202.59159905454101</v>
      </c>
      <c r="E199" s="189">
        <v>219.418599054541</v>
      </c>
      <c r="G199" s="189">
        <v>202.59159905454101</v>
      </c>
      <c r="I199" s="189">
        <v>138.4</v>
      </c>
      <c r="J199" s="189">
        <v>1</v>
      </c>
      <c r="K199" s="189">
        <v>2015</v>
      </c>
      <c r="L199" s="209">
        <v>19630</v>
      </c>
      <c r="M199" s="209">
        <v>957.60520650282388</v>
      </c>
      <c r="N199" s="197">
        <f t="shared" si="15"/>
        <v>1253.7547646458754</v>
      </c>
      <c r="O199" s="209">
        <v>9848</v>
      </c>
      <c r="P199" s="209">
        <v>1279.8360091262539</v>
      </c>
      <c r="Q199" s="197">
        <f t="shared" si="11"/>
        <v>1675.6388577578928</v>
      </c>
      <c r="R199" s="209">
        <v>7135</v>
      </c>
      <c r="S199" s="209">
        <v>155.36971992416409</v>
      </c>
      <c r="T199" s="197">
        <f t="shared" si="12"/>
        <v>203.41945231063391</v>
      </c>
    </row>
    <row r="200" spans="1:20" x14ac:dyDescent="0.2">
      <c r="A200" s="189">
        <v>2</v>
      </c>
      <c r="C200" s="200">
        <f>+E200-E199</f>
        <v>188.69592411436798</v>
      </c>
      <c r="D200" s="192">
        <f>+G200-G199</f>
        <v>171.45081948058601</v>
      </c>
      <c r="E200" s="189">
        <v>408.11452316890899</v>
      </c>
      <c r="G200" s="189">
        <v>374.04241853512701</v>
      </c>
      <c r="I200" s="189">
        <v>139.6</v>
      </c>
      <c r="J200" s="189">
        <v>2</v>
      </c>
      <c r="L200" s="209">
        <v>15703.949675889351</v>
      </c>
      <c r="M200" s="209">
        <v>739.71582874915612</v>
      </c>
      <c r="N200" s="197">
        <f t="shared" si="15"/>
        <v>960.15573803052746</v>
      </c>
      <c r="O200" s="209">
        <v>5422.7168724637304</v>
      </c>
      <c r="P200" s="209">
        <v>1206.7408437095464</v>
      </c>
      <c r="Q200" s="197">
        <f t="shared" si="11"/>
        <v>1566.3571068403246</v>
      </c>
      <c r="R200" s="209">
        <v>9988.3050621118018</v>
      </c>
      <c r="S200" s="209">
        <v>168.85276765034422</v>
      </c>
      <c r="T200" s="197">
        <f t="shared" si="12"/>
        <v>219.17194068425346</v>
      </c>
    </row>
    <row r="201" spans="1:20" x14ac:dyDescent="0.2">
      <c r="A201" s="189">
        <v>3</v>
      </c>
      <c r="C201" s="200">
        <f>+E201-E200</f>
        <v>180.38826158445403</v>
      </c>
      <c r="D201" s="192">
        <f>+G201-G200</f>
        <v>162.29720926756397</v>
      </c>
      <c r="E201" s="189">
        <v>588.50278475336302</v>
      </c>
      <c r="G201" s="189">
        <v>536.33962780269098</v>
      </c>
      <c r="I201" s="189">
        <v>139.69999999999999</v>
      </c>
      <c r="J201" s="189">
        <v>3</v>
      </c>
      <c r="L201" s="209">
        <v>22728.974837944646</v>
      </c>
      <c r="M201" s="209">
        <v>979.87465749478997</v>
      </c>
      <c r="N201" s="197">
        <f t="shared" si="15"/>
        <v>1270.972949624088</v>
      </c>
      <c r="O201" s="209">
        <v>8619.8584362319707</v>
      </c>
      <c r="P201" s="209">
        <v>1341.1049733657396</v>
      </c>
      <c r="Q201" s="197">
        <f t="shared" si="11"/>
        <v>1739.5165092972627</v>
      </c>
      <c r="R201" s="209">
        <v>10649.652531055901</v>
      </c>
      <c r="S201" s="209">
        <v>131.16322330640469</v>
      </c>
      <c r="T201" s="197">
        <f t="shared" si="12"/>
        <v>170.1288093664474</v>
      </c>
    </row>
    <row r="202" spans="1:20" x14ac:dyDescent="0.2">
      <c r="A202" s="189">
        <v>4</v>
      </c>
      <c r="C202" s="200">
        <f>+E202-E201</f>
        <v>195.22963867497901</v>
      </c>
      <c r="D202" s="192">
        <f>+G202-G201</f>
        <v>179.89113138755602</v>
      </c>
      <c r="E202" s="189">
        <v>783.73242342834203</v>
      </c>
      <c r="G202" s="189">
        <v>716.230759190247</v>
      </c>
      <c r="I202" s="189">
        <v>141.69999999999999</v>
      </c>
      <c r="J202" s="189">
        <v>4</v>
      </c>
      <c r="L202" s="209">
        <v>17661.404213438705</v>
      </c>
      <c r="M202" s="209">
        <v>882.4718984768997</v>
      </c>
      <c r="N202" s="197">
        <f t="shared" si="15"/>
        <v>1128.4783259739709</v>
      </c>
      <c r="O202" s="209">
        <v>7193.856491304301</v>
      </c>
      <c r="P202" s="209">
        <v>1425.3376484527203</v>
      </c>
      <c r="Q202" s="197">
        <f t="shared" si="11"/>
        <v>1822.678598887652</v>
      </c>
      <c r="R202" s="209">
        <v>9159.825978260902</v>
      </c>
      <c r="S202" s="209">
        <v>158.55842389179503</v>
      </c>
      <c r="T202" s="197">
        <f t="shared" si="12"/>
        <v>202.75970835026871</v>
      </c>
    </row>
    <row r="203" spans="1:20" x14ac:dyDescent="0.2">
      <c r="A203" s="189">
        <v>1</v>
      </c>
      <c r="B203" s="189">
        <v>2016</v>
      </c>
      <c r="C203" s="200">
        <f>E203</f>
        <v>217.297581707322</v>
      </c>
      <c r="D203" s="192">
        <f>G203</f>
        <v>201.19677375494101</v>
      </c>
      <c r="E203" s="189">
        <v>217.297581707322</v>
      </c>
      <c r="G203" s="189">
        <v>201.19677375494101</v>
      </c>
      <c r="I203" s="189">
        <v>142.69999999999999</v>
      </c>
      <c r="J203" s="189">
        <v>1</v>
      </c>
      <c r="K203" s="189">
        <v>2016</v>
      </c>
      <c r="L203" s="209">
        <v>20668.165818181998</v>
      </c>
      <c r="M203" s="209">
        <v>1021.6300324660001</v>
      </c>
      <c r="N203" s="197">
        <f t="shared" si="15"/>
        <v>1297.2744540964259</v>
      </c>
      <c r="O203" s="209">
        <v>6682.5362000000005</v>
      </c>
      <c r="P203" s="209">
        <v>1267.176908724</v>
      </c>
      <c r="Q203" s="197">
        <f t="shared" si="11"/>
        <v>1609.0719539054189</v>
      </c>
      <c r="R203" s="209">
        <v>6340.7358571430004</v>
      </c>
      <c r="S203" s="209">
        <v>128.592957756</v>
      </c>
      <c r="T203" s="197">
        <f t="shared" si="12"/>
        <v>163.28842513653439</v>
      </c>
    </row>
    <row r="204" spans="1:20" x14ac:dyDescent="0.2">
      <c r="A204" s="189">
        <v>2</v>
      </c>
      <c r="C204" s="200">
        <f>+E204-E203</f>
        <v>210.94903078835901</v>
      </c>
      <c r="D204" s="192">
        <f>+G204-G203</f>
        <v>192.89311593057502</v>
      </c>
      <c r="E204" s="189">
        <v>428.24661249568101</v>
      </c>
      <c r="G204" s="189">
        <v>394.08988968551603</v>
      </c>
      <c r="I204" s="189">
        <v>144.30000000000001</v>
      </c>
      <c r="J204" s="189">
        <v>2</v>
      </c>
      <c r="L204" s="209">
        <v>19039.287573122998</v>
      </c>
      <c r="M204" s="209">
        <v>795.20392340999979</v>
      </c>
      <c r="N204" s="197">
        <f t="shared" si="15"/>
        <v>998.56047305449943</v>
      </c>
      <c r="O204" s="209">
        <v>5385.3991579709982</v>
      </c>
      <c r="P204" s="209">
        <v>991.5183596400002</v>
      </c>
      <c r="Q204" s="197">
        <f t="shared" si="11"/>
        <v>1245.0781656089216</v>
      </c>
      <c r="R204" s="209">
        <v>10107.700518632999</v>
      </c>
      <c r="S204" s="209">
        <v>152.61472035099999</v>
      </c>
      <c r="T204" s="197">
        <f t="shared" si="12"/>
        <v>191.64270052299682</v>
      </c>
    </row>
    <row r="205" spans="1:20" x14ac:dyDescent="0.2">
      <c r="A205" s="189">
        <v>3</v>
      </c>
      <c r="C205" s="200">
        <f>+E205-E204</f>
        <v>193.64755294266695</v>
      </c>
      <c r="D205" s="192">
        <f>+G205-G204</f>
        <v>175.641874720337</v>
      </c>
      <c r="E205" s="189">
        <v>621.89416543834795</v>
      </c>
      <c r="G205" s="189">
        <v>569.73176440585303</v>
      </c>
      <c r="I205" s="189">
        <v>145.30000000000001</v>
      </c>
      <c r="J205" s="189">
        <v>3</v>
      </c>
      <c r="L205" s="209">
        <v>25325.005330874006</v>
      </c>
      <c r="M205" s="209">
        <v>1404.3111468839998</v>
      </c>
      <c r="N205" s="197">
        <f t="shared" si="15"/>
        <v>1751.2974558427998</v>
      </c>
      <c r="O205" s="209">
        <v>9666.7747891530034</v>
      </c>
      <c r="P205" s="209">
        <v>1492.4533452979995</v>
      </c>
      <c r="Q205" s="197">
        <f t="shared" si="11"/>
        <v>1861.2184004834107</v>
      </c>
      <c r="R205" s="209">
        <v>10325.156290487997</v>
      </c>
      <c r="S205" s="209">
        <v>149.15188867200001</v>
      </c>
      <c r="T205" s="197">
        <f t="shared" si="12"/>
        <v>186.00530498174476</v>
      </c>
    </row>
    <row r="206" spans="1:20" x14ac:dyDescent="0.2">
      <c r="A206" s="189">
        <v>4</v>
      </c>
      <c r="C206" s="200">
        <f>+E206-E205</f>
        <v>194.66297676649504</v>
      </c>
      <c r="D206" s="192">
        <f>+G206-G205</f>
        <v>178.45454935802093</v>
      </c>
      <c r="E206" s="189">
        <v>816.55714220484299</v>
      </c>
      <c r="G206" s="189">
        <v>748.18631376387395</v>
      </c>
      <c r="I206" s="189">
        <v>146.69999999999999</v>
      </c>
      <c r="J206" s="189">
        <v>4</v>
      </c>
      <c r="L206" s="209">
        <v>18369.446222722992</v>
      </c>
      <c r="M206" s="209">
        <v>962.00640138500057</v>
      </c>
      <c r="N206" s="197">
        <f t="shared" si="15"/>
        <v>1188.2560550440653</v>
      </c>
      <c r="O206" s="209">
        <v>6575.4640743699983</v>
      </c>
      <c r="P206" s="209">
        <v>1222.1149542560006</v>
      </c>
      <c r="Q206" s="197">
        <f t="shared" si="11"/>
        <v>1509.5382860902821</v>
      </c>
      <c r="R206" s="209">
        <v>7957.0224983410008</v>
      </c>
      <c r="S206" s="209">
        <v>147.86469469900001</v>
      </c>
      <c r="T206" s="197">
        <f t="shared" si="12"/>
        <v>182.64028030413519</v>
      </c>
    </row>
    <row r="207" spans="1:20" x14ac:dyDescent="0.2">
      <c r="A207" s="189">
        <v>1</v>
      </c>
      <c r="B207" s="189">
        <v>2017</v>
      </c>
      <c r="C207" s="200">
        <f>E207</f>
        <v>227.02914608932699</v>
      </c>
      <c r="D207" s="192">
        <f>G207</f>
        <v>210.737716871462</v>
      </c>
      <c r="E207" s="189">
        <v>227.02914608932699</v>
      </c>
      <c r="G207" s="189">
        <v>210.737716871462</v>
      </c>
      <c r="I207" s="189">
        <v>146.4</v>
      </c>
      <c r="J207" s="189">
        <v>1</v>
      </c>
      <c r="K207" s="189">
        <v>2017</v>
      </c>
      <c r="L207" s="209">
        <v>20188.970584052</v>
      </c>
      <c r="M207" s="209">
        <v>1029.1484993670001</v>
      </c>
      <c r="N207" s="197">
        <f t="shared" si="15"/>
        <v>1273.7938752240391</v>
      </c>
      <c r="O207" s="209">
        <v>7124.2571060979999</v>
      </c>
      <c r="P207" s="209">
        <v>1296.4468783369998</v>
      </c>
      <c r="Q207" s="197">
        <f t="shared" si="11"/>
        <v>1604.6334364717318</v>
      </c>
      <c r="R207" s="209">
        <v>6121.3819215860003</v>
      </c>
      <c r="S207" s="209">
        <v>141.149656131</v>
      </c>
      <c r="T207" s="197">
        <f t="shared" si="12"/>
        <v>174.70323046696774</v>
      </c>
    </row>
    <row r="208" spans="1:20" x14ac:dyDescent="0.2">
      <c r="A208" s="189">
        <v>2</v>
      </c>
      <c r="C208" s="200">
        <f>+E208-E207</f>
        <v>200.76722202181199</v>
      </c>
      <c r="D208" s="192">
        <f>+G208-G207</f>
        <v>183.70797761744905</v>
      </c>
      <c r="E208" s="189">
        <v>427.79636811113897</v>
      </c>
      <c r="G208" s="189">
        <v>394.44569448891104</v>
      </c>
      <c r="I208" s="189">
        <v>147.4</v>
      </c>
      <c r="J208" s="189">
        <v>2</v>
      </c>
      <c r="L208" s="209">
        <v>16357.538075795001</v>
      </c>
      <c r="M208" s="209">
        <v>768.50776898899994</v>
      </c>
      <c r="N208" s="197">
        <f t="shared" si="15"/>
        <v>944.74144224618999</v>
      </c>
      <c r="O208" s="209">
        <v>5007.3623026510004</v>
      </c>
      <c r="P208" s="209">
        <v>1681.8190342150001</v>
      </c>
      <c r="Q208" s="197">
        <f t="shared" si="11"/>
        <v>2067.4926189381385</v>
      </c>
      <c r="R208" s="209">
        <v>7194.9193664359991</v>
      </c>
      <c r="S208" s="209">
        <v>119.946167266</v>
      </c>
      <c r="T208" s="197">
        <f t="shared" si="12"/>
        <v>147.45213988383969</v>
      </c>
    </row>
    <row r="209" spans="1:20" x14ac:dyDescent="0.2">
      <c r="A209" s="189">
        <v>3</v>
      </c>
      <c r="C209" s="200">
        <f>+E209-E208</f>
        <v>195.05863188886104</v>
      </c>
      <c r="D209" s="192">
        <f>+G209-G208</f>
        <v>176.76630551108894</v>
      </c>
      <c r="E209" s="189">
        <v>622.85500000000002</v>
      </c>
      <c r="G209" s="189">
        <v>571.21199999999999</v>
      </c>
      <c r="I209" s="189">
        <v>147.30000000000001</v>
      </c>
      <c r="J209" s="189">
        <v>3</v>
      </c>
      <c r="L209" s="209">
        <v>19399</v>
      </c>
      <c r="M209" s="209">
        <v>907</v>
      </c>
      <c r="N209" s="197">
        <f t="shared" si="15"/>
        <v>1115.74957003847</v>
      </c>
      <c r="O209" s="209">
        <v>8892</v>
      </c>
      <c r="P209" s="209">
        <v>954</v>
      </c>
      <c r="Q209" s="197">
        <f t="shared" si="11"/>
        <v>1173.5668024439915</v>
      </c>
      <c r="R209" s="209">
        <v>8727</v>
      </c>
      <c r="S209" s="209">
        <v>128</v>
      </c>
      <c r="T209" s="197">
        <f t="shared" si="12"/>
        <v>157.45969676397368</v>
      </c>
    </row>
    <row r="210" spans="1:20" x14ac:dyDescent="0.2">
      <c r="A210" s="189">
        <v>4</v>
      </c>
      <c r="C210" s="200">
        <f>+E210-E209</f>
        <v>225.423</v>
      </c>
      <c r="D210" s="192">
        <f>+G210-G209</f>
        <v>208.21799999999996</v>
      </c>
      <c r="E210" s="189">
        <v>848.27800000000002</v>
      </c>
      <c r="G210" s="189">
        <v>779.43</v>
      </c>
      <c r="I210" s="189">
        <v>148.4</v>
      </c>
      <c r="J210" s="189">
        <v>4</v>
      </c>
      <c r="L210" s="209">
        <v>23333</v>
      </c>
      <c r="M210" s="209">
        <v>1141</v>
      </c>
      <c r="N210" s="197">
        <f t="shared" si="15"/>
        <v>1393.2014937106915</v>
      </c>
      <c r="O210" s="209">
        <v>6366</v>
      </c>
      <c r="P210" s="209">
        <v>1205</v>
      </c>
      <c r="Q210" s="197">
        <f t="shared" si="11"/>
        <v>1471.3477650494156</v>
      </c>
      <c r="R210" s="209">
        <v>7520</v>
      </c>
      <c r="S210" s="209">
        <v>124</v>
      </c>
      <c r="T210" s="197">
        <f t="shared" si="12"/>
        <v>151.40840071877804</v>
      </c>
    </row>
    <row r="211" spans="1:20" x14ac:dyDescent="0.2">
      <c r="A211" s="189">
        <v>1</v>
      </c>
      <c r="B211" s="189">
        <v>2018</v>
      </c>
      <c r="C211" s="200">
        <f>E211</f>
        <v>241.52799999999999</v>
      </c>
      <c r="D211" s="200">
        <f>G211</f>
        <v>222.678</v>
      </c>
      <c r="E211" s="189">
        <v>241.52799999999999</v>
      </c>
      <c r="G211" s="189">
        <v>222.678</v>
      </c>
      <c r="I211" s="189">
        <v>149.69999999999999</v>
      </c>
      <c r="J211" s="189">
        <v>1</v>
      </c>
      <c r="K211" s="189">
        <v>2018</v>
      </c>
      <c r="L211" s="209">
        <v>25111</v>
      </c>
      <c r="M211" s="209">
        <v>1175</v>
      </c>
      <c r="N211" s="197">
        <f t="shared" si="15"/>
        <v>1422.2575706969492</v>
      </c>
      <c r="O211" s="209">
        <v>6317</v>
      </c>
      <c r="P211" s="209">
        <v>1262</v>
      </c>
      <c r="Q211" s="197">
        <f t="shared" si="11"/>
        <v>1527.5651525272767</v>
      </c>
      <c r="R211" s="209">
        <v>5433</v>
      </c>
      <c r="S211" s="209">
        <v>116</v>
      </c>
      <c r="T211" s="197">
        <f t="shared" si="12"/>
        <v>140.41010910710307</v>
      </c>
    </row>
    <row r="212" spans="1:20" x14ac:dyDescent="0.2">
      <c r="A212" s="189">
        <v>2</v>
      </c>
      <c r="C212" s="200">
        <f>+E212-E211</f>
        <v>226.77080239162902</v>
      </c>
      <c r="D212" s="200">
        <f>+G212-G211</f>
        <v>208.83864191330298</v>
      </c>
      <c r="E212" s="189">
        <v>468.29880239162901</v>
      </c>
      <c r="G212" s="189">
        <v>431.51664191330298</v>
      </c>
      <c r="I212" s="189">
        <v>150.80000000000001</v>
      </c>
      <c r="J212" s="189">
        <v>2</v>
      </c>
      <c r="L212" s="209">
        <v>20973.437462450995</v>
      </c>
      <c r="M212" s="209">
        <v>1076.7915513600001</v>
      </c>
      <c r="N212" s="197">
        <f t="shared" si="15"/>
        <v>1293.8754891181536</v>
      </c>
      <c r="O212" s="209">
        <v>5869.5992710140017</v>
      </c>
      <c r="P212" s="209">
        <v>1471.9660798479999</v>
      </c>
      <c r="Q212" s="197">
        <f t="shared" si="11"/>
        <v>1768.7182158173557</v>
      </c>
      <c r="R212" s="209">
        <v>9319.6839472049996</v>
      </c>
      <c r="S212" s="209">
        <v>135.61776245999999</v>
      </c>
      <c r="T212" s="197">
        <f t="shared" si="12"/>
        <v>162.95865110978841</v>
      </c>
    </row>
    <row r="213" spans="1:20" x14ac:dyDescent="0.2">
      <c r="A213" s="189">
        <v>3</v>
      </c>
      <c r="C213" s="200">
        <f>+E213-E212</f>
        <v>230.04425590433516</v>
      </c>
      <c r="D213" s="200">
        <f>+G213-G212</f>
        <v>207.39460472346803</v>
      </c>
      <c r="E213" s="189">
        <v>698.34305829596417</v>
      </c>
      <c r="G213" s="189">
        <v>638.91124663677101</v>
      </c>
      <c r="I213" s="189">
        <v>152.30000000000001</v>
      </c>
      <c r="J213" s="189">
        <v>3</v>
      </c>
      <c r="L213" s="209">
        <v>22635.655438734771</v>
      </c>
      <c r="M213" s="209">
        <v>1212.1884087902995</v>
      </c>
      <c r="N213" s="197">
        <f t="shared" si="15"/>
        <v>1442.222980872074</v>
      </c>
      <c r="O213" s="209">
        <v>10333.380031159912</v>
      </c>
      <c r="P213" s="209">
        <v>1822.4517080118057</v>
      </c>
      <c r="Q213" s="197">
        <f t="shared" si="11"/>
        <v>2168.2947269287752</v>
      </c>
      <c r="R213" s="209">
        <v>9726.2967189440697</v>
      </c>
      <c r="S213" s="209">
        <v>150.27129325880639</v>
      </c>
      <c r="T213" s="197">
        <f t="shared" si="12"/>
        <v>178.78797630105805</v>
      </c>
    </row>
    <row r="214" spans="1:20" x14ac:dyDescent="0.2">
      <c r="A214" s="189">
        <v>4</v>
      </c>
      <c r="C214" s="200">
        <f>+E214-E213</f>
        <v>212.66674917787782</v>
      </c>
      <c r="D214" s="200">
        <f>+G214-G213</f>
        <v>195.66619934230232</v>
      </c>
      <c r="E214" s="189">
        <v>911.00980747384199</v>
      </c>
      <c r="G214" s="189">
        <v>834.57744597907333</v>
      </c>
      <c r="I214" s="189">
        <v>153.6</v>
      </c>
      <c r="J214" s="189">
        <v>4</v>
      </c>
      <c r="L214" s="209">
        <v>22335.438371541502</v>
      </c>
      <c r="M214" s="209">
        <v>1078.6341079945755</v>
      </c>
      <c r="N214" s="197">
        <f t="shared" si="15"/>
        <v>1272.4628782039738</v>
      </c>
      <c r="O214" s="209">
        <v>7362.2217963768126</v>
      </c>
      <c r="P214" s="209">
        <v>1452.0805351783911</v>
      </c>
      <c r="Q214" s="197">
        <f t="shared" si="11"/>
        <v>1713.0170124254539</v>
      </c>
      <c r="R214" s="209">
        <v>8182.2589673913026</v>
      </c>
      <c r="S214" s="209">
        <v>116.53210966099653</v>
      </c>
      <c r="T214" s="197">
        <f t="shared" si="12"/>
        <v>137.47273757002171</v>
      </c>
    </row>
    <row r="215" spans="1:20" x14ac:dyDescent="0.2">
      <c r="A215" s="189">
        <v>1</v>
      </c>
      <c r="B215" s="189">
        <v>2019</v>
      </c>
      <c r="C215" s="200">
        <f>E215</f>
        <v>242.05576995515696</v>
      </c>
      <c r="D215" s="200">
        <f>G215</f>
        <v>223.58363596412556</v>
      </c>
      <c r="E215" s="189">
        <v>242.05576995515696</v>
      </c>
      <c r="G215" s="189">
        <v>223.58363596412556</v>
      </c>
      <c r="I215" s="189">
        <v>154.1</v>
      </c>
      <c r="J215" s="189">
        <v>1</v>
      </c>
      <c r="K215" s="189">
        <v>2019</v>
      </c>
      <c r="L215" s="209">
        <v>22394.924612648225</v>
      </c>
      <c r="M215" s="209">
        <v>1151.1138601930163</v>
      </c>
      <c r="N215" s="197">
        <f t="shared" si="15"/>
        <v>1353.5609992866634</v>
      </c>
      <c r="O215" s="209">
        <v>6179.0660115942028</v>
      </c>
      <c r="P215" s="209">
        <v>1384.5030606846908</v>
      </c>
      <c r="Q215" s="197">
        <f t="shared" si="11"/>
        <v>1627.9965094170479</v>
      </c>
      <c r="R215" s="209">
        <v>6840.1016739130437</v>
      </c>
      <c r="S215" s="209">
        <v>122.43916062391185</v>
      </c>
      <c r="T215" s="197">
        <f t="shared" si="12"/>
        <v>143.97261499234605</v>
      </c>
    </row>
    <row r="216" spans="1:20" x14ac:dyDescent="0.2">
      <c r="A216" s="189">
        <v>2</v>
      </c>
      <c r="C216" s="200">
        <f>+E216-E215</f>
        <v>221.71122705530604</v>
      </c>
      <c r="D216" s="200">
        <f>+G216-G215</f>
        <v>199.97176164424542</v>
      </c>
      <c r="E216" s="189">
        <v>463.766997010463</v>
      </c>
      <c r="G216" s="189">
        <v>423.55539760837098</v>
      </c>
      <c r="I216" s="189">
        <v>154.6</v>
      </c>
      <c r="J216" s="189">
        <v>2</v>
      </c>
      <c r="L216" s="209">
        <v>19703.243703557309</v>
      </c>
      <c r="M216" s="209">
        <v>1006.9446819648526</v>
      </c>
      <c r="N216" s="197">
        <f t="shared" si="15"/>
        <v>1180.2073390243718</v>
      </c>
      <c r="O216" s="209">
        <v>8628.701004347824</v>
      </c>
      <c r="P216" s="209">
        <v>1346.7424148398591</v>
      </c>
      <c r="Q216" s="197">
        <f t="shared" si="11"/>
        <v>1578.4732868025474</v>
      </c>
      <c r="R216" s="209">
        <v>10227.612341614906</v>
      </c>
      <c r="S216" s="209">
        <v>141.53554504088498</v>
      </c>
      <c r="T216" s="197">
        <f t="shared" si="12"/>
        <v>165.88924097013859</v>
      </c>
    </row>
    <row r="217" spans="1:20" x14ac:dyDescent="0.2">
      <c r="A217" s="189">
        <v>3</v>
      </c>
      <c r="C217" s="200">
        <f>+E217-E216</f>
        <v>200.66800298953694</v>
      </c>
      <c r="D217" s="200">
        <f>+G217-G216</f>
        <v>183.517602391629</v>
      </c>
      <c r="E217" s="189">
        <v>664.43499999999995</v>
      </c>
      <c r="G217" s="189">
        <v>607.07299999999998</v>
      </c>
      <c r="I217" s="189">
        <v>154.69999999999999</v>
      </c>
      <c r="J217" s="189">
        <v>3</v>
      </c>
      <c r="L217" s="209">
        <v>26165.077849802379</v>
      </c>
      <c r="M217" s="209">
        <v>1402.3482904344257</v>
      </c>
      <c r="N217" s="197">
        <f t="shared" si="15"/>
        <v>1642.5846636966296</v>
      </c>
      <c r="O217" s="209">
        <v>13748.462299275363</v>
      </c>
      <c r="P217" s="209">
        <v>1484.9789315777889</v>
      </c>
      <c r="Q217" s="197">
        <f t="shared" si="11"/>
        <v>1739.3707651375646</v>
      </c>
      <c r="R217" s="209">
        <v>10507.793672360251</v>
      </c>
      <c r="S217" s="209">
        <v>144.78676128055025</v>
      </c>
      <c r="T217" s="197">
        <f t="shared" si="12"/>
        <v>169.59019040274404</v>
      </c>
    </row>
    <row r="218" spans="1:20" x14ac:dyDescent="0.2">
      <c r="A218" s="189">
        <v>4</v>
      </c>
      <c r="C218" s="200">
        <f>+E218-E217</f>
        <v>216.91973572496272</v>
      </c>
      <c r="D218" s="200">
        <f>+G218-G217</f>
        <v>199.72038857997018</v>
      </c>
      <c r="E218" s="189">
        <v>881.35473572496267</v>
      </c>
      <c r="G218" s="189">
        <v>806.79338857997016</v>
      </c>
      <c r="I218" s="189">
        <v>156.1</v>
      </c>
      <c r="J218" s="189">
        <v>4</v>
      </c>
      <c r="L218" s="209">
        <v>22621.988837944664</v>
      </c>
      <c r="M218" s="209">
        <v>1317.7971704198299</v>
      </c>
      <c r="N218" s="197">
        <f t="shared" si="15"/>
        <v>1529.7055964682286</v>
      </c>
      <c r="O218" s="209">
        <v>7776.9221253623255</v>
      </c>
      <c r="P218" s="209">
        <v>1227.7391162265512</v>
      </c>
      <c r="Q218" s="197">
        <f t="shared" si="11"/>
        <v>1425.1657533126931</v>
      </c>
      <c r="R218" s="209">
        <v>9597.5708897515542</v>
      </c>
      <c r="S218" s="209">
        <v>133.20019148427383</v>
      </c>
      <c r="T218" s="197">
        <f t="shared" si="12"/>
        <v>154.61945353792154</v>
      </c>
    </row>
    <row r="219" spans="1:20" x14ac:dyDescent="0.2">
      <c r="A219" s="189">
        <v>1</v>
      </c>
      <c r="B219" s="189">
        <v>2020</v>
      </c>
      <c r="C219" s="200">
        <f>E219</f>
        <v>245.16278393124065</v>
      </c>
      <c r="D219" s="200">
        <f>G219</f>
        <v>227.94719714499254</v>
      </c>
      <c r="E219" s="189">
        <v>245.16278393124065</v>
      </c>
      <c r="G219" s="189">
        <v>227.94719714499254</v>
      </c>
      <c r="I219" s="189">
        <v>155.52000000000001</v>
      </c>
      <c r="J219" s="189">
        <v>1</v>
      </c>
      <c r="K219" s="189">
        <v>2020</v>
      </c>
      <c r="L219" s="209">
        <v>22417.308750988144</v>
      </c>
      <c r="M219" s="209">
        <v>1187.0066434405767</v>
      </c>
      <c r="N219" s="197">
        <f t="shared" si="15"/>
        <v>1383.022004474268</v>
      </c>
      <c r="O219" s="209">
        <v>7817.2878601449283</v>
      </c>
      <c r="P219" s="209">
        <v>1773.3957103534681</v>
      </c>
      <c r="Q219" s="197">
        <f t="shared" si="11"/>
        <v>2066.2439453161364</v>
      </c>
      <c r="R219" s="209">
        <v>8173.2696444099374</v>
      </c>
      <c r="S219" s="209">
        <v>145.83786039029874</v>
      </c>
      <c r="T219" s="197">
        <f t="shared" si="12"/>
        <v>169.92067493456003</v>
      </c>
    </row>
    <row r="220" spans="1:20" x14ac:dyDescent="0.2">
      <c r="A220" s="189">
        <v>2</v>
      </c>
      <c r="C220" s="200">
        <f>+E220-E219</f>
        <v>219.4338294469357</v>
      </c>
      <c r="D220" s="200">
        <f>+G220-G219</f>
        <v>199.23928355754859</v>
      </c>
      <c r="E220" s="208">
        <v>464.59661337817636</v>
      </c>
      <c r="G220" s="189">
        <v>427.18648070254113</v>
      </c>
      <c r="I220" s="189">
        <v>156.5</v>
      </c>
      <c r="J220" s="189">
        <v>2</v>
      </c>
      <c r="L220" s="209">
        <v>20318.697663474304</v>
      </c>
      <c r="M220" s="209">
        <v>1003.3659178621033</v>
      </c>
      <c r="N220" s="197">
        <f t="shared" si="15"/>
        <v>1161.7353136942036</v>
      </c>
      <c r="O220" s="209">
        <v>6698.4276256020294</v>
      </c>
      <c r="P220" s="209">
        <v>1195.3385633418739</v>
      </c>
      <c r="Q220" s="197">
        <f t="shared" si="11"/>
        <v>1384.008561715568</v>
      </c>
      <c r="R220" s="209">
        <v>9378.7613872911825</v>
      </c>
      <c r="S220" s="209">
        <v>125.6048434375343</v>
      </c>
      <c r="T220" s="197">
        <f t="shared" si="12"/>
        <v>145.43007650023603</v>
      </c>
    </row>
    <row r="221" spans="1:20" x14ac:dyDescent="0.2">
      <c r="A221" s="189">
        <v>3</v>
      </c>
      <c r="C221" s="200">
        <f>+E221-E220</f>
        <v>230.4091689088192</v>
      </c>
      <c r="D221" s="200">
        <f>+G221-G220</f>
        <v>212.03913512705532</v>
      </c>
      <c r="E221" s="208">
        <v>695.00578228699555</v>
      </c>
      <c r="G221" s="189">
        <v>639.22561582959645</v>
      </c>
      <c r="I221" s="189">
        <v>157.34</v>
      </c>
      <c r="J221" s="189">
        <v>3</v>
      </c>
      <c r="L221" s="209">
        <v>23115.129949173919</v>
      </c>
      <c r="M221" s="209">
        <v>1190.2908927373355</v>
      </c>
      <c r="N221" s="197">
        <f t="shared" si="15"/>
        <v>1370.8064928318274</v>
      </c>
      <c r="O221" s="209">
        <v>9381.5569490356484</v>
      </c>
      <c r="P221" s="209">
        <v>1044.8337260564822</v>
      </c>
      <c r="Q221" s="197">
        <f t="shared" si="11"/>
        <v>1203.2897708845683</v>
      </c>
      <c r="R221" s="209">
        <v>12479.986334758509</v>
      </c>
      <c r="S221" s="209">
        <v>159.02277544572789</v>
      </c>
      <c r="T221" s="197">
        <f t="shared" si="12"/>
        <v>183.13964629925613</v>
      </c>
    </row>
    <row r="222" spans="1:20" x14ac:dyDescent="0.2">
      <c r="A222" s="189">
        <v>4</v>
      </c>
      <c r="C222" s="200">
        <f>+E222-E221</f>
        <v>210.53825269058302</v>
      </c>
      <c r="D222" s="200">
        <f>+G222-G221</f>
        <v>195.42257215246639</v>
      </c>
      <c r="E222" s="208">
        <v>905.54403497757858</v>
      </c>
      <c r="G222" s="189">
        <v>834.64818798206284</v>
      </c>
      <c r="I222" s="189">
        <v>156.08000000000001</v>
      </c>
      <c r="J222" s="189">
        <v>4</v>
      </c>
      <c r="L222" s="209">
        <v>24544.608407612643</v>
      </c>
      <c r="M222" s="209">
        <v>1241.5801516088959</v>
      </c>
      <c r="N222" s="197">
        <f t="shared" si="15"/>
        <v>1441.4171756265027</v>
      </c>
      <c r="O222" s="209">
        <v>8299.8127776884066</v>
      </c>
      <c r="P222" s="209">
        <v>1192.0542375158043</v>
      </c>
      <c r="Q222" s="197">
        <f t="shared" si="11"/>
        <v>1383.9198782350475</v>
      </c>
      <c r="R222" s="209">
        <v>9374.137683010551</v>
      </c>
      <c r="S222" s="209">
        <v>112.80928620726445</v>
      </c>
      <c r="T222" s="197">
        <f t="shared" si="12"/>
        <v>130.96636773599005</v>
      </c>
    </row>
    <row r="223" spans="1:20" x14ac:dyDescent="0.2">
      <c r="A223" s="189">
        <v>1</v>
      </c>
      <c r="B223" s="189">
        <v>2021</v>
      </c>
      <c r="C223" s="200">
        <f>E223</f>
        <v>246.03664372197312</v>
      </c>
      <c r="D223" s="200">
        <f>G223</f>
        <v>229.48208497757849</v>
      </c>
      <c r="E223" s="208">
        <v>246.03664372197312</v>
      </c>
      <c r="G223" s="189">
        <v>229.48208497757849</v>
      </c>
      <c r="I223" s="189">
        <v>155.52000000000001</v>
      </c>
      <c r="J223" s="189">
        <v>1</v>
      </c>
      <c r="K223" s="189">
        <v>2021</v>
      </c>
      <c r="L223" s="209">
        <v>34994.274094861663</v>
      </c>
      <c r="M223" s="209">
        <v>1823.5241188431366</v>
      </c>
      <c r="N223" s="197">
        <f t="shared" si="15"/>
        <v>2124.6502671118892</v>
      </c>
      <c r="O223" s="209">
        <v>8185.2405021739132</v>
      </c>
      <c r="P223" s="209">
        <v>1464.197591740502</v>
      </c>
      <c r="Q223" s="197">
        <f t="shared" si="11"/>
        <v>1705.9866509304172</v>
      </c>
      <c r="R223" s="209">
        <v>6121.5967593167707</v>
      </c>
      <c r="S223" s="209">
        <v>112.87324166947003</v>
      </c>
      <c r="T223" s="197">
        <f t="shared" si="12"/>
        <v>131.5124711456881</v>
      </c>
    </row>
    <row r="224" spans="1:20" x14ac:dyDescent="0.2">
      <c r="A224" s="189">
        <v>2</v>
      </c>
      <c r="C224" s="200">
        <f>+E224-E223</f>
        <v>241.94121614349774</v>
      </c>
      <c r="D224" s="200">
        <f>+G224-G223</f>
        <v>221.09553291479824</v>
      </c>
      <c r="E224" s="208">
        <v>487.97785986547086</v>
      </c>
      <c r="G224" s="189">
        <v>450.57761789237674</v>
      </c>
      <c r="I224" s="189">
        <v>160.69999999999999</v>
      </c>
      <c r="J224" s="189">
        <v>2</v>
      </c>
      <c r="L224" s="209">
        <v>20425.734197628459</v>
      </c>
      <c r="M224" s="209">
        <v>1061.5540769322004</v>
      </c>
      <c r="N224" s="197">
        <f t="shared" si="15"/>
        <v>1196.9842439135628</v>
      </c>
      <c r="O224" s="209">
        <v>6967.5044210144924</v>
      </c>
      <c r="P224" s="209">
        <v>1472.113681221721</v>
      </c>
      <c r="Q224" s="197">
        <f t="shared" si="11"/>
        <v>1659.9219201006711</v>
      </c>
      <c r="R224" s="209">
        <v>8820.4369021739112</v>
      </c>
      <c r="S224" s="209">
        <v>115.80617621183073</v>
      </c>
      <c r="T224" s="197">
        <f t="shared" si="12"/>
        <v>130.58041157359932</v>
      </c>
    </row>
    <row r="225" spans="1:20" x14ac:dyDescent="0.2">
      <c r="A225" s="189">
        <v>3</v>
      </c>
      <c r="C225" s="200">
        <f>+E225-E224</f>
        <v>223.16246838565024</v>
      </c>
      <c r="D225" s="200">
        <f>+G225-G224</f>
        <v>200.9504247085203</v>
      </c>
      <c r="E225" s="208">
        <v>711.1403282511211</v>
      </c>
      <c r="G225" s="189">
        <v>651.52804260089704</v>
      </c>
      <c r="I225" s="189">
        <v>162.66</v>
      </c>
      <c r="J225" s="189">
        <v>3</v>
      </c>
      <c r="L225" s="209">
        <v>24805.341992094851</v>
      </c>
      <c r="M225" s="209">
        <v>1156.0227184873836</v>
      </c>
      <c r="N225" s="197">
        <f t="shared" si="15"/>
        <v>1287.7981267333373</v>
      </c>
      <c r="O225" s="209">
        <v>11835.432255072465</v>
      </c>
      <c r="P225" s="209">
        <v>1387.9440913118756</v>
      </c>
      <c r="Q225" s="197">
        <f t="shared" si="11"/>
        <v>1546.1562927939506</v>
      </c>
      <c r="R225" s="209">
        <v>8162.7090062111811</v>
      </c>
      <c r="S225" s="209">
        <v>122.41533537856195</v>
      </c>
      <c r="T225" s="197">
        <f t="shared" si="12"/>
        <v>136.36949954601243</v>
      </c>
    </row>
    <row r="226" spans="1:20" x14ac:dyDescent="0.2">
      <c r="A226" s="189">
        <v>4</v>
      </c>
      <c r="C226" s="200">
        <f>+E226-E225</f>
        <v>240.67364342301937</v>
      </c>
      <c r="D226" s="200">
        <f>+G226-G225</f>
        <v>222.83402473841534</v>
      </c>
      <c r="E226" s="208">
        <v>951.81397167414048</v>
      </c>
      <c r="G226" s="189">
        <v>874.36206733931238</v>
      </c>
      <c r="I226" s="189">
        <v>165.17</v>
      </c>
      <c r="J226" s="189">
        <v>4</v>
      </c>
      <c r="L226" s="209">
        <v>23357.504896820246</v>
      </c>
      <c r="M226" s="209">
        <v>1294.0004472542644</v>
      </c>
      <c r="N226" s="197">
        <f t="shared" si="15"/>
        <v>1419.5982182592768</v>
      </c>
      <c r="O226" s="209">
        <v>7240.0729996128648</v>
      </c>
      <c r="P226" s="209">
        <v>1287.0604441566998</v>
      </c>
      <c r="Q226" s="197">
        <f t="shared" si="11"/>
        <v>1411.9846072648436</v>
      </c>
      <c r="R226" s="209">
        <v>8198.4054586074526</v>
      </c>
      <c r="S226" s="209">
        <v>109.38408217060596</v>
      </c>
      <c r="T226" s="197">
        <f t="shared" si="12"/>
        <v>120.00107765403776</v>
      </c>
    </row>
    <row r="227" spans="1:20" x14ac:dyDescent="0.2">
      <c r="A227" s="189">
        <v>1</v>
      </c>
      <c r="B227" s="189">
        <v>2022</v>
      </c>
      <c r="C227" s="200">
        <f>E227</f>
        <v>258.31884641255607</v>
      </c>
      <c r="D227" s="200">
        <f>G227</f>
        <v>238.37852713004486</v>
      </c>
      <c r="E227" s="208">
        <v>258.31884641255607</v>
      </c>
      <c r="G227" s="189">
        <v>238.37852713004486</v>
      </c>
      <c r="I227" s="189">
        <v>166.57</v>
      </c>
      <c r="J227" s="189">
        <v>1</v>
      </c>
      <c r="K227" s="189">
        <v>2022</v>
      </c>
      <c r="L227" s="209">
        <v>24505.067470355731</v>
      </c>
      <c r="M227" s="209">
        <v>1376.8794156428476</v>
      </c>
      <c r="N227" s="197">
        <f t="shared" si="15"/>
        <v>1497.825808449961</v>
      </c>
      <c r="O227" s="209">
        <v>6900.0468369565224</v>
      </c>
      <c r="P227" s="209">
        <v>1583.5781374260632</v>
      </c>
      <c r="Q227" s="197">
        <f t="shared" si="11"/>
        <v>1722.6811418532648</v>
      </c>
      <c r="R227" s="209">
        <v>6778.6444332298142</v>
      </c>
      <c r="S227" s="209">
        <v>123.13727232676555</v>
      </c>
      <c r="T227" s="197">
        <f t="shared" si="12"/>
        <v>133.95376703126087</v>
      </c>
    </row>
    <row r="228" spans="1:20" x14ac:dyDescent="0.2">
      <c r="A228" s="189">
        <v>2</v>
      </c>
      <c r="C228" s="200">
        <f>+E228-E227</f>
        <v>242.59168475336321</v>
      </c>
      <c r="D228" s="200">
        <f>+G228-G227</f>
        <v>221.26676780269054</v>
      </c>
      <c r="E228" s="208">
        <v>500.91053116591928</v>
      </c>
      <c r="G228" s="189">
        <v>459.6452949327354</v>
      </c>
      <c r="I228" s="189">
        <v>169.93</v>
      </c>
      <c r="J228" s="189">
        <v>2</v>
      </c>
      <c r="L228" s="209">
        <v>18109.505441201181</v>
      </c>
      <c r="M228" s="209">
        <v>1059.8182311147266</v>
      </c>
      <c r="N228" s="197">
        <f t="shared" si="15"/>
        <v>1130.1172826558402</v>
      </c>
      <c r="O228" s="209">
        <v>6398.5711338452893</v>
      </c>
      <c r="P228" s="209">
        <v>1382.5138049967145</v>
      </c>
      <c r="Q228" s="197">
        <f t="shared" si="11"/>
        <v>1474.2176522984732</v>
      </c>
      <c r="R228" s="209">
        <v>11377.755536580467</v>
      </c>
      <c r="S228" s="209">
        <v>170.80171301924597</v>
      </c>
      <c r="T228" s="197">
        <f t="shared" si="12"/>
        <v>182.13120148654775</v>
      </c>
    </row>
    <row r="229" spans="1:20" x14ac:dyDescent="0.2">
      <c r="A229" s="189">
        <v>3</v>
      </c>
      <c r="C229" s="200">
        <f>+E229-E228</f>
        <v>236.3725230941705</v>
      </c>
      <c r="D229" s="200">
        <f>+G229-G228</f>
        <v>212.27484847533628</v>
      </c>
      <c r="E229" s="208">
        <v>737.28305426008978</v>
      </c>
      <c r="G229" s="189">
        <v>671.92014340807168</v>
      </c>
      <c r="I229" s="189">
        <v>173.29</v>
      </c>
      <c r="J229" s="189">
        <v>3</v>
      </c>
      <c r="L229" s="209">
        <v>22326.885249827203</v>
      </c>
      <c r="M229" s="209">
        <v>1273.4823653547851</v>
      </c>
      <c r="N229" s="197">
        <f t="shared" si="15"/>
        <v>1331.6240237341794</v>
      </c>
      <c r="O229" s="209">
        <v>9773.5265829437976</v>
      </c>
      <c r="P229" s="209">
        <v>2006.0585934441842</v>
      </c>
      <c r="Q229" s="197">
        <f t="shared" si="11"/>
        <v>2097.6464917945359</v>
      </c>
      <c r="R229" s="209">
        <v>12116.405554623785</v>
      </c>
      <c r="S229" s="209">
        <v>170.05548935231948</v>
      </c>
      <c r="T229" s="197">
        <f t="shared" si="12"/>
        <v>177.81948235014065</v>
      </c>
    </row>
    <row r="230" spans="1:20" x14ac:dyDescent="0.2">
      <c r="A230" s="189">
        <v>4</v>
      </c>
      <c r="C230" s="200">
        <f>+E230-E229</f>
        <v>270.36808991031376</v>
      </c>
      <c r="D230" s="200">
        <f>+G230-G229</f>
        <v>251.76894192825125</v>
      </c>
      <c r="E230" s="208">
        <v>1007.6511441704035</v>
      </c>
      <c r="G230" s="189">
        <v>923.68908533632293</v>
      </c>
      <c r="I230" s="189">
        <v>175.94</v>
      </c>
      <c r="J230" s="189">
        <v>4</v>
      </c>
      <c r="L230" s="209">
        <v>24565.831590744419</v>
      </c>
      <c r="M230" s="209">
        <v>1614.069633403597</v>
      </c>
      <c r="N230" s="197">
        <f t="shared" si="15"/>
        <v>1662.3400459746927</v>
      </c>
      <c r="O230" s="209">
        <v>7886.590696433057</v>
      </c>
      <c r="P230" s="209">
        <v>1979.9688784171885</v>
      </c>
      <c r="Q230" s="197">
        <f t="shared" si="11"/>
        <v>2039.1818842635284</v>
      </c>
      <c r="R230" s="209">
        <v>10409.999344870157</v>
      </c>
      <c r="S230" s="209">
        <v>167.07536170570017</v>
      </c>
      <c r="T230" s="197">
        <f t="shared" si="12"/>
        <v>172.0719222462717</v>
      </c>
    </row>
    <row r="231" spans="1:20" x14ac:dyDescent="0.2">
      <c r="A231" s="189">
        <v>1</v>
      </c>
      <c r="B231" s="189">
        <v>2023</v>
      </c>
      <c r="C231" s="200">
        <f>E231</f>
        <v>302.38750433482812</v>
      </c>
      <c r="D231" s="200">
        <f>G231</f>
        <v>281.08376346786247</v>
      </c>
      <c r="E231" s="208">
        <v>302.38750433482812</v>
      </c>
      <c r="G231" s="189">
        <v>281.08376346786247</v>
      </c>
      <c r="I231" s="189">
        <v>177.06</v>
      </c>
      <c r="J231" s="189">
        <v>1</v>
      </c>
      <c r="K231" s="189">
        <v>2023</v>
      </c>
      <c r="L231" s="209">
        <v>26844.315237154147</v>
      </c>
      <c r="M231" s="209">
        <v>1582.0941255005046</v>
      </c>
      <c r="N231" s="197">
        <f t="shared" si="15"/>
        <v>1619.1013914166604</v>
      </c>
      <c r="O231" s="209">
        <v>6557.2362137681157</v>
      </c>
      <c r="P231" s="209">
        <v>1683.6496945575759</v>
      </c>
      <c r="Q231" s="197">
        <f t="shared" si="11"/>
        <v>1723.03247902777</v>
      </c>
      <c r="R231" s="209">
        <v>7838.5406661490688</v>
      </c>
      <c r="S231" s="209">
        <v>165.33913199150732</v>
      </c>
      <c r="T231" s="197">
        <f t="shared" si="12"/>
        <v>169.20663211386594</v>
      </c>
    </row>
    <row r="232" spans="1:20" x14ac:dyDescent="0.2">
      <c r="A232" s="189">
        <v>2</v>
      </c>
      <c r="C232" s="200">
        <f>+E232-E231</f>
        <v>288.71155948488058</v>
      </c>
      <c r="D232" s="200">
        <f>+G232-G231</f>
        <v>265.48782727255423</v>
      </c>
      <c r="E232" s="208">
        <v>591.0990638197087</v>
      </c>
      <c r="G232" s="189">
        <v>546.5715907404167</v>
      </c>
      <c r="I232" s="189">
        <v>181.26</v>
      </c>
      <c r="J232" s="189">
        <v>2</v>
      </c>
      <c r="L232" s="209">
        <v>22123.086754773376</v>
      </c>
      <c r="M232" s="209">
        <v>1398.957775556506</v>
      </c>
      <c r="N232" s="197">
        <f t="shared" si="15"/>
        <v>1398.5075611118361</v>
      </c>
      <c r="O232" s="209">
        <v>6814.816473074854</v>
      </c>
      <c r="P232" s="209">
        <v>1941.9673661105644</v>
      </c>
      <c r="Q232" s="197">
        <f t="shared" si="11"/>
        <v>1941.3423996000831</v>
      </c>
      <c r="R232" s="209">
        <v>11351.137162897225</v>
      </c>
      <c r="S232" s="209">
        <v>179.38444250725087</v>
      </c>
      <c r="T232" s="197">
        <f t="shared" si="12"/>
        <v>179.32671276831456</v>
      </c>
    </row>
    <row r="233" spans="1:20" x14ac:dyDescent="0.2">
      <c r="A233" s="189">
        <v>3</v>
      </c>
      <c r="C233" s="200">
        <f>+E233-E232</f>
        <v>250.48845860181598</v>
      </c>
      <c r="D233" s="200">
        <f>+G233-G232</f>
        <v>227.83168719680316</v>
      </c>
      <c r="E233" s="208">
        <v>841.58752242152468</v>
      </c>
      <c r="G233" s="189">
        <v>774.40327793721985</v>
      </c>
      <c r="I233" s="189">
        <v>181.68</v>
      </c>
      <c r="J233" s="189">
        <v>3</v>
      </c>
      <c r="L233" s="209">
        <v>33547.567308467726</v>
      </c>
      <c r="M233" s="209">
        <v>2612.7571270405015</v>
      </c>
      <c r="N233" s="197">
        <f t="shared" si="15"/>
        <v>2605.8781704918015</v>
      </c>
      <c r="O233" s="209">
        <v>7564.7841240265989</v>
      </c>
      <c r="P233" s="209">
        <v>1372.5685528481158</v>
      </c>
      <c r="Q233" s="197">
        <f t="shared" si="11"/>
        <v>1368.9548073003812</v>
      </c>
      <c r="R233" s="209">
        <v>12525.795886792215</v>
      </c>
      <c r="S233" s="209">
        <v>237.01173448389176</v>
      </c>
      <c r="T233" s="197">
        <f t="shared" si="12"/>
        <v>236.38772186282833</v>
      </c>
    </row>
    <row r="234" spans="1:20" x14ac:dyDescent="0.2">
      <c r="A234" s="189">
        <v>4</v>
      </c>
      <c r="C234" s="200">
        <f>+E234-E233</f>
        <v>247.76441726457392</v>
      </c>
      <c r="D234" s="200">
        <f>+G234-G233</f>
        <v>222.81360381165916</v>
      </c>
      <c r="E234" s="208">
        <v>1089.3519396860986</v>
      </c>
      <c r="G234" s="189">
        <v>997.21688174887902</v>
      </c>
      <c r="I234" s="189">
        <v>184.34</v>
      </c>
      <c r="J234" s="189">
        <v>4</v>
      </c>
      <c r="L234" s="209">
        <v>27405.288644268774</v>
      </c>
      <c r="M234" s="209">
        <v>2102.9314483628059</v>
      </c>
      <c r="N234" s="197">
        <f t="shared" si="15"/>
        <v>2067.1296697899948</v>
      </c>
      <c r="O234" s="209">
        <v>10671.830522463766</v>
      </c>
      <c r="P234" s="209">
        <v>2024.5509335669321</v>
      </c>
      <c r="Q234" s="197">
        <f t="shared" si="11"/>
        <v>1990.0835598019094</v>
      </c>
      <c r="R234" s="209">
        <v>9988.9312779503089</v>
      </c>
      <c r="S234" s="209">
        <v>189.8273559912875</v>
      </c>
      <c r="T234" s="197">
        <f t="shared" si="12"/>
        <v>186.59560206438073</v>
      </c>
    </row>
    <row r="235" spans="1:20" x14ac:dyDescent="0.2">
      <c r="C235" s="200"/>
      <c r="D235" s="192"/>
      <c r="L235" s="209"/>
      <c r="M235" s="209"/>
      <c r="N235" s="197"/>
      <c r="O235" s="209"/>
      <c r="P235" s="209"/>
      <c r="Q235" s="197"/>
      <c r="R235" s="209"/>
      <c r="S235" s="209"/>
      <c r="T235" s="197"/>
    </row>
    <row r="236" spans="1:20" x14ac:dyDescent="0.2">
      <c r="C236" s="200"/>
      <c r="E236" s="193" t="s">
        <v>110</v>
      </c>
      <c r="J236" s="211"/>
      <c r="K236" s="212" t="s">
        <v>160</v>
      </c>
      <c r="L236" s="213">
        <f>+L237-SUM(L231:L233)</f>
        <v>27405.288644268774</v>
      </c>
      <c r="M236" s="213">
        <f>+M237-SUM(M231:M233)</f>
        <v>2102.9314483628059</v>
      </c>
      <c r="N236" s="214" t="s">
        <v>174</v>
      </c>
      <c r="O236" s="213">
        <f>+O237-SUM(O231:O233)</f>
        <v>10671.830522463766</v>
      </c>
      <c r="P236" s="213">
        <f>+P237-SUM(P231:P233)</f>
        <v>2024.5509335669321</v>
      </c>
      <c r="Q236" s="214" t="s">
        <v>174</v>
      </c>
      <c r="R236" s="213">
        <f>+R237-SUM(R231:R233)</f>
        <v>9988.9312779503089</v>
      </c>
      <c r="S236" s="213">
        <f>+S237-SUM(S231:S233)</f>
        <v>189.8273559912875</v>
      </c>
      <c r="T236" s="215" t="s">
        <v>174</v>
      </c>
    </row>
    <row r="237" spans="1:20" x14ac:dyDescent="0.2">
      <c r="E237" s="208">
        <f>IF('Tab5'!E8="",'Tab5'!E7,'Tab5'!E8)/1000</f>
        <v>1089.3519396860986</v>
      </c>
      <c r="G237" s="208">
        <f>IF('Tab5'!E10="",'Tab5'!E9,'Tab5'!E10)/1000</f>
        <v>997.21688174887902</v>
      </c>
      <c r="K237" s="195" t="s">
        <v>188</v>
      </c>
      <c r="L237" s="216">
        <f>SUM('Tab7'!E11,'Tab11'!E11)</f>
        <v>109920.25794466403</v>
      </c>
      <c r="M237" s="217">
        <f>SUM('Tab7'!E39,'Tab11'!E39)</f>
        <v>7696.740476460318</v>
      </c>
      <c r="N237" s="218" t="s">
        <v>173</v>
      </c>
      <c r="O237" s="216">
        <f>SUM('Tab7'!E9,'Tab11'!E9)</f>
        <v>31608.667333333335</v>
      </c>
      <c r="P237" s="217">
        <f>SUM('Tab7'!E37,'Tab11'!E37)</f>
        <v>7022.7365470831883</v>
      </c>
      <c r="Q237" s="218" t="s">
        <v>173</v>
      </c>
      <c r="R237" s="216">
        <f>SUM('Tab7'!E13,'Tab11'!E13)</f>
        <v>41704.404993788819</v>
      </c>
      <c r="S237" s="217">
        <f>SUM('Tab7'!E41,'Tab11'!E41)</f>
        <v>771.56266497393744</v>
      </c>
      <c r="T237" s="219" t="s">
        <v>173</v>
      </c>
    </row>
    <row r="238" spans="1:20" x14ac:dyDescent="0.2">
      <c r="K238" s="195" t="s">
        <v>187</v>
      </c>
      <c r="L238" s="216">
        <f>SUM('Tab7'!E12,'Tab11'!E12)</f>
        <v>0</v>
      </c>
      <c r="M238" s="217">
        <f>SUM('Tab7'!E40,'Tab11'!E40)</f>
        <v>0</v>
      </c>
      <c r="N238" s="218" t="s">
        <v>173</v>
      </c>
      <c r="O238" s="216">
        <f>SUM('Tab7'!E10,'Tab11'!E10)</f>
        <v>0</v>
      </c>
      <c r="P238" s="217">
        <f>SUM('Tab7'!E38,'Tab11'!E38)</f>
        <v>0</v>
      </c>
      <c r="Q238" s="218" t="s">
        <v>173</v>
      </c>
      <c r="R238" s="216">
        <f>SUM('Tab7'!E14,'Tab11'!E14)</f>
        <v>0</v>
      </c>
      <c r="S238" s="217">
        <f>SUM('Tab7'!E42,'Tab11'!E42)</f>
        <v>0</v>
      </c>
      <c r="T238" s="219" t="s">
        <v>173</v>
      </c>
    </row>
  </sheetData>
  <autoFilter ref="A2" xr:uid="{00000000-0009-0000-0000-000003000000}"/>
  <mergeCells count="6">
    <mergeCell ref="AJ61:AJ62"/>
    <mergeCell ref="AC61:AC62"/>
    <mergeCell ref="A4:A5"/>
    <mergeCell ref="H61:H62"/>
    <mergeCell ref="O61:O62"/>
    <mergeCell ref="V61:V62"/>
  </mergeCells>
  <phoneticPr fontId="0" type="noConversion"/>
  <hyperlinks>
    <hyperlink ref="A2" location="Innhold!A11" display="Tilbake til innholdsfortegnelsen" xr:uid="{00000000-0004-0000-03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ignoredErrors>
    <ignoredError sqref="C219 C215 C211 C135:C210 C212:C214 C216:C218 C220:C233 D219 D215 D211 D139:D210 D212:D214 D216:D218 D220:D233 D135" formula="1"/>
    <ignoredError sqref="L236:T236" formulaRange="1"/>
    <ignoredError sqref="J6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144</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x14ac:dyDescent="0.2">
      <c r="A7" s="174" t="s">
        <v>2</v>
      </c>
      <c r="B7" s="19" t="s">
        <v>3</v>
      </c>
      <c r="C7" s="20">
        <v>2275081.0938493535</v>
      </c>
      <c r="D7" s="20">
        <v>2558134.6345113777</v>
      </c>
      <c r="E7" s="79">
        <v>2821457.5819119024</v>
      </c>
      <c r="F7" s="22" t="s">
        <v>240</v>
      </c>
      <c r="G7" s="23">
        <v>24.015692870890163</v>
      </c>
      <c r="H7" s="24">
        <v>10.293553116715515</v>
      </c>
    </row>
    <row r="8" spans="1:8" x14ac:dyDescent="0.2">
      <c r="A8" s="175"/>
      <c r="B8" s="25" t="s">
        <v>240</v>
      </c>
      <c r="C8" s="26" t="s">
        <v>240</v>
      </c>
      <c r="D8" s="26" t="s">
        <v>240</v>
      </c>
      <c r="E8" s="26" t="s">
        <v>240</v>
      </c>
      <c r="F8" s="27"/>
      <c r="G8" s="28" t="s">
        <v>240</v>
      </c>
      <c r="H8" s="29" t="s">
        <v>240</v>
      </c>
    </row>
    <row r="9" spans="1:8" x14ac:dyDescent="0.2">
      <c r="A9" s="30" t="s">
        <v>4</v>
      </c>
      <c r="B9" s="31" t="s">
        <v>3</v>
      </c>
      <c r="C9" s="20">
        <v>731632.30798953655</v>
      </c>
      <c r="D9" s="20">
        <v>812806.60916143493</v>
      </c>
      <c r="E9" s="20">
        <v>881787.57543946186</v>
      </c>
      <c r="F9" s="22" t="s">
        <v>240</v>
      </c>
      <c r="G9" s="32">
        <v>20.52332378029331</v>
      </c>
      <c r="H9" s="33">
        <v>8.4867624722188282</v>
      </c>
    </row>
    <row r="10" spans="1:8" x14ac:dyDescent="0.2">
      <c r="A10" s="34"/>
      <c r="B10" s="25" t="s">
        <v>240</v>
      </c>
      <c r="C10" s="26" t="s">
        <v>240</v>
      </c>
      <c r="D10" s="26" t="s">
        <v>240</v>
      </c>
      <c r="E10" s="26" t="s">
        <v>240</v>
      </c>
      <c r="F10" s="27"/>
      <c r="G10" s="28" t="s">
        <v>240</v>
      </c>
      <c r="H10" s="29" t="s">
        <v>240</v>
      </c>
    </row>
    <row r="11" spans="1:8" x14ac:dyDescent="0.2">
      <c r="A11" s="30" t="s">
        <v>5</v>
      </c>
      <c r="B11" s="31" t="s">
        <v>3</v>
      </c>
      <c r="C11" s="20">
        <v>220181.66368460387</v>
      </c>
      <c r="D11" s="20">
        <v>194844.53500896867</v>
      </c>
      <c r="E11" s="20">
        <v>207564.36424663675</v>
      </c>
      <c r="F11" s="22" t="s">
        <v>240</v>
      </c>
      <c r="G11" s="37">
        <v>-5.7304042611107633</v>
      </c>
      <c r="H11" s="33">
        <v>6.5281939968614466</v>
      </c>
    </row>
    <row r="12" spans="1:8" x14ac:dyDescent="0.2">
      <c r="A12" s="34"/>
      <c r="B12" s="25" t="s">
        <v>240</v>
      </c>
      <c r="C12" s="26" t="s">
        <v>240</v>
      </c>
      <c r="D12" s="26" t="s">
        <v>240</v>
      </c>
      <c r="E12" s="26" t="s">
        <v>240</v>
      </c>
      <c r="F12" s="27"/>
      <c r="G12" s="28" t="s">
        <v>240</v>
      </c>
      <c r="H12" s="29" t="s">
        <v>240</v>
      </c>
    </row>
    <row r="13" spans="1:8" x14ac:dyDescent="0.2">
      <c r="A13" s="30" t="s">
        <v>6</v>
      </c>
      <c r="B13" s="31" t="s">
        <v>3</v>
      </c>
      <c r="C13" s="20">
        <v>455343.2281054082</v>
      </c>
      <c r="D13" s="20">
        <v>410835.95298472245</v>
      </c>
      <c r="E13" s="20">
        <v>447459.5255934007</v>
      </c>
      <c r="F13" s="22" t="s">
        <v>240</v>
      </c>
      <c r="G13" s="23">
        <v>-1.7313758117826836</v>
      </c>
      <c r="H13" s="24">
        <v>8.9144030220841302</v>
      </c>
    </row>
    <row r="14" spans="1:8" x14ac:dyDescent="0.2">
      <c r="A14" s="34"/>
      <c r="B14" s="25" t="s">
        <v>240</v>
      </c>
      <c r="C14" s="26" t="s">
        <v>240</v>
      </c>
      <c r="D14" s="26" t="s">
        <v>240</v>
      </c>
      <c r="E14" s="26" t="s">
        <v>240</v>
      </c>
      <c r="F14" s="27"/>
      <c r="G14" s="38" t="s">
        <v>240</v>
      </c>
      <c r="H14" s="24" t="s">
        <v>240</v>
      </c>
    </row>
    <row r="15" spans="1:8" x14ac:dyDescent="0.2">
      <c r="A15" s="30" t="s">
        <v>168</v>
      </c>
      <c r="B15" s="31" t="s">
        <v>3</v>
      </c>
      <c r="C15" s="20">
        <v>47091.596212135693</v>
      </c>
      <c r="D15" s="20">
        <v>44703.941502659662</v>
      </c>
      <c r="E15" s="20">
        <v>53986.423475075651</v>
      </c>
      <c r="F15" s="22" t="s">
        <v>240</v>
      </c>
      <c r="G15" s="37">
        <v>14.641311438840404</v>
      </c>
      <c r="H15" s="33">
        <v>20.764347975588976</v>
      </c>
    </row>
    <row r="16" spans="1:8" x14ac:dyDescent="0.2">
      <c r="A16" s="34"/>
      <c r="B16" s="25" t="s">
        <v>240</v>
      </c>
      <c r="C16" s="26" t="s">
        <v>240</v>
      </c>
      <c r="D16" s="26" t="s">
        <v>240</v>
      </c>
      <c r="E16" s="26" t="s">
        <v>240</v>
      </c>
      <c r="F16" s="27"/>
      <c r="G16" s="28" t="s">
        <v>240</v>
      </c>
      <c r="H16" s="29" t="s">
        <v>240</v>
      </c>
    </row>
    <row r="17" spans="1:8" x14ac:dyDescent="0.2">
      <c r="A17" s="30" t="s">
        <v>7</v>
      </c>
      <c r="B17" s="31" t="s">
        <v>3</v>
      </c>
      <c r="C17" s="20">
        <v>8798.6610285714287</v>
      </c>
      <c r="D17" s="20">
        <v>8629.6967836734693</v>
      </c>
      <c r="E17" s="20">
        <v>9255.1604571428579</v>
      </c>
      <c r="F17" s="22" t="s">
        <v>240</v>
      </c>
      <c r="G17" s="23">
        <v>5.1882829340630536</v>
      </c>
      <c r="H17" s="24">
        <v>7.247805909620169</v>
      </c>
    </row>
    <row r="18" spans="1:8" x14ac:dyDescent="0.2">
      <c r="A18" s="30"/>
      <c r="B18" s="25" t="s">
        <v>240</v>
      </c>
      <c r="C18" s="26" t="s">
        <v>240</v>
      </c>
      <c r="D18" s="26" t="s">
        <v>240</v>
      </c>
      <c r="E18" s="26" t="s">
        <v>240</v>
      </c>
      <c r="F18" s="27"/>
      <c r="G18" s="38" t="s">
        <v>240</v>
      </c>
      <c r="H18" s="24" t="s">
        <v>240</v>
      </c>
    </row>
    <row r="19" spans="1:8" x14ac:dyDescent="0.2">
      <c r="A19" s="39" t="s">
        <v>8</v>
      </c>
      <c r="B19" s="31" t="s">
        <v>3</v>
      </c>
      <c r="C19" s="20">
        <v>5593</v>
      </c>
      <c r="D19" s="20">
        <v>6040</v>
      </c>
      <c r="E19" s="20">
        <v>9011</v>
      </c>
      <c r="F19" s="22" t="s">
        <v>240</v>
      </c>
      <c r="G19" s="37">
        <v>61.112104416234587</v>
      </c>
      <c r="H19" s="33">
        <v>49.188741721854313</v>
      </c>
    </row>
    <row r="20" spans="1:8" x14ac:dyDescent="0.2">
      <c r="A20" s="34"/>
      <c r="B20" s="25" t="s">
        <v>240</v>
      </c>
      <c r="C20" s="26" t="s">
        <v>240</v>
      </c>
      <c r="D20" s="26" t="s">
        <v>240</v>
      </c>
      <c r="E20" s="26" t="s">
        <v>240</v>
      </c>
      <c r="F20" s="27"/>
      <c r="G20" s="28" t="s">
        <v>240</v>
      </c>
      <c r="H20" s="29" t="s">
        <v>240</v>
      </c>
    </row>
    <row r="21" spans="1:8" x14ac:dyDescent="0.2">
      <c r="A21" s="39" t="s">
        <v>9</v>
      </c>
      <c r="B21" s="31" t="s">
        <v>3</v>
      </c>
      <c r="C21" s="20">
        <v>31589.073333333334</v>
      </c>
      <c r="D21" s="20">
        <v>37157.663333333338</v>
      </c>
      <c r="E21" s="20">
        <v>42542.303333333337</v>
      </c>
      <c r="F21" s="22" t="s">
        <v>240</v>
      </c>
      <c r="G21" s="37">
        <v>34.674109887364011</v>
      </c>
      <c r="H21" s="33">
        <v>14.491331039025695</v>
      </c>
    </row>
    <row r="22" spans="1:8" x14ac:dyDescent="0.2">
      <c r="A22" s="34"/>
      <c r="B22" s="25" t="s">
        <v>240</v>
      </c>
      <c r="C22" s="26" t="s">
        <v>240</v>
      </c>
      <c r="D22" s="26" t="s">
        <v>240</v>
      </c>
      <c r="E22" s="26" t="s">
        <v>240</v>
      </c>
      <c r="F22" s="27"/>
      <c r="G22" s="28" t="s">
        <v>240</v>
      </c>
      <c r="H22" s="29" t="s">
        <v>240</v>
      </c>
    </row>
    <row r="23" spans="1:8" x14ac:dyDescent="0.2">
      <c r="A23" s="39" t="s">
        <v>190</v>
      </c>
      <c r="B23" s="31" t="s">
        <v>3</v>
      </c>
      <c r="C23" s="20">
        <v>7894</v>
      </c>
      <c r="D23" s="20">
        <v>7387</v>
      </c>
      <c r="E23" s="20">
        <v>8839</v>
      </c>
      <c r="F23" s="22" t="s">
        <v>240</v>
      </c>
      <c r="G23" s="37">
        <v>11.971117304281734</v>
      </c>
      <c r="H23" s="33">
        <v>19.656152700690413</v>
      </c>
    </row>
    <row r="24" spans="1:8" x14ac:dyDescent="0.2">
      <c r="A24" s="34"/>
      <c r="B24" s="25" t="s">
        <v>240</v>
      </c>
      <c r="C24" s="26" t="s">
        <v>240</v>
      </c>
      <c r="D24" s="26" t="s">
        <v>240</v>
      </c>
      <c r="E24" s="26" t="s">
        <v>240</v>
      </c>
      <c r="F24" s="27"/>
      <c r="G24" s="28" t="s">
        <v>240</v>
      </c>
      <c r="H24" s="29" t="s">
        <v>240</v>
      </c>
    </row>
    <row r="25" spans="1:8" x14ac:dyDescent="0.2">
      <c r="A25" s="39" t="s">
        <v>191</v>
      </c>
      <c r="B25" s="31" t="s">
        <v>3</v>
      </c>
      <c r="C25" s="20">
        <v>1922</v>
      </c>
      <c r="D25" s="20">
        <v>2198</v>
      </c>
      <c r="E25" s="20">
        <v>2455</v>
      </c>
      <c r="F25" s="22" t="s">
        <v>240</v>
      </c>
      <c r="G25" s="37">
        <v>27.731529656607705</v>
      </c>
      <c r="H25" s="33">
        <v>11.692447679708835</v>
      </c>
    </row>
    <row r="26" spans="1:8" x14ac:dyDescent="0.2">
      <c r="A26" s="34"/>
      <c r="B26" s="25" t="s">
        <v>240</v>
      </c>
      <c r="C26" s="26" t="s">
        <v>240</v>
      </c>
      <c r="D26" s="26" t="s">
        <v>240</v>
      </c>
      <c r="E26" s="26" t="s">
        <v>240</v>
      </c>
      <c r="F26" s="27"/>
      <c r="G26" s="28" t="s">
        <v>240</v>
      </c>
      <c r="H26" s="29" t="s">
        <v>240</v>
      </c>
    </row>
    <row r="27" spans="1:8" x14ac:dyDescent="0.2">
      <c r="A27" s="39" t="s">
        <v>192</v>
      </c>
      <c r="B27" s="31" t="s">
        <v>3</v>
      </c>
      <c r="C27" s="20">
        <v>430654</v>
      </c>
      <c r="D27" s="20">
        <v>517184.1942857143</v>
      </c>
      <c r="E27" s="20">
        <v>615071.0068571429</v>
      </c>
      <c r="F27" s="22" t="s">
        <v>240</v>
      </c>
      <c r="G27" s="37">
        <v>42.82254590858156</v>
      </c>
      <c r="H27" s="33">
        <v>18.926876275989173</v>
      </c>
    </row>
    <row r="28" spans="1:8" x14ac:dyDescent="0.2">
      <c r="A28" s="34"/>
      <c r="B28" s="25" t="s">
        <v>240</v>
      </c>
      <c r="C28" s="26" t="s">
        <v>240</v>
      </c>
      <c r="D28" s="26" t="s">
        <v>240</v>
      </c>
      <c r="E28" s="26" t="s">
        <v>240</v>
      </c>
      <c r="F28" s="27"/>
      <c r="G28" s="28" t="s">
        <v>240</v>
      </c>
      <c r="H28" s="29" t="s">
        <v>240</v>
      </c>
    </row>
    <row r="29" spans="1:8" x14ac:dyDescent="0.2">
      <c r="A29" s="30" t="s">
        <v>10</v>
      </c>
      <c r="B29" s="31" t="s">
        <v>3</v>
      </c>
      <c r="C29" s="20">
        <v>169642</v>
      </c>
      <c r="D29" s="20">
        <v>354485</v>
      </c>
      <c r="E29" s="20">
        <v>384965.43589743588</v>
      </c>
      <c r="F29" s="22" t="s">
        <v>240</v>
      </c>
      <c r="G29" s="37">
        <v>126.92814037646096</v>
      </c>
      <c r="H29" s="33">
        <v>8.5985121789175452</v>
      </c>
    </row>
    <row r="30" spans="1:8" x14ac:dyDescent="0.2">
      <c r="A30" s="30"/>
      <c r="B30" s="25" t="s">
        <v>240</v>
      </c>
      <c r="C30" s="26" t="s">
        <v>240</v>
      </c>
      <c r="D30" s="26" t="s">
        <v>240</v>
      </c>
      <c r="E30" s="26" t="s">
        <v>240</v>
      </c>
      <c r="F30" s="27"/>
      <c r="G30" s="28" t="s">
        <v>240</v>
      </c>
      <c r="H30" s="29" t="s">
        <v>240</v>
      </c>
    </row>
    <row r="31" spans="1:8" x14ac:dyDescent="0.2">
      <c r="A31" s="39" t="s">
        <v>11</v>
      </c>
      <c r="B31" s="31" t="s">
        <v>3</v>
      </c>
      <c r="C31" s="20">
        <v>12717.945965835412</v>
      </c>
      <c r="D31" s="20">
        <v>11276.932267581047</v>
      </c>
      <c r="E31" s="20">
        <v>11960.346633416459</v>
      </c>
      <c r="F31" s="22" t="s">
        <v>240</v>
      </c>
      <c r="G31" s="37">
        <v>-5.956931523801984</v>
      </c>
      <c r="H31" s="33">
        <v>6.0602861631092111</v>
      </c>
    </row>
    <row r="32" spans="1:8" x14ac:dyDescent="0.2">
      <c r="A32" s="34"/>
      <c r="B32" s="25" t="s">
        <v>240</v>
      </c>
      <c r="C32" s="26" t="s">
        <v>240</v>
      </c>
      <c r="D32" s="26" t="s">
        <v>240</v>
      </c>
      <c r="E32" s="26" t="s">
        <v>240</v>
      </c>
      <c r="F32" s="27"/>
      <c r="G32" s="28" t="s">
        <v>240</v>
      </c>
      <c r="H32" s="29" t="s">
        <v>240</v>
      </c>
    </row>
    <row r="33" spans="1:8" x14ac:dyDescent="0.2">
      <c r="A33" s="30" t="s">
        <v>12</v>
      </c>
      <c r="B33" s="31" t="s">
        <v>3</v>
      </c>
      <c r="C33" s="20">
        <v>11455.784425960001</v>
      </c>
      <c r="D33" s="20">
        <v>12078.23712256</v>
      </c>
      <c r="E33" s="20">
        <v>13236.987999999999</v>
      </c>
      <c r="F33" s="22" t="s">
        <v>240</v>
      </c>
      <c r="G33" s="37">
        <v>15.548508140600177</v>
      </c>
      <c r="H33" s="33">
        <v>9.5937086321617073</v>
      </c>
    </row>
    <row r="34" spans="1:8" x14ac:dyDescent="0.2">
      <c r="A34" s="30"/>
      <c r="B34" s="25" t="s">
        <v>240</v>
      </c>
      <c r="C34" s="26" t="s">
        <v>240</v>
      </c>
      <c r="D34" s="26" t="s">
        <v>240</v>
      </c>
      <c r="E34" s="26" t="s">
        <v>240</v>
      </c>
      <c r="F34" s="27"/>
      <c r="G34" s="28" t="s">
        <v>240</v>
      </c>
      <c r="H34" s="29" t="s">
        <v>240</v>
      </c>
    </row>
    <row r="35" spans="1:8" x14ac:dyDescent="0.2">
      <c r="A35" s="39" t="s">
        <v>13</v>
      </c>
      <c r="B35" s="31" t="s">
        <v>3</v>
      </c>
      <c r="C35" s="20">
        <v>71</v>
      </c>
      <c r="D35" s="20">
        <v>54</v>
      </c>
      <c r="E35" s="20">
        <v>57</v>
      </c>
      <c r="F35" s="22" t="s">
        <v>240</v>
      </c>
      <c r="G35" s="23">
        <v>-19.718309859154928</v>
      </c>
      <c r="H35" s="24">
        <v>5.5555555555555571</v>
      </c>
    </row>
    <row r="36" spans="1:8" x14ac:dyDescent="0.2">
      <c r="A36" s="34"/>
      <c r="B36" s="25" t="s">
        <v>240</v>
      </c>
      <c r="C36" s="26" t="s">
        <v>240</v>
      </c>
      <c r="D36" s="26" t="s">
        <v>240</v>
      </c>
      <c r="E36" s="26" t="s">
        <v>240</v>
      </c>
      <c r="F36" s="27"/>
      <c r="G36" s="28" t="s">
        <v>240</v>
      </c>
      <c r="H36" s="29" t="s">
        <v>240</v>
      </c>
    </row>
    <row r="37" spans="1:8" x14ac:dyDescent="0.2">
      <c r="A37" s="30" t="s">
        <v>14</v>
      </c>
      <c r="B37" s="31" t="s">
        <v>3</v>
      </c>
      <c r="C37" s="40">
        <v>140494.83310396923</v>
      </c>
      <c r="D37" s="40">
        <v>138452.87206073076</v>
      </c>
      <c r="E37" s="20">
        <v>133266.45197885614</v>
      </c>
      <c r="F37" s="22" t="s">
        <v>240</v>
      </c>
      <c r="G37" s="23">
        <v>-5.1449444548355245</v>
      </c>
      <c r="H37" s="24">
        <v>-3.7459823004608097</v>
      </c>
    </row>
    <row r="38" spans="1:8" ht="13.5" thickBot="1" x14ac:dyDescent="0.25">
      <c r="A38" s="41"/>
      <c r="B38" s="42" t="s">
        <v>240</v>
      </c>
      <c r="C38" s="43" t="s">
        <v>240</v>
      </c>
      <c r="D38" s="43" t="s">
        <v>240</v>
      </c>
      <c r="E38" s="43" t="s">
        <v>240</v>
      </c>
      <c r="F38" s="44"/>
      <c r="G38" s="45" t="s">
        <v>240</v>
      </c>
      <c r="H38" s="46" t="s">
        <v>240</v>
      </c>
    </row>
    <row r="39" spans="1:8" x14ac:dyDescent="0.2">
      <c r="A39" s="47"/>
      <c r="B39" s="48"/>
      <c r="C39" s="49"/>
      <c r="D39" s="49"/>
      <c r="E39" s="49"/>
      <c r="F39" s="49"/>
      <c r="G39" s="50"/>
      <c r="H39" s="51"/>
    </row>
    <row r="40" spans="1:8" x14ac:dyDescent="0.2">
      <c r="A40" s="47"/>
      <c r="B40" s="48"/>
      <c r="C40" s="49"/>
      <c r="D40" s="49"/>
      <c r="E40" s="49"/>
      <c r="F40" s="49"/>
      <c r="G40" s="50"/>
      <c r="H40" s="51"/>
    </row>
    <row r="41" spans="1:8" x14ac:dyDescent="0.2">
      <c r="A41" s="47"/>
      <c r="B41" s="48"/>
      <c r="C41" s="49"/>
      <c r="D41" s="49"/>
      <c r="E41" s="49"/>
      <c r="F41" s="49"/>
      <c r="G41" s="50"/>
      <c r="H41" s="51"/>
    </row>
    <row r="42" spans="1:8" x14ac:dyDescent="0.2">
      <c r="A42" s="47"/>
      <c r="B42" s="48"/>
      <c r="C42" s="49"/>
      <c r="D42" s="49"/>
      <c r="E42" s="49"/>
      <c r="F42" s="49"/>
      <c r="G42" s="50"/>
      <c r="H42" s="51"/>
    </row>
    <row r="43" spans="1:8" x14ac:dyDescent="0.2">
      <c r="A43" s="47"/>
      <c r="B43" s="48"/>
      <c r="C43" s="49"/>
      <c r="D43" s="49"/>
      <c r="E43" s="49"/>
      <c r="F43" s="49"/>
      <c r="G43" s="50"/>
      <c r="H43" s="51"/>
    </row>
    <row r="44" spans="1:8" x14ac:dyDescent="0.2">
      <c r="A44" s="47"/>
      <c r="B44" s="48"/>
      <c r="C44" s="49"/>
      <c r="D44" s="49"/>
      <c r="E44" s="49"/>
      <c r="F44" s="49"/>
      <c r="G44" s="50"/>
      <c r="H44" s="51"/>
    </row>
    <row r="45" spans="1:8" x14ac:dyDescent="0.2">
      <c r="A45" s="47"/>
      <c r="B45" s="48"/>
      <c r="C45" s="49"/>
      <c r="D45" s="49"/>
      <c r="E45" s="49"/>
      <c r="F45" s="49"/>
      <c r="G45" s="50"/>
      <c r="H45" s="51"/>
    </row>
    <row r="46" spans="1:8" x14ac:dyDescent="0.2">
      <c r="A46" s="47"/>
      <c r="B46" s="48"/>
      <c r="C46" s="49"/>
      <c r="D46" s="49"/>
      <c r="E46" s="49"/>
      <c r="F46" s="49"/>
      <c r="G46" s="50"/>
      <c r="H46" s="51"/>
    </row>
    <row r="47" spans="1:8" x14ac:dyDescent="0.2">
      <c r="A47" s="47"/>
      <c r="B47" s="48"/>
      <c r="C47" s="49"/>
      <c r="D47" s="49"/>
      <c r="E47" s="49"/>
      <c r="F47" s="49"/>
      <c r="G47" s="50"/>
      <c r="H47" s="51"/>
    </row>
    <row r="48" spans="1:8" x14ac:dyDescent="0.2">
      <c r="A48" s="47"/>
      <c r="B48" s="48"/>
      <c r="C48" s="49"/>
      <c r="D48" s="49"/>
      <c r="E48" s="49"/>
      <c r="F48" s="49"/>
      <c r="G48" s="50"/>
      <c r="H48" s="51"/>
    </row>
    <row r="49" spans="1:8" x14ac:dyDescent="0.2">
      <c r="A49" s="47"/>
      <c r="B49" s="48"/>
      <c r="C49" s="49"/>
      <c r="D49" s="49"/>
      <c r="E49" s="97"/>
      <c r="F49" s="49"/>
      <c r="G49" s="50"/>
      <c r="H49" s="51"/>
    </row>
    <row r="50" spans="1:8" x14ac:dyDescent="0.2">
      <c r="A50" s="47"/>
      <c r="B50" s="48"/>
      <c r="C50" s="49"/>
      <c r="D50" s="49"/>
      <c r="E50" s="49"/>
      <c r="F50" s="49"/>
      <c r="G50" s="50"/>
      <c r="H50" s="51"/>
    </row>
    <row r="51" spans="1:8" x14ac:dyDescent="0.2">
      <c r="A51" s="47"/>
      <c r="B51" s="48"/>
      <c r="C51" s="49"/>
      <c r="D51" s="49"/>
      <c r="E51" s="49"/>
      <c r="F51" s="49"/>
      <c r="G51" s="50"/>
      <c r="H51" s="51"/>
    </row>
    <row r="52" spans="1:8" x14ac:dyDescent="0.2">
      <c r="A52" s="47"/>
      <c r="B52" s="48"/>
      <c r="C52" s="49"/>
      <c r="D52" s="49"/>
      <c r="E52" s="49"/>
      <c r="F52" s="49"/>
      <c r="G52" s="50"/>
      <c r="H52" s="51"/>
    </row>
    <row r="53" spans="1:8" x14ac:dyDescent="0.2">
      <c r="A53" s="47"/>
      <c r="B53" s="48"/>
      <c r="C53" s="49"/>
      <c r="D53" s="49"/>
      <c r="E53" s="49"/>
      <c r="F53" s="49"/>
      <c r="G53" s="50"/>
      <c r="H53" s="51"/>
    </row>
    <row r="54" spans="1:8" x14ac:dyDescent="0.2">
      <c r="A54" s="47"/>
      <c r="B54" s="48"/>
      <c r="C54" s="49"/>
      <c r="D54" s="49"/>
      <c r="E54" s="49"/>
      <c r="F54" s="49"/>
      <c r="G54" s="50"/>
      <c r="H54" s="51"/>
    </row>
    <row r="55" spans="1:8" x14ac:dyDescent="0.2">
      <c r="A55" s="47"/>
      <c r="B55" s="48"/>
      <c r="C55" s="49"/>
      <c r="D55" s="49"/>
      <c r="E55" s="49"/>
      <c r="F55" s="49"/>
      <c r="G55" s="50"/>
      <c r="H55" s="51"/>
    </row>
    <row r="56" spans="1:8" x14ac:dyDescent="0.2">
      <c r="A56" s="47"/>
      <c r="B56" s="48"/>
      <c r="C56" s="49"/>
      <c r="D56" s="49"/>
      <c r="E56" s="49"/>
      <c r="F56" s="49"/>
      <c r="G56" s="50"/>
      <c r="H56" s="51"/>
    </row>
    <row r="57" spans="1:8" x14ac:dyDescent="0.2">
      <c r="A57" s="47"/>
      <c r="B57" s="48"/>
      <c r="C57" s="49"/>
      <c r="D57" s="49"/>
      <c r="E57" s="49"/>
      <c r="F57" s="49"/>
      <c r="G57" s="50"/>
      <c r="H57" s="51"/>
    </row>
    <row r="58" spans="1:8" x14ac:dyDescent="0.2">
      <c r="A58" s="47"/>
      <c r="B58" s="48"/>
      <c r="C58" s="49"/>
      <c r="D58" s="49"/>
      <c r="E58" s="49"/>
      <c r="F58" s="49"/>
      <c r="G58" s="50"/>
      <c r="H58" s="51"/>
    </row>
    <row r="59" spans="1:8" x14ac:dyDescent="0.2">
      <c r="A59" s="47"/>
      <c r="B59" s="48"/>
      <c r="C59" s="49"/>
      <c r="D59" s="49"/>
      <c r="E59" s="49"/>
      <c r="F59" s="49"/>
      <c r="G59" s="50"/>
      <c r="H59" s="51"/>
    </row>
    <row r="60" spans="1:8" x14ac:dyDescent="0.2">
      <c r="A60" s="52"/>
      <c r="B60" s="52"/>
      <c r="C60" s="52"/>
      <c r="D60" s="52"/>
      <c r="E60" s="52"/>
      <c r="F60" s="52"/>
      <c r="G60" s="52"/>
      <c r="H60" s="52"/>
    </row>
    <row r="61" spans="1:8" ht="12.75" customHeight="1" x14ac:dyDescent="0.2">
      <c r="A61" s="54" t="s">
        <v>241</v>
      </c>
      <c r="G61" s="53"/>
      <c r="H61" s="177">
        <v>9</v>
      </c>
    </row>
    <row r="62" spans="1:8" ht="12.75" customHeight="1" x14ac:dyDescent="0.2">
      <c r="A62" s="54" t="s">
        <v>242</v>
      </c>
      <c r="G62" s="53"/>
      <c r="H62" s="170"/>
    </row>
    <row r="63" spans="1:8" x14ac:dyDescent="0.2">
      <c r="H63" s="87"/>
    </row>
    <row r="64" spans="1:8" x14ac:dyDescent="0.2">
      <c r="A64" s="176"/>
      <c r="H64" s="53"/>
    </row>
    <row r="65" spans="1:8" x14ac:dyDescent="0.2">
      <c r="A65" s="176"/>
      <c r="H65" s="53"/>
    </row>
    <row r="67" spans="1:8" ht="12.75" customHeight="1" x14ac:dyDescent="0.2"/>
    <row r="68" spans="1:8" ht="12.75" customHeight="1" x14ac:dyDescent="0.2"/>
  </sheetData>
  <mergeCells count="4">
    <mergeCell ref="G5:H5"/>
    <mergeCell ref="A7:A8"/>
    <mergeCell ref="A64:A65"/>
    <mergeCell ref="H61:H62"/>
  </mergeCells>
  <phoneticPr fontId="0" type="noConversion"/>
  <hyperlinks>
    <hyperlink ref="A2" location="Innhold!A23" display="Tilbake til innholdsfortegnelsen" xr:uid="{00000000-0004-0000-04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rowBreaks count="1" manualBreakCount="1">
    <brk id="6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10" ht="5.25" customHeight="1" x14ac:dyDescent="0.2"/>
    <row r="2" spans="1:10" x14ac:dyDescent="0.2">
      <c r="A2" s="92" t="s">
        <v>0</v>
      </c>
      <c r="B2" s="2"/>
      <c r="C2" s="2"/>
      <c r="D2" s="2"/>
      <c r="E2" s="2"/>
      <c r="F2" s="2"/>
      <c r="G2" s="2"/>
    </row>
    <row r="3" spans="1:10" ht="6" customHeight="1" x14ac:dyDescent="0.2">
      <c r="A3" s="3"/>
      <c r="B3" s="2"/>
      <c r="C3" s="2"/>
      <c r="D3" s="2"/>
      <c r="E3" s="2"/>
      <c r="F3" s="2"/>
      <c r="G3" s="2"/>
    </row>
    <row r="4" spans="1:10" ht="16.5" thickBot="1" x14ac:dyDescent="0.3">
      <c r="A4" s="4" t="s">
        <v>15</v>
      </c>
      <c r="B4" s="5"/>
      <c r="C4" s="5"/>
      <c r="D4" s="5"/>
      <c r="E4" s="5"/>
      <c r="F4" s="5"/>
      <c r="G4" s="5"/>
      <c r="H4" s="6"/>
    </row>
    <row r="5" spans="1:10" x14ac:dyDescent="0.2">
      <c r="A5" s="7"/>
      <c r="B5" s="8"/>
      <c r="C5" s="178" t="s">
        <v>16</v>
      </c>
      <c r="D5" s="172"/>
      <c r="E5" s="172"/>
      <c r="F5" s="179"/>
      <c r="G5" s="172" t="s">
        <v>1</v>
      </c>
      <c r="H5" s="173"/>
    </row>
    <row r="6" spans="1:10" x14ac:dyDescent="0.2">
      <c r="A6" s="12"/>
      <c r="B6" s="13"/>
      <c r="C6" s="14" t="s">
        <v>235</v>
      </c>
      <c r="D6" s="15" t="s">
        <v>236</v>
      </c>
      <c r="E6" s="15" t="s">
        <v>237</v>
      </c>
      <c r="F6" s="16"/>
      <c r="G6" s="17" t="s">
        <v>238</v>
      </c>
      <c r="H6" s="18" t="s">
        <v>239</v>
      </c>
    </row>
    <row r="7" spans="1:10" x14ac:dyDescent="0.2">
      <c r="A7" s="174" t="s">
        <v>2</v>
      </c>
      <c r="B7" s="19" t="s">
        <v>3</v>
      </c>
      <c r="C7" s="80">
        <v>45680.704693907937</v>
      </c>
      <c r="D7" s="80">
        <v>51692.195089920911</v>
      </c>
      <c r="E7" s="81">
        <v>62270.008217127128</v>
      </c>
      <c r="F7" s="22" t="s">
        <v>240</v>
      </c>
      <c r="G7" s="23">
        <v>36.315778476665173</v>
      </c>
      <c r="H7" s="24">
        <v>20.463075922401103</v>
      </c>
    </row>
    <row r="8" spans="1:10" x14ac:dyDescent="0.2">
      <c r="A8" s="175"/>
      <c r="B8" s="25" t="s">
        <v>240</v>
      </c>
      <c r="C8" s="82" t="s">
        <v>240</v>
      </c>
      <c r="D8" s="82" t="s">
        <v>240</v>
      </c>
      <c r="E8" s="82" t="s">
        <v>240</v>
      </c>
      <c r="F8" s="27"/>
      <c r="G8" s="28" t="s">
        <v>240</v>
      </c>
      <c r="H8" s="29" t="s">
        <v>240</v>
      </c>
      <c r="J8" s="94"/>
    </row>
    <row r="9" spans="1:10" x14ac:dyDescent="0.2">
      <c r="A9" s="30" t="s">
        <v>4</v>
      </c>
      <c r="B9" s="31" t="s">
        <v>3</v>
      </c>
      <c r="C9" s="80">
        <v>11385.695872801123</v>
      </c>
      <c r="D9" s="80">
        <v>13300.497767080758</v>
      </c>
      <c r="E9" s="80">
        <v>16005.457206368879</v>
      </c>
      <c r="F9" s="22" t="s">
        <v>240</v>
      </c>
      <c r="G9" s="32">
        <v>40.575133792250142</v>
      </c>
      <c r="H9" s="33">
        <v>20.337279751912732</v>
      </c>
    </row>
    <row r="10" spans="1:10" x14ac:dyDescent="0.2">
      <c r="A10" s="34"/>
      <c r="B10" s="25" t="s">
        <v>240</v>
      </c>
      <c r="C10" s="82" t="s">
        <v>240</v>
      </c>
      <c r="D10" s="82" t="s">
        <v>240</v>
      </c>
      <c r="E10" s="82" t="s">
        <v>240</v>
      </c>
      <c r="F10" s="27"/>
      <c r="G10" s="35" t="s">
        <v>240</v>
      </c>
      <c r="H10" s="29" t="s">
        <v>240</v>
      </c>
      <c r="J10" s="94"/>
    </row>
    <row r="11" spans="1:10" x14ac:dyDescent="0.2">
      <c r="A11" s="30" t="s">
        <v>5</v>
      </c>
      <c r="B11" s="31" t="s">
        <v>3</v>
      </c>
      <c r="C11" s="80">
        <v>5032.2747691775403</v>
      </c>
      <c r="D11" s="80">
        <v>5189.938996324554</v>
      </c>
      <c r="E11" s="80">
        <v>6044.1714758631751</v>
      </c>
      <c r="F11" s="22" t="s">
        <v>240</v>
      </c>
      <c r="G11" s="37">
        <v>20.108137037418089</v>
      </c>
      <c r="H11" s="33">
        <v>16.459393456138443</v>
      </c>
    </row>
    <row r="12" spans="1:10" x14ac:dyDescent="0.2">
      <c r="A12" s="34"/>
      <c r="B12" s="25" t="s">
        <v>240</v>
      </c>
      <c r="C12" s="82" t="s">
        <v>240</v>
      </c>
      <c r="D12" s="82" t="s">
        <v>240</v>
      </c>
      <c r="E12" s="82" t="s">
        <v>240</v>
      </c>
      <c r="F12" s="27"/>
      <c r="G12" s="28" t="s">
        <v>240</v>
      </c>
      <c r="H12" s="29" t="s">
        <v>240</v>
      </c>
    </row>
    <row r="13" spans="1:10" x14ac:dyDescent="0.2">
      <c r="A13" s="30" t="s">
        <v>6</v>
      </c>
      <c r="B13" s="31" t="s">
        <v>3</v>
      </c>
      <c r="C13" s="80">
        <v>9329.6259879792105</v>
      </c>
      <c r="D13" s="80">
        <v>9776.7076031225206</v>
      </c>
      <c r="E13" s="80">
        <v>12630.225692452103</v>
      </c>
      <c r="F13" s="22" t="s">
        <v>240</v>
      </c>
      <c r="G13" s="23">
        <v>35.37762080415186</v>
      </c>
      <c r="H13" s="24">
        <v>29.186902228907968</v>
      </c>
    </row>
    <row r="14" spans="1:10" x14ac:dyDescent="0.2">
      <c r="A14" s="34"/>
      <c r="B14" s="25" t="s">
        <v>240</v>
      </c>
      <c r="C14" s="82" t="s">
        <v>240</v>
      </c>
      <c r="D14" s="82" t="s">
        <v>240</v>
      </c>
      <c r="E14" s="82" t="s">
        <v>240</v>
      </c>
      <c r="F14" s="27"/>
      <c r="G14" s="38" t="s">
        <v>240</v>
      </c>
      <c r="H14" s="24" t="s">
        <v>240</v>
      </c>
    </row>
    <row r="15" spans="1:10" x14ac:dyDescent="0.2">
      <c r="A15" s="30" t="s">
        <v>168</v>
      </c>
      <c r="B15" s="31" t="s">
        <v>3</v>
      </c>
      <c r="C15" s="80">
        <v>6062.0590272136797</v>
      </c>
      <c r="D15" s="80">
        <v>7230.9088147832827</v>
      </c>
      <c r="E15" s="80">
        <v>9813.9785573664831</v>
      </c>
      <c r="F15" s="22" t="s">
        <v>240</v>
      </c>
      <c r="G15" s="37">
        <v>61.891834330707724</v>
      </c>
      <c r="H15" s="33">
        <v>35.72261535510205</v>
      </c>
    </row>
    <row r="16" spans="1:10" x14ac:dyDescent="0.2">
      <c r="A16" s="34"/>
      <c r="B16" s="25" t="s">
        <v>240</v>
      </c>
      <c r="C16" s="82" t="s">
        <v>240</v>
      </c>
      <c r="D16" s="82" t="s">
        <v>240</v>
      </c>
      <c r="E16" s="82" t="s">
        <v>240</v>
      </c>
      <c r="F16" s="27"/>
      <c r="G16" s="28" t="s">
        <v>240</v>
      </c>
      <c r="H16" s="29" t="s">
        <v>240</v>
      </c>
    </row>
    <row r="17" spans="1:8" x14ac:dyDescent="0.2">
      <c r="A17" s="30" t="s">
        <v>7</v>
      </c>
      <c r="B17" s="31" t="s">
        <v>3</v>
      </c>
      <c r="C17" s="80">
        <v>1811.9238978132253</v>
      </c>
      <c r="D17" s="80">
        <v>1885.3077142325617</v>
      </c>
      <c r="E17" s="80">
        <v>2098.3300920885899</v>
      </c>
      <c r="F17" s="22" t="s">
        <v>240</v>
      </c>
      <c r="G17" s="23">
        <v>15.806745229257288</v>
      </c>
      <c r="H17" s="24">
        <v>11.299077399826032</v>
      </c>
    </row>
    <row r="18" spans="1:8" x14ac:dyDescent="0.2">
      <c r="A18" s="30"/>
      <c r="B18" s="25" t="s">
        <v>240</v>
      </c>
      <c r="C18" s="82" t="s">
        <v>240</v>
      </c>
      <c r="D18" s="82" t="s">
        <v>240</v>
      </c>
      <c r="E18" s="82" t="s">
        <v>240</v>
      </c>
      <c r="F18" s="27"/>
      <c r="G18" s="38" t="s">
        <v>240</v>
      </c>
      <c r="H18" s="24" t="s">
        <v>240</v>
      </c>
    </row>
    <row r="19" spans="1:8" x14ac:dyDescent="0.2">
      <c r="A19" s="39" t="s">
        <v>8</v>
      </c>
      <c r="B19" s="31" t="s">
        <v>3</v>
      </c>
      <c r="C19" s="80">
        <v>2387.3848808729376</v>
      </c>
      <c r="D19" s="80">
        <v>2938.864223517015</v>
      </c>
      <c r="E19" s="80">
        <v>2795.1937506614249</v>
      </c>
      <c r="F19" s="22" t="s">
        <v>240</v>
      </c>
      <c r="G19" s="37">
        <v>17.0818234234345</v>
      </c>
      <c r="H19" s="33">
        <v>-4.8886393493761346</v>
      </c>
    </row>
    <row r="20" spans="1:8" x14ac:dyDescent="0.2">
      <c r="A20" s="34"/>
      <c r="B20" s="25" t="s">
        <v>240</v>
      </c>
      <c r="C20" s="82" t="s">
        <v>240</v>
      </c>
      <c r="D20" s="82" t="s">
        <v>240</v>
      </c>
      <c r="E20" s="82" t="s">
        <v>240</v>
      </c>
      <c r="F20" s="27"/>
      <c r="G20" s="28" t="s">
        <v>240</v>
      </c>
      <c r="H20" s="29" t="s">
        <v>240</v>
      </c>
    </row>
    <row r="21" spans="1:8" x14ac:dyDescent="0.2">
      <c r="A21" s="39" t="s">
        <v>9</v>
      </c>
      <c r="B21" s="31" t="s">
        <v>3</v>
      </c>
      <c r="C21" s="80">
        <v>1120.2980383203794</v>
      </c>
      <c r="D21" s="80">
        <v>724.48727871329743</v>
      </c>
      <c r="E21" s="80">
        <v>922.01930659354025</v>
      </c>
      <c r="F21" s="22" t="s">
        <v>240</v>
      </c>
      <c r="G21" s="37">
        <v>-17.698748453055487</v>
      </c>
      <c r="H21" s="33">
        <v>27.265078861158656</v>
      </c>
    </row>
    <row r="22" spans="1:8" x14ac:dyDescent="0.2">
      <c r="A22" s="34"/>
      <c r="B22" s="25" t="s">
        <v>240</v>
      </c>
      <c r="C22" s="82" t="s">
        <v>240</v>
      </c>
      <c r="D22" s="82" t="s">
        <v>240</v>
      </c>
      <c r="E22" s="82" t="s">
        <v>240</v>
      </c>
      <c r="F22" s="27"/>
      <c r="G22" s="28" t="s">
        <v>240</v>
      </c>
      <c r="H22" s="29" t="s">
        <v>240</v>
      </c>
    </row>
    <row r="23" spans="1:8" x14ac:dyDescent="0.2">
      <c r="A23" s="39" t="s">
        <v>190</v>
      </c>
      <c r="B23" s="31" t="s">
        <v>3</v>
      </c>
      <c r="C23" s="80">
        <v>1934.5070014632756</v>
      </c>
      <c r="D23" s="80">
        <v>2152.7393297259473</v>
      </c>
      <c r="E23" s="80">
        <v>2012.0476280814735</v>
      </c>
      <c r="F23" s="22" t="s">
        <v>240</v>
      </c>
      <c r="G23" s="23">
        <v>4.0082887557163502</v>
      </c>
      <c r="H23" s="24">
        <v>-6.5354731853384465</v>
      </c>
    </row>
    <row r="24" spans="1:8" x14ac:dyDescent="0.2">
      <c r="A24" s="34"/>
      <c r="B24" s="25" t="s">
        <v>240</v>
      </c>
      <c r="C24" s="82" t="s">
        <v>240</v>
      </c>
      <c r="D24" s="82" t="s">
        <v>240</v>
      </c>
      <c r="E24" s="82" t="s">
        <v>240</v>
      </c>
      <c r="F24" s="27"/>
      <c r="G24" s="38" t="s">
        <v>240</v>
      </c>
      <c r="H24" s="24" t="s">
        <v>240</v>
      </c>
    </row>
    <row r="25" spans="1:8" x14ac:dyDescent="0.2">
      <c r="A25" s="39" t="s">
        <v>191</v>
      </c>
      <c r="B25" s="31" t="s">
        <v>3</v>
      </c>
      <c r="C25" s="80">
        <v>604.64367061974212</v>
      </c>
      <c r="D25" s="80">
        <v>653.27095088339615</v>
      </c>
      <c r="E25" s="80">
        <v>853.09178278892443</v>
      </c>
      <c r="F25" s="22" t="s">
        <v>240</v>
      </c>
      <c r="G25" s="37">
        <v>41.090004616194904</v>
      </c>
      <c r="H25" s="33">
        <v>30.587741829836062</v>
      </c>
    </row>
    <row r="26" spans="1:8" x14ac:dyDescent="0.2">
      <c r="A26" s="34"/>
      <c r="B26" s="25" t="s">
        <v>240</v>
      </c>
      <c r="C26" s="82" t="s">
        <v>240</v>
      </c>
      <c r="D26" s="82" t="s">
        <v>240</v>
      </c>
      <c r="E26" s="82" t="s">
        <v>240</v>
      </c>
      <c r="F26" s="27"/>
      <c r="G26" s="38" t="s">
        <v>240</v>
      </c>
      <c r="H26" s="24" t="s">
        <v>240</v>
      </c>
    </row>
    <row r="27" spans="1:8" x14ac:dyDescent="0.2">
      <c r="A27" s="39" t="s">
        <v>192</v>
      </c>
      <c r="B27" s="31" t="s">
        <v>3</v>
      </c>
      <c r="C27" s="80">
        <v>1704.7751721129091</v>
      </c>
      <c r="D27" s="80">
        <v>2006.380833258675</v>
      </c>
      <c r="E27" s="80">
        <v>2389.6387678911092</v>
      </c>
      <c r="F27" s="22" t="s">
        <v>240</v>
      </c>
      <c r="G27" s="37">
        <v>40.173250231546717</v>
      </c>
      <c r="H27" s="33">
        <v>19.101953541390415</v>
      </c>
    </row>
    <row r="28" spans="1:8" x14ac:dyDescent="0.2">
      <c r="A28" s="34"/>
      <c r="B28" s="25" t="s">
        <v>240</v>
      </c>
      <c r="C28" s="82" t="s">
        <v>240</v>
      </c>
      <c r="D28" s="82" t="s">
        <v>240</v>
      </c>
      <c r="E28" s="82" t="s">
        <v>240</v>
      </c>
      <c r="F28" s="27"/>
      <c r="G28" s="38" t="s">
        <v>240</v>
      </c>
      <c r="H28" s="24" t="s">
        <v>240</v>
      </c>
    </row>
    <row r="29" spans="1:8" x14ac:dyDescent="0.2">
      <c r="A29" s="30" t="s">
        <v>10</v>
      </c>
      <c r="B29" s="31" t="s">
        <v>3</v>
      </c>
      <c r="C29" s="80">
        <v>773.78802688841336</v>
      </c>
      <c r="D29" s="80">
        <v>2098.2771570466793</v>
      </c>
      <c r="E29" s="80">
        <v>2609.279436595139</v>
      </c>
      <c r="F29" s="22" t="s">
        <v>240</v>
      </c>
      <c r="G29" s="37">
        <v>237.20855659755756</v>
      </c>
      <c r="H29" s="33">
        <v>24.353421464478714</v>
      </c>
    </row>
    <row r="30" spans="1:8" x14ac:dyDescent="0.2">
      <c r="A30" s="30"/>
      <c r="B30" s="25" t="s">
        <v>240</v>
      </c>
      <c r="C30" s="82" t="s">
        <v>240</v>
      </c>
      <c r="D30" s="82" t="s">
        <v>240</v>
      </c>
      <c r="E30" s="82" t="s">
        <v>240</v>
      </c>
      <c r="F30" s="27"/>
      <c r="G30" s="28" t="s">
        <v>240</v>
      </c>
      <c r="H30" s="29" t="s">
        <v>240</v>
      </c>
    </row>
    <row r="31" spans="1:8" x14ac:dyDescent="0.2">
      <c r="A31" s="39" t="s">
        <v>11</v>
      </c>
      <c r="B31" s="31" t="s">
        <v>3</v>
      </c>
      <c r="C31" s="80">
        <v>593.00593686028049</v>
      </c>
      <c r="D31" s="80">
        <v>599.9461025980487</v>
      </c>
      <c r="E31" s="80">
        <v>662.09127275885123</v>
      </c>
      <c r="F31" s="22" t="s">
        <v>240</v>
      </c>
      <c r="G31" s="23">
        <v>11.650024325953439</v>
      </c>
      <c r="H31" s="24">
        <v>10.35845885016748</v>
      </c>
    </row>
    <row r="32" spans="1:8" x14ac:dyDescent="0.2">
      <c r="A32" s="34"/>
      <c r="B32" s="25" t="s">
        <v>240</v>
      </c>
      <c r="C32" s="82" t="s">
        <v>240</v>
      </c>
      <c r="D32" s="82" t="s">
        <v>240</v>
      </c>
      <c r="E32" s="82" t="s">
        <v>240</v>
      </c>
      <c r="F32" s="27"/>
      <c r="G32" s="38" t="s">
        <v>240</v>
      </c>
      <c r="H32" s="24" t="s">
        <v>240</v>
      </c>
    </row>
    <row r="33" spans="1:8" x14ac:dyDescent="0.2">
      <c r="A33" s="30" t="s">
        <v>12</v>
      </c>
      <c r="B33" s="31" t="s">
        <v>3</v>
      </c>
      <c r="C33" s="80">
        <v>1493.657688654961</v>
      </c>
      <c r="D33" s="80">
        <v>1558.6503994062932</v>
      </c>
      <c r="E33" s="80">
        <v>1705.1275681590487</v>
      </c>
      <c r="F33" s="22" t="s">
        <v>240</v>
      </c>
      <c r="G33" s="37">
        <v>14.157854313628988</v>
      </c>
      <c r="H33" s="33">
        <v>9.3976923117942306</v>
      </c>
    </row>
    <row r="34" spans="1:8" x14ac:dyDescent="0.2">
      <c r="A34" s="30"/>
      <c r="B34" s="25" t="s">
        <v>240</v>
      </c>
      <c r="C34" s="82" t="s">
        <v>240</v>
      </c>
      <c r="D34" s="82" t="s">
        <v>240</v>
      </c>
      <c r="E34" s="82" t="s">
        <v>240</v>
      </c>
      <c r="F34" s="27"/>
      <c r="G34" s="28" t="s">
        <v>240</v>
      </c>
      <c r="H34" s="29" t="s">
        <v>240</v>
      </c>
    </row>
    <row r="35" spans="1:8" x14ac:dyDescent="0.2">
      <c r="A35" s="39" t="s">
        <v>13</v>
      </c>
      <c r="B35" s="31" t="s">
        <v>3</v>
      </c>
      <c r="C35" s="80">
        <v>189.00435847148509</v>
      </c>
      <c r="D35" s="80">
        <v>141.56149134271325</v>
      </c>
      <c r="E35" s="80">
        <v>207.46931966016973</v>
      </c>
      <c r="F35" s="22" t="s">
        <v>240</v>
      </c>
      <c r="G35" s="23">
        <v>9.7695954410863095</v>
      </c>
      <c r="H35" s="24">
        <v>46.557738048899836</v>
      </c>
    </row>
    <row r="36" spans="1:8" x14ac:dyDescent="0.2">
      <c r="A36" s="34"/>
      <c r="B36" s="25" t="s">
        <v>240</v>
      </c>
      <c r="C36" s="82" t="s">
        <v>240</v>
      </c>
      <c r="D36" s="82" t="s">
        <v>240</v>
      </c>
      <c r="E36" s="82" t="s">
        <v>240</v>
      </c>
      <c r="F36" s="27"/>
      <c r="G36" s="28" t="s">
        <v>240</v>
      </c>
      <c r="H36" s="29" t="s">
        <v>240</v>
      </c>
    </row>
    <row r="37" spans="1:8" x14ac:dyDescent="0.2">
      <c r="A37" s="30" t="s">
        <v>14</v>
      </c>
      <c r="B37" s="31" t="s">
        <v>3</v>
      </c>
      <c r="C37" s="85">
        <v>1258.060364658754</v>
      </c>
      <c r="D37" s="85">
        <v>1434.6564278851531</v>
      </c>
      <c r="E37" s="83">
        <v>1521.8863597982286</v>
      </c>
      <c r="F37" s="22" t="s">
        <v>240</v>
      </c>
      <c r="G37" s="23">
        <v>20.970853430474051</v>
      </c>
      <c r="H37" s="24">
        <v>6.0801966392512838</v>
      </c>
    </row>
    <row r="38" spans="1:8" ht="13.5" thickBot="1" x14ac:dyDescent="0.25">
      <c r="A38" s="41"/>
      <c r="B38" s="42" t="s">
        <v>240</v>
      </c>
      <c r="C38" s="86" t="s">
        <v>240</v>
      </c>
      <c r="D38" s="86" t="s">
        <v>240</v>
      </c>
      <c r="E38" s="86" t="s">
        <v>240</v>
      </c>
      <c r="F38" s="44"/>
      <c r="G38" s="45" t="s">
        <v>240</v>
      </c>
      <c r="H38" s="46" t="s">
        <v>240</v>
      </c>
    </row>
    <row r="39" spans="1:8" x14ac:dyDescent="0.2">
      <c r="A39" s="47"/>
      <c r="B39" s="48"/>
      <c r="C39" s="49"/>
      <c r="D39" s="49"/>
      <c r="E39" s="49"/>
      <c r="F39" s="49"/>
      <c r="G39" s="50"/>
      <c r="H39" s="51"/>
    </row>
    <row r="40" spans="1:8" x14ac:dyDescent="0.2">
      <c r="A40" s="47"/>
      <c r="B40" s="48"/>
      <c r="C40" s="49"/>
      <c r="D40" s="49"/>
      <c r="E40" s="49"/>
      <c r="F40" s="49"/>
      <c r="G40" s="50"/>
      <c r="H40" s="51"/>
    </row>
    <row r="41" spans="1:8" x14ac:dyDescent="0.2">
      <c r="A41" s="47"/>
      <c r="B41" s="48"/>
      <c r="C41" s="49"/>
      <c r="D41" s="49"/>
      <c r="E41" s="49"/>
      <c r="F41" s="49"/>
      <c r="G41" s="50"/>
      <c r="H41" s="51"/>
    </row>
    <row r="42" spans="1:8" x14ac:dyDescent="0.2">
      <c r="A42" s="47"/>
      <c r="B42" s="48"/>
      <c r="C42" s="49"/>
      <c r="D42" s="49"/>
      <c r="E42" s="49"/>
      <c r="F42" s="49"/>
      <c r="G42" s="50"/>
      <c r="H42" s="51"/>
    </row>
    <row r="43" spans="1:8" x14ac:dyDescent="0.2">
      <c r="A43" s="47"/>
      <c r="B43" s="48"/>
      <c r="C43" s="49"/>
      <c r="D43" s="49"/>
      <c r="E43" s="49"/>
      <c r="F43" s="49"/>
      <c r="G43" s="50"/>
      <c r="H43" s="51"/>
    </row>
    <row r="44" spans="1:8" x14ac:dyDescent="0.2">
      <c r="A44" s="47"/>
      <c r="B44" s="48"/>
      <c r="C44" s="49"/>
      <c r="D44" s="49"/>
      <c r="E44" s="49"/>
      <c r="F44" s="49"/>
      <c r="G44" s="50"/>
      <c r="H44" s="51"/>
    </row>
    <row r="45" spans="1:8" x14ac:dyDescent="0.2">
      <c r="A45" s="47"/>
      <c r="B45" s="48"/>
      <c r="C45" s="49"/>
      <c r="D45" s="49"/>
      <c r="E45" s="49"/>
      <c r="F45" s="49"/>
      <c r="G45" s="50"/>
      <c r="H45" s="51"/>
    </row>
    <row r="46" spans="1:8" x14ac:dyDescent="0.2">
      <c r="A46" s="47"/>
      <c r="B46" s="48"/>
      <c r="C46" s="49"/>
      <c r="D46" s="49"/>
      <c r="E46" s="49"/>
      <c r="F46" s="49"/>
      <c r="G46" s="50"/>
      <c r="H46" s="51"/>
    </row>
    <row r="47" spans="1:8" x14ac:dyDescent="0.2">
      <c r="A47" s="47"/>
      <c r="B47" s="48"/>
      <c r="C47" s="49"/>
      <c r="D47" s="49"/>
      <c r="E47" s="49"/>
      <c r="F47" s="49"/>
      <c r="G47" s="50"/>
      <c r="H47" s="51"/>
    </row>
    <row r="48" spans="1:8" x14ac:dyDescent="0.2">
      <c r="A48" s="47"/>
      <c r="B48" s="48"/>
      <c r="C48" s="49"/>
      <c r="D48" s="49"/>
      <c r="E48" s="49"/>
      <c r="F48" s="49"/>
      <c r="G48" s="50"/>
      <c r="H48" s="51"/>
    </row>
    <row r="49" spans="1:8" x14ac:dyDescent="0.2">
      <c r="A49" s="47"/>
      <c r="B49" s="48"/>
      <c r="C49" s="49"/>
      <c r="D49" s="49"/>
      <c r="E49" s="97"/>
      <c r="F49" s="49"/>
      <c r="G49" s="50"/>
      <c r="H49" s="51"/>
    </row>
    <row r="50" spans="1:8" x14ac:dyDescent="0.2">
      <c r="A50" s="47"/>
      <c r="B50" s="48"/>
      <c r="C50" s="49"/>
      <c r="D50" s="49"/>
      <c r="E50" s="49"/>
      <c r="F50" s="49"/>
      <c r="G50" s="50"/>
      <c r="H50" s="51"/>
    </row>
    <row r="51" spans="1:8" x14ac:dyDescent="0.2">
      <c r="A51" s="47"/>
      <c r="B51" s="48"/>
      <c r="C51" s="49"/>
      <c r="D51" s="49"/>
      <c r="E51" s="49"/>
      <c r="F51" s="49"/>
      <c r="G51" s="50"/>
      <c r="H51" s="51"/>
    </row>
    <row r="52" spans="1:8" x14ac:dyDescent="0.2">
      <c r="A52" s="47"/>
      <c r="B52" s="48"/>
      <c r="C52" s="49"/>
      <c r="D52" s="49"/>
      <c r="E52" s="49"/>
      <c r="F52" s="49"/>
      <c r="G52" s="50"/>
      <c r="H52" s="51"/>
    </row>
    <row r="53" spans="1:8" x14ac:dyDescent="0.2">
      <c r="A53" s="47"/>
      <c r="B53" s="48"/>
      <c r="C53" s="49"/>
      <c r="D53" s="49"/>
      <c r="E53" s="49"/>
      <c r="F53" s="49"/>
      <c r="G53" s="50"/>
      <c r="H53" s="51"/>
    </row>
    <row r="54" spans="1:8" x14ac:dyDescent="0.2">
      <c r="A54" s="47"/>
      <c r="B54" s="48"/>
      <c r="C54" s="49"/>
      <c r="D54" s="49"/>
      <c r="E54" s="49"/>
      <c r="F54" s="49"/>
      <c r="G54" s="50"/>
      <c r="H54" s="51"/>
    </row>
    <row r="55" spans="1:8" x14ac:dyDescent="0.2">
      <c r="A55" s="47"/>
      <c r="B55" s="48"/>
      <c r="C55" s="49"/>
      <c r="D55" s="49"/>
      <c r="E55" s="49"/>
      <c r="F55" s="49"/>
      <c r="G55" s="50"/>
      <c r="H55" s="51"/>
    </row>
    <row r="56" spans="1:8" x14ac:dyDescent="0.2">
      <c r="A56" s="47"/>
      <c r="B56" s="48"/>
      <c r="C56" s="49"/>
      <c r="D56" s="49"/>
      <c r="E56" s="49"/>
      <c r="F56" s="49"/>
      <c r="G56" s="50"/>
      <c r="H56" s="51"/>
    </row>
    <row r="57" spans="1:8" x14ac:dyDescent="0.2">
      <c r="A57" s="47"/>
      <c r="B57" s="48"/>
      <c r="C57" s="49"/>
      <c r="D57" s="49"/>
      <c r="E57" s="49"/>
      <c r="F57" s="49"/>
      <c r="G57" s="50"/>
      <c r="H57" s="51"/>
    </row>
    <row r="58" spans="1:8" x14ac:dyDescent="0.2">
      <c r="A58" s="47"/>
      <c r="B58" s="48"/>
      <c r="C58" s="49"/>
      <c r="D58" s="49"/>
      <c r="E58" s="49"/>
      <c r="F58" s="49"/>
      <c r="G58" s="50"/>
      <c r="H58" s="51"/>
    </row>
    <row r="59" spans="1:8" x14ac:dyDescent="0.2">
      <c r="A59" s="47"/>
      <c r="B59" s="48"/>
      <c r="C59" s="49"/>
      <c r="D59" s="49"/>
      <c r="E59" s="49"/>
      <c r="F59" s="49"/>
      <c r="G59" s="50"/>
      <c r="H59" s="51"/>
    </row>
    <row r="60" spans="1:8" x14ac:dyDescent="0.2">
      <c r="A60" s="52"/>
      <c r="B60" s="52"/>
      <c r="C60" s="52"/>
      <c r="D60" s="52"/>
      <c r="E60" s="52"/>
      <c r="F60" s="52"/>
      <c r="G60" s="52"/>
      <c r="H60" s="52"/>
    </row>
    <row r="61" spans="1:8" ht="12.75" customHeight="1" x14ac:dyDescent="0.2">
      <c r="A61" s="54" t="s">
        <v>241</v>
      </c>
      <c r="H61" s="169">
        <v>10</v>
      </c>
    </row>
    <row r="62" spans="1:8" ht="12.75" customHeight="1" x14ac:dyDescent="0.2">
      <c r="A62" s="54" t="s">
        <v>242</v>
      </c>
      <c r="H62" s="170"/>
    </row>
    <row r="67" ht="12.75" customHeight="1" x14ac:dyDescent="0.2"/>
    <row r="68" ht="12.75" customHeight="1" x14ac:dyDescent="0.2"/>
  </sheetData>
  <mergeCells count="4">
    <mergeCell ref="G5:H5"/>
    <mergeCell ref="A7:A8"/>
    <mergeCell ref="C5:F5"/>
    <mergeCell ref="H61:H62"/>
  </mergeCells>
  <phoneticPr fontId="0" type="noConversion"/>
  <hyperlinks>
    <hyperlink ref="A2" location="Innhold!A24" display="Tilbake til innholdsfortegnelsen" xr:uid="{00000000-0004-0000-0500-000000000000}"/>
  </hyperlinks>
  <pageMargins left="0.78740157480314965" right="0.78740157480314965" top="0.98425196850393704" bottom="0.19685039370078741" header="3.937007874015748E-2" footer="3.937007874015748E-2"/>
  <pageSetup paperSize="9" scale="9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145</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x14ac:dyDescent="0.2">
      <c r="A7" s="174" t="s">
        <v>26</v>
      </c>
      <c r="B7" s="19" t="s">
        <v>3</v>
      </c>
      <c r="C7" s="20">
        <v>951813.97167414054</v>
      </c>
      <c r="D7" s="20">
        <v>1007651.1441704037</v>
      </c>
      <c r="E7" s="21">
        <v>1089351.9396860986</v>
      </c>
      <c r="F7" s="22" t="s">
        <v>240</v>
      </c>
      <c r="G7" s="23">
        <v>14.450089209138554</v>
      </c>
      <c r="H7" s="24">
        <v>8.1080437399750025</v>
      </c>
    </row>
    <row r="8" spans="1:8" x14ac:dyDescent="0.2">
      <c r="A8" s="175"/>
      <c r="B8" s="25" t="s">
        <v>240</v>
      </c>
      <c r="C8" s="26" t="s">
        <v>240</v>
      </c>
      <c r="D8" s="26" t="s">
        <v>240</v>
      </c>
      <c r="E8" s="26" t="s">
        <v>240</v>
      </c>
      <c r="F8" s="27"/>
      <c r="G8" s="28" t="s">
        <v>240</v>
      </c>
      <c r="H8" s="29" t="s">
        <v>240</v>
      </c>
    </row>
    <row r="9" spans="1:8" x14ac:dyDescent="0.2">
      <c r="A9" s="30" t="s">
        <v>28</v>
      </c>
      <c r="B9" s="31" t="s">
        <v>3</v>
      </c>
      <c r="C9" s="20">
        <v>874362.0673393124</v>
      </c>
      <c r="D9" s="20">
        <v>923689.0853363229</v>
      </c>
      <c r="E9" s="21">
        <v>997216.88174887898</v>
      </c>
      <c r="F9" s="22" t="s">
        <v>240</v>
      </c>
      <c r="G9" s="32">
        <v>14.050794173106624</v>
      </c>
      <c r="H9" s="33">
        <v>7.9602322447909017</v>
      </c>
    </row>
    <row r="10" spans="1:8" x14ac:dyDescent="0.2">
      <c r="A10" s="34"/>
      <c r="B10" s="25" t="s">
        <v>240</v>
      </c>
      <c r="C10" s="26" t="s">
        <v>240</v>
      </c>
      <c r="D10" s="26" t="s">
        <v>240</v>
      </c>
      <c r="E10" s="26" t="s">
        <v>240</v>
      </c>
      <c r="F10" s="27"/>
      <c r="G10" s="35" t="s">
        <v>240</v>
      </c>
      <c r="H10" s="29" t="s">
        <v>240</v>
      </c>
    </row>
    <row r="11" spans="1:8" x14ac:dyDescent="0.2">
      <c r="A11" s="30" t="s">
        <v>29</v>
      </c>
      <c r="B11" s="31" t="s">
        <v>3</v>
      </c>
      <c r="C11" s="20">
        <v>32860.952167414049</v>
      </c>
      <c r="D11" s="20">
        <v>38324.029417040358</v>
      </c>
      <c r="E11" s="21">
        <v>42228.528968609869</v>
      </c>
      <c r="F11" s="22" t="s">
        <v>240</v>
      </c>
      <c r="G11" s="37">
        <v>28.506711410769782</v>
      </c>
      <c r="H11" s="33">
        <v>10.188123772375107</v>
      </c>
    </row>
    <row r="12" spans="1:8" x14ac:dyDescent="0.2">
      <c r="A12" s="34"/>
      <c r="B12" s="25" t="s">
        <v>240</v>
      </c>
      <c r="C12" s="26" t="s">
        <v>240</v>
      </c>
      <c r="D12" s="26" t="s">
        <v>240</v>
      </c>
      <c r="E12" s="26" t="s">
        <v>240</v>
      </c>
      <c r="F12" s="27"/>
      <c r="G12" s="28" t="s">
        <v>240</v>
      </c>
      <c r="H12" s="29" t="s">
        <v>240</v>
      </c>
    </row>
    <row r="13" spans="1:8" x14ac:dyDescent="0.2">
      <c r="A13" s="30" t="s">
        <v>27</v>
      </c>
      <c r="B13" s="31" t="s">
        <v>3</v>
      </c>
      <c r="C13" s="20">
        <v>11475.585650224215</v>
      </c>
      <c r="D13" s="20">
        <v>12004.408825112108</v>
      </c>
      <c r="E13" s="21">
        <v>12822.85869058296</v>
      </c>
      <c r="F13" s="22" t="s">
        <v>240</v>
      </c>
      <c r="G13" s="23">
        <v>11.740342335664764</v>
      </c>
      <c r="H13" s="24">
        <v>6.8179106309569306</v>
      </c>
    </row>
    <row r="14" spans="1:8" x14ac:dyDescent="0.2">
      <c r="A14" s="34"/>
      <c r="B14" s="25" t="s">
        <v>240</v>
      </c>
      <c r="C14" s="26" t="s">
        <v>240</v>
      </c>
      <c r="D14" s="26" t="s">
        <v>240</v>
      </c>
      <c r="E14" s="26" t="s">
        <v>240</v>
      </c>
      <c r="F14" s="27"/>
      <c r="G14" s="38" t="s">
        <v>240</v>
      </c>
      <c r="H14" s="24" t="s">
        <v>240</v>
      </c>
    </row>
    <row r="15" spans="1:8" x14ac:dyDescent="0.2">
      <c r="A15" s="30" t="s">
        <v>30</v>
      </c>
      <c r="B15" s="31" t="s">
        <v>3</v>
      </c>
      <c r="C15" s="20">
        <v>14735.780866965621</v>
      </c>
      <c r="D15" s="20">
        <v>16157.211766816143</v>
      </c>
      <c r="E15" s="21">
        <v>18508.811587443946</v>
      </c>
      <c r="F15" s="22" t="s">
        <v>240</v>
      </c>
      <c r="G15" s="37">
        <v>25.604552310740658</v>
      </c>
      <c r="H15" s="33">
        <v>14.55449030789795</v>
      </c>
    </row>
    <row r="16" spans="1:8" x14ac:dyDescent="0.2">
      <c r="A16" s="34"/>
      <c r="B16" s="25" t="s">
        <v>240</v>
      </c>
      <c r="C16" s="26" t="s">
        <v>240</v>
      </c>
      <c r="D16" s="26" t="s">
        <v>240</v>
      </c>
      <c r="E16" s="26" t="s">
        <v>240</v>
      </c>
      <c r="F16" s="27"/>
      <c r="G16" s="28" t="s">
        <v>240</v>
      </c>
      <c r="H16" s="29" t="s">
        <v>240</v>
      </c>
    </row>
    <row r="17" spans="1:9" x14ac:dyDescent="0.2">
      <c r="A17" s="30" t="s">
        <v>31</v>
      </c>
      <c r="B17" s="31" t="s">
        <v>3</v>
      </c>
      <c r="C17" s="20">
        <v>18379.585650224217</v>
      </c>
      <c r="D17" s="20">
        <v>17476.408825112107</v>
      </c>
      <c r="E17" s="21">
        <v>18574.858690582958</v>
      </c>
      <c r="F17" s="22" t="s">
        <v>240</v>
      </c>
      <c r="G17" s="37">
        <v>1.0624452807311116</v>
      </c>
      <c r="H17" s="33">
        <v>6.2853294201522374</v>
      </c>
    </row>
    <row r="18" spans="1:9" ht="13.5" thickBot="1" x14ac:dyDescent="0.25">
      <c r="A18" s="56"/>
      <c r="B18" s="42" t="s">
        <v>240</v>
      </c>
      <c r="C18" s="43" t="s">
        <v>240</v>
      </c>
      <c r="D18" s="43" t="s">
        <v>240</v>
      </c>
      <c r="E18" s="43" t="s">
        <v>240</v>
      </c>
      <c r="F18" s="44"/>
      <c r="G18" s="57" t="s">
        <v>240</v>
      </c>
      <c r="H18" s="46" t="s">
        <v>240</v>
      </c>
    </row>
    <row r="19" spans="1:9" x14ac:dyDescent="0.2">
      <c r="A19" s="58"/>
      <c r="B19" s="58"/>
      <c r="C19" s="21"/>
      <c r="D19" s="21"/>
      <c r="E19" s="21"/>
      <c r="F19" s="59"/>
      <c r="G19" s="38"/>
      <c r="H19" s="60"/>
      <c r="I19" s="61"/>
    </row>
    <row r="20" spans="1:9" x14ac:dyDescent="0.2">
      <c r="A20" s="58"/>
      <c r="B20" s="62"/>
      <c r="C20" s="21"/>
      <c r="D20" s="21"/>
      <c r="E20" s="21"/>
      <c r="F20" s="63"/>
      <c r="G20" s="38"/>
      <c r="H20" s="60"/>
      <c r="I20" s="61"/>
    </row>
    <row r="21" spans="1:9" x14ac:dyDescent="0.2">
      <c r="A21" s="58"/>
      <c r="B21" s="58"/>
      <c r="C21" s="21"/>
      <c r="D21" s="21"/>
      <c r="E21" s="21"/>
      <c r="F21" s="59"/>
      <c r="G21" s="38"/>
      <c r="H21" s="60"/>
      <c r="I21" s="61"/>
    </row>
    <row r="22" spans="1:9" x14ac:dyDescent="0.2">
      <c r="A22" s="58"/>
      <c r="B22" s="62"/>
      <c r="C22" s="21"/>
      <c r="D22" s="21"/>
      <c r="E22" s="21"/>
      <c r="F22" s="63"/>
      <c r="G22" s="38"/>
      <c r="H22" s="60"/>
      <c r="I22" s="61"/>
    </row>
    <row r="23" spans="1:9" x14ac:dyDescent="0.2">
      <c r="A23" s="58"/>
      <c r="B23" s="58"/>
      <c r="C23" s="21"/>
      <c r="D23" s="21"/>
      <c r="E23" s="21"/>
      <c r="F23" s="59"/>
      <c r="G23" s="38"/>
      <c r="H23" s="60"/>
      <c r="I23" s="61"/>
    </row>
    <row r="24" spans="1:9" x14ac:dyDescent="0.2">
      <c r="A24" s="58"/>
      <c r="B24" s="62"/>
      <c r="C24" s="21"/>
      <c r="D24" s="21"/>
      <c r="E24" s="21"/>
      <c r="F24" s="63"/>
      <c r="G24" s="38"/>
      <c r="H24" s="60"/>
      <c r="I24" s="61"/>
    </row>
    <row r="25" spans="1:9" x14ac:dyDescent="0.2">
      <c r="A25" s="58"/>
      <c r="B25" s="58"/>
      <c r="C25" s="21"/>
      <c r="D25" s="21"/>
      <c r="E25" s="21"/>
      <c r="F25" s="59"/>
      <c r="G25" s="38"/>
      <c r="H25" s="60"/>
      <c r="I25" s="61"/>
    </row>
    <row r="26" spans="1:9" x14ac:dyDescent="0.2">
      <c r="A26" s="58"/>
      <c r="B26" s="62"/>
      <c r="C26" s="21"/>
      <c r="D26" s="21"/>
      <c r="E26" s="21"/>
      <c r="F26" s="63"/>
      <c r="G26" s="38"/>
      <c r="H26" s="60"/>
      <c r="I26" s="61"/>
    </row>
    <row r="27" spans="1:9" x14ac:dyDescent="0.2">
      <c r="A27" s="58"/>
      <c r="B27" s="58"/>
      <c r="C27" s="21"/>
      <c r="D27" s="21"/>
      <c r="E27" s="21"/>
      <c r="F27" s="59"/>
      <c r="G27" s="38"/>
      <c r="H27" s="60"/>
      <c r="I27" s="61"/>
    </row>
    <row r="28" spans="1:9" x14ac:dyDescent="0.2">
      <c r="A28" s="58"/>
      <c r="B28" s="62"/>
      <c r="C28" s="21"/>
      <c r="D28" s="21"/>
      <c r="E28" s="21"/>
      <c r="F28" s="63"/>
      <c r="G28" s="38"/>
      <c r="H28" s="60"/>
      <c r="I28" s="61"/>
    </row>
    <row r="29" spans="1:9" x14ac:dyDescent="0.2">
      <c r="A29" s="58"/>
      <c r="B29" s="58"/>
      <c r="C29" s="64"/>
      <c r="D29" s="64"/>
      <c r="E29" s="21"/>
      <c r="F29" s="59"/>
      <c r="G29" s="38"/>
      <c r="H29" s="60"/>
      <c r="I29" s="61"/>
    </row>
    <row r="30" spans="1:9" x14ac:dyDescent="0.2">
      <c r="A30" s="65"/>
      <c r="B30" s="62"/>
      <c r="C30" s="21"/>
      <c r="D30" s="21"/>
      <c r="E30" s="21"/>
      <c r="F30" s="63"/>
      <c r="G30" s="38"/>
      <c r="H30" s="60"/>
      <c r="I30" s="61"/>
    </row>
    <row r="31" spans="1:9" x14ac:dyDescent="0.2">
      <c r="A31" s="47"/>
      <c r="B31" s="48"/>
      <c r="C31" s="49"/>
      <c r="D31" s="55"/>
      <c r="E31" s="49"/>
      <c r="F31" s="49"/>
      <c r="G31" s="50"/>
      <c r="H31" s="51"/>
      <c r="I31" s="61"/>
    </row>
    <row r="32" spans="1:9" ht="16.5" thickBot="1" x14ac:dyDescent="0.3">
      <c r="A32" s="4" t="s">
        <v>32</v>
      </c>
      <c r="B32" s="5"/>
      <c r="C32" s="5"/>
      <c r="D32" s="5"/>
      <c r="E32" s="5"/>
      <c r="F32" s="5"/>
      <c r="G32" s="5"/>
      <c r="H32" s="6"/>
    </row>
    <row r="33" spans="1:9" x14ac:dyDescent="0.2">
      <c r="A33" s="7"/>
      <c r="B33" s="8"/>
      <c r="C33" s="178" t="s">
        <v>16</v>
      </c>
      <c r="D33" s="172"/>
      <c r="E33" s="172"/>
      <c r="F33" s="179"/>
      <c r="G33" s="172" t="s">
        <v>1</v>
      </c>
      <c r="H33" s="173"/>
    </row>
    <row r="34" spans="1:9" x14ac:dyDescent="0.2">
      <c r="A34" s="12"/>
      <c r="B34" s="13"/>
      <c r="C34" s="14" t="s">
        <v>235</v>
      </c>
      <c r="D34" s="15" t="s">
        <v>236</v>
      </c>
      <c r="E34" s="15" t="s">
        <v>237</v>
      </c>
      <c r="F34" s="16"/>
      <c r="G34" s="17" t="s">
        <v>238</v>
      </c>
      <c r="H34" s="18" t="s">
        <v>239</v>
      </c>
    </row>
    <row r="35" spans="1:9" ht="12.75" customHeight="1" x14ac:dyDescent="0.2">
      <c r="A35" s="174" t="s">
        <v>26</v>
      </c>
      <c r="B35" s="19" t="s">
        <v>3</v>
      </c>
      <c r="C35" s="80">
        <v>16417.970641978663</v>
      </c>
      <c r="D35" s="80">
        <v>18490.436763405316</v>
      </c>
      <c r="E35" s="83">
        <v>22049.628682232047</v>
      </c>
      <c r="F35" s="22" t="s">
        <v>240</v>
      </c>
      <c r="G35" s="23">
        <v>34.301791391037995</v>
      </c>
      <c r="H35" s="24">
        <v>19.248825565174201</v>
      </c>
    </row>
    <row r="36" spans="1:9" ht="12.75" customHeight="1" x14ac:dyDescent="0.2">
      <c r="A36" s="175"/>
      <c r="B36" s="25" t="s">
        <v>240</v>
      </c>
      <c r="C36" s="82" t="s">
        <v>240</v>
      </c>
      <c r="D36" s="82" t="s">
        <v>240</v>
      </c>
      <c r="E36" s="82" t="s">
        <v>240</v>
      </c>
      <c r="F36" s="27"/>
      <c r="G36" s="28" t="s">
        <v>240</v>
      </c>
      <c r="H36" s="29" t="s">
        <v>240</v>
      </c>
    </row>
    <row r="37" spans="1:9" x14ac:dyDescent="0.2">
      <c r="A37" s="30" t="s">
        <v>28</v>
      </c>
      <c r="B37" s="31" t="s">
        <v>3</v>
      </c>
      <c r="C37" s="80">
        <v>13580.769686566024</v>
      </c>
      <c r="D37" s="80">
        <v>15321.165447276724</v>
      </c>
      <c r="E37" s="83">
        <v>18123.835800424153</v>
      </c>
      <c r="F37" s="22" t="s">
        <v>240</v>
      </c>
      <c r="G37" s="32">
        <v>33.45219909260436</v>
      </c>
      <c r="H37" s="33">
        <v>18.292801306741268</v>
      </c>
    </row>
    <row r="38" spans="1:9" x14ac:dyDescent="0.2">
      <c r="A38" s="34"/>
      <c r="B38" s="25" t="s">
        <v>240</v>
      </c>
      <c r="C38" s="82" t="s">
        <v>240</v>
      </c>
      <c r="D38" s="82" t="s">
        <v>240</v>
      </c>
      <c r="E38" s="82" t="s">
        <v>240</v>
      </c>
      <c r="F38" s="27"/>
      <c r="G38" s="35" t="s">
        <v>240</v>
      </c>
      <c r="H38" s="29" t="s">
        <v>240</v>
      </c>
    </row>
    <row r="39" spans="1:9" x14ac:dyDescent="0.2">
      <c r="A39" s="30" t="s">
        <v>29</v>
      </c>
      <c r="B39" s="31" t="s">
        <v>3</v>
      </c>
      <c r="C39" s="80">
        <v>988.33799893854575</v>
      </c>
      <c r="D39" s="80">
        <v>1206.0091265245248</v>
      </c>
      <c r="E39" s="83">
        <v>1485.2030068613078</v>
      </c>
      <c r="F39" s="22" t="s">
        <v>240</v>
      </c>
      <c r="G39" s="37">
        <v>50.272782029668463</v>
      </c>
      <c r="H39" s="33">
        <v>23.150229479719073</v>
      </c>
    </row>
    <row r="40" spans="1:9" x14ac:dyDescent="0.2">
      <c r="A40" s="34"/>
      <c r="B40" s="25" t="s">
        <v>240</v>
      </c>
      <c r="C40" s="82" t="s">
        <v>240</v>
      </c>
      <c r="D40" s="82" t="s">
        <v>240</v>
      </c>
      <c r="E40" s="82" t="s">
        <v>240</v>
      </c>
      <c r="F40" s="27"/>
      <c r="G40" s="28" t="s">
        <v>240</v>
      </c>
      <c r="H40" s="29" t="s">
        <v>240</v>
      </c>
    </row>
    <row r="41" spans="1:9" x14ac:dyDescent="0.2">
      <c r="A41" s="30" t="s">
        <v>27</v>
      </c>
      <c r="B41" s="31" t="s">
        <v>3</v>
      </c>
      <c r="C41" s="80">
        <v>418.04889219756342</v>
      </c>
      <c r="D41" s="80">
        <v>365.200290528187</v>
      </c>
      <c r="E41" s="83">
        <v>498.48769444213616</v>
      </c>
      <c r="F41" s="22" t="s">
        <v>240</v>
      </c>
      <c r="G41" s="23">
        <v>19.241481976361413</v>
      </c>
      <c r="H41" s="24">
        <v>36.497069517983249</v>
      </c>
    </row>
    <row r="42" spans="1:9" x14ac:dyDescent="0.2">
      <c r="A42" s="34"/>
      <c r="B42" s="25" t="s">
        <v>240</v>
      </c>
      <c r="C42" s="82" t="s">
        <v>240</v>
      </c>
      <c r="D42" s="82" t="s">
        <v>240</v>
      </c>
      <c r="E42" s="82" t="s">
        <v>240</v>
      </c>
      <c r="F42" s="27"/>
      <c r="G42" s="38" t="s">
        <v>240</v>
      </c>
      <c r="H42" s="24" t="s">
        <v>240</v>
      </c>
    </row>
    <row r="43" spans="1:9" x14ac:dyDescent="0.2">
      <c r="A43" s="30" t="s">
        <v>30</v>
      </c>
      <c r="B43" s="31" t="s">
        <v>3</v>
      </c>
      <c r="C43" s="80">
        <v>831.51656987079025</v>
      </c>
      <c r="D43" s="80">
        <v>952.50273679954194</v>
      </c>
      <c r="E43" s="83">
        <v>1109.0466058534548</v>
      </c>
      <c r="F43" s="22" t="s">
        <v>240</v>
      </c>
      <c r="G43" s="37">
        <v>33.376368678472659</v>
      </c>
      <c r="H43" s="33">
        <v>16.435004646801147</v>
      </c>
    </row>
    <row r="44" spans="1:9" x14ac:dyDescent="0.2">
      <c r="A44" s="34"/>
      <c r="B44" s="25" t="s">
        <v>240</v>
      </c>
      <c r="C44" s="82" t="s">
        <v>240</v>
      </c>
      <c r="D44" s="82" t="s">
        <v>240</v>
      </c>
      <c r="E44" s="82" t="s">
        <v>240</v>
      </c>
      <c r="F44" s="27"/>
      <c r="G44" s="28" t="s">
        <v>240</v>
      </c>
      <c r="H44" s="29" t="s">
        <v>240</v>
      </c>
    </row>
    <row r="45" spans="1:9" x14ac:dyDescent="0.2">
      <c r="A45" s="30" t="s">
        <v>31</v>
      </c>
      <c r="B45" s="31" t="s">
        <v>3</v>
      </c>
      <c r="C45" s="80">
        <v>599.29749440574346</v>
      </c>
      <c r="D45" s="80">
        <v>645.55916227633691</v>
      </c>
      <c r="E45" s="83">
        <v>833.05557465099423</v>
      </c>
      <c r="F45" s="22" t="s">
        <v>240</v>
      </c>
      <c r="G45" s="37">
        <v>39.005349167535343</v>
      </c>
      <c r="H45" s="33">
        <v>29.044032418890509</v>
      </c>
    </row>
    <row r="46" spans="1:9" ht="13.5" thickBot="1" x14ac:dyDescent="0.25">
      <c r="A46" s="56"/>
      <c r="B46" s="42" t="s">
        <v>240</v>
      </c>
      <c r="C46" s="86" t="s">
        <v>240</v>
      </c>
      <c r="D46" s="86" t="s">
        <v>240</v>
      </c>
      <c r="E46" s="86" t="s">
        <v>240</v>
      </c>
      <c r="F46" s="44"/>
      <c r="G46" s="57" t="s">
        <v>240</v>
      </c>
      <c r="H46" s="46" t="s">
        <v>240</v>
      </c>
    </row>
    <row r="47" spans="1:9" x14ac:dyDescent="0.2">
      <c r="A47" s="58"/>
      <c r="B47" s="58"/>
      <c r="C47" s="21"/>
      <c r="D47" s="21"/>
      <c r="E47" s="21"/>
      <c r="F47" s="59"/>
      <c r="G47" s="38"/>
      <c r="H47" s="60"/>
      <c r="I47" s="61"/>
    </row>
    <row r="48" spans="1:9" x14ac:dyDescent="0.2">
      <c r="A48" s="58"/>
      <c r="B48" s="62"/>
      <c r="C48" s="21"/>
      <c r="D48" s="21"/>
      <c r="E48" s="21"/>
      <c r="F48" s="63"/>
      <c r="G48" s="38"/>
      <c r="H48" s="60"/>
      <c r="I48" s="61"/>
    </row>
    <row r="49" spans="1:9" x14ac:dyDescent="0.2">
      <c r="A49" s="58"/>
      <c r="B49" s="58"/>
      <c r="C49" s="21"/>
      <c r="D49" s="21"/>
      <c r="E49" s="96"/>
      <c r="F49" s="59"/>
      <c r="G49" s="38"/>
      <c r="H49" s="60"/>
      <c r="I49" s="61"/>
    </row>
    <row r="50" spans="1:9" x14ac:dyDescent="0.2">
      <c r="A50" s="58"/>
      <c r="B50" s="62"/>
      <c r="C50" s="21"/>
      <c r="D50" s="21"/>
      <c r="E50" s="21"/>
      <c r="F50" s="63"/>
      <c r="G50" s="38"/>
      <c r="H50" s="60"/>
      <c r="I50" s="61"/>
    </row>
    <row r="51" spans="1:9" x14ac:dyDescent="0.2">
      <c r="A51" s="58"/>
      <c r="B51" s="58"/>
      <c r="C51" s="21"/>
      <c r="D51" s="21"/>
      <c r="E51" s="21"/>
      <c r="F51" s="59"/>
      <c r="G51" s="38"/>
      <c r="H51" s="60"/>
      <c r="I51" s="61"/>
    </row>
    <row r="52" spans="1:9" x14ac:dyDescent="0.2">
      <c r="A52" s="58"/>
      <c r="B52" s="62"/>
      <c r="C52" s="21"/>
      <c r="D52" s="21"/>
      <c r="E52" s="21"/>
      <c r="F52" s="63"/>
      <c r="G52" s="38"/>
      <c r="H52" s="60"/>
      <c r="I52" s="61"/>
    </row>
    <row r="53" spans="1:9" x14ac:dyDescent="0.2">
      <c r="A53" s="58"/>
      <c r="B53" s="58"/>
      <c r="C53" s="21"/>
      <c r="D53" s="21"/>
      <c r="E53" s="21"/>
      <c r="F53" s="59"/>
      <c r="G53" s="38"/>
      <c r="H53" s="60"/>
      <c r="I53" s="61"/>
    </row>
    <row r="54" spans="1:9" x14ac:dyDescent="0.2">
      <c r="A54" s="58"/>
      <c r="B54" s="62"/>
      <c r="C54" s="21"/>
      <c r="D54" s="21"/>
      <c r="E54" s="21"/>
      <c r="F54" s="63"/>
      <c r="G54" s="38"/>
      <c r="H54" s="60"/>
      <c r="I54" s="61"/>
    </row>
    <row r="55" spans="1:9" x14ac:dyDescent="0.2">
      <c r="A55" s="58"/>
      <c r="B55" s="58"/>
      <c r="C55" s="21"/>
      <c r="D55" s="21"/>
      <c r="E55" s="21"/>
      <c r="F55" s="59"/>
      <c r="G55" s="38"/>
      <c r="H55" s="60"/>
      <c r="I55" s="61"/>
    </row>
    <row r="56" spans="1:9" x14ac:dyDescent="0.2">
      <c r="A56" s="58"/>
      <c r="B56" s="62"/>
      <c r="C56" s="21"/>
      <c r="D56" s="21"/>
      <c r="E56" s="21"/>
      <c r="F56" s="63"/>
      <c r="G56" s="38"/>
      <c r="H56" s="60"/>
      <c r="I56" s="61"/>
    </row>
    <row r="57" spans="1:9" x14ac:dyDescent="0.2">
      <c r="A57" s="58"/>
      <c r="B57" s="58"/>
      <c r="C57" s="64"/>
      <c r="D57" s="64"/>
      <c r="E57" s="21"/>
      <c r="F57" s="59"/>
      <c r="G57" s="38"/>
      <c r="H57" s="60"/>
      <c r="I57" s="61"/>
    </row>
    <row r="58" spans="1:9" x14ac:dyDescent="0.2">
      <c r="A58" s="58"/>
      <c r="B58" s="58"/>
      <c r="C58" s="64"/>
      <c r="D58" s="64"/>
      <c r="E58" s="21"/>
      <c r="F58" s="59"/>
      <c r="G58" s="38"/>
      <c r="H58" s="60"/>
      <c r="I58" s="61"/>
    </row>
    <row r="59" spans="1:9" x14ac:dyDescent="0.2">
      <c r="A59" s="65"/>
      <c r="B59" s="62"/>
      <c r="C59" s="21"/>
      <c r="D59" s="21"/>
      <c r="E59" s="21"/>
      <c r="F59" s="63"/>
      <c r="G59" s="38"/>
      <c r="H59" s="60"/>
      <c r="I59" s="61"/>
    </row>
    <row r="60" spans="1:9" x14ac:dyDescent="0.2">
      <c r="A60" s="52"/>
      <c r="B60" s="52"/>
      <c r="C60" s="52"/>
      <c r="D60" s="52"/>
      <c r="E60" s="52"/>
      <c r="F60" s="52"/>
      <c r="G60" s="52"/>
      <c r="H60" s="52"/>
    </row>
    <row r="61" spans="1:9" ht="12.75" customHeight="1" x14ac:dyDescent="0.2">
      <c r="A61" s="54" t="s">
        <v>241</v>
      </c>
      <c r="G61" s="53"/>
      <c r="H61" s="177">
        <v>11</v>
      </c>
    </row>
    <row r="62" spans="1:9" ht="12.75" customHeight="1" x14ac:dyDescent="0.2">
      <c r="A62" s="54" t="s">
        <v>242</v>
      </c>
      <c r="G62" s="53"/>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26" display="Tilbake til innholdsfortegnelsen" xr:uid="{00000000-0004-0000-06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146</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ht="12.75" customHeight="1" x14ac:dyDescent="0.2">
      <c r="A7" s="174" t="s">
        <v>26</v>
      </c>
      <c r="B7" s="19" t="s">
        <v>3</v>
      </c>
      <c r="C7" s="20">
        <v>951813.97167414054</v>
      </c>
      <c r="D7" s="20">
        <v>1007651.1441704036</v>
      </c>
      <c r="E7" s="21">
        <v>1089351.9396860986</v>
      </c>
      <c r="F7" s="22" t="s">
        <v>240</v>
      </c>
      <c r="G7" s="23">
        <v>14.450089209138554</v>
      </c>
      <c r="H7" s="24">
        <v>8.1080437399750167</v>
      </c>
    </row>
    <row r="8" spans="1:8" ht="12.75" customHeight="1" x14ac:dyDescent="0.2">
      <c r="A8" s="175"/>
      <c r="B8" s="25" t="s">
        <v>240</v>
      </c>
      <c r="C8" s="26" t="s">
        <v>240</v>
      </c>
      <c r="D8" s="26" t="s">
        <v>240</v>
      </c>
      <c r="E8" s="26" t="s">
        <v>240</v>
      </c>
      <c r="F8" s="27"/>
      <c r="G8" s="28" t="s">
        <v>240</v>
      </c>
      <c r="H8" s="29" t="s">
        <v>240</v>
      </c>
    </row>
    <row r="9" spans="1:8" x14ac:dyDescent="0.2">
      <c r="A9" s="30" t="s">
        <v>34</v>
      </c>
      <c r="B9" s="31" t="s">
        <v>3</v>
      </c>
      <c r="C9" s="20">
        <v>9110.9699999999993</v>
      </c>
      <c r="D9" s="20">
        <v>9739.3896000000004</v>
      </c>
      <c r="E9" s="21">
        <v>11274.893599999999</v>
      </c>
      <c r="F9" s="22" t="s">
        <v>240</v>
      </c>
      <c r="G9" s="32">
        <v>23.750748822573215</v>
      </c>
      <c r="H9" s="33">
        <v>15.765916171994988</v>
      </c>
    </row>
    <row r="10" spans="1:8" x14ac:dyDescent="0.2">
      <c r="A10" s="34"/>
      <c r="B10" s="25" t="s">
        <v>240</v>
      </c>
      <c r="C10" s="26" t="s">
        <v>240</v>
      </c>
      <c r="D10" s="26" t="s">
        <v>240</v>
      </c>
      <c r="E10" s="26" t="s">
        <v>240</v>
      </c>
      <c r="F10" s="27"/>
      <c r="G10" s="35" t="s">
        <v>240</v>
      </c>
      <c r="H10" s="29" t="s">
        <v>240</v>
      </c>
    </row>
    <row r="11" spans="1:8" x14ac:dyDescent="0.2">
      <c r="A11" s="30" t="s">
        <v>35</v>
      </c>
      <c r="B11" s="31" t="s">
        <v>3</v>
      </c>
      <c r="C11" s="20">
        <v>3013.5176000000001</v>
      </c>
      <c r="D11" s="20">
        <v>3055.3111680000002</v>
      </c>
      <c r="E11" s="21">
        <v>3253.7914879999998</v>
      </c>
      <c r="F11" s="22" t="s">
        <v>240</v>
      </c>
      <c r="G11" s="37">
        <v>7.9732034085349142</v>
      </c>
      <c r="H11" s="33">
        <v>6.4962391418195438</v>
      </c>
    </row>
    <row r="12" spans="1:8" x14ac:dyDescent="0.2">
      <c r="A12" s="34"/>
      <c r="B12" s="25" t="s">
        <v>240</v>
      </c>
      <c r="C12" s="26" t="s">
        <v>240</v>
      </c>
      <c r="D12" s="26" t="s">
        <v>240</v>
      </c>
      <c r="E12" s="26" t="s">
        <v>240</v>
      </c>
      <c r="F12" s="27"/>
      <c r="G12" s="28" t="s">
        <v>240</v>
      </c>
      <c r="H12" s="29" t="s">
        <v>240</v>
      </c>
    </row>
    <row r="13" spans="1:8" x14ac:dyDescent="0.2">
      <c r="A13" s="30" t="s">
        <v>36</v>
      </c>
      <c r="B13" s="31" t="s">
        <v>3</v>
      </c>
      <c r="C13" s="20">
        <v>148326.84133333334</v>
      </c>
      <c r="D13" s="20">
        <v>163023.26144</v>
      </c>
      <c r="E13" s="21">
        <v>170758.00704000003</v>
      </c>
      <c r="F13" s="22" t="s">
        <v>240</v>
      </c>
      <c r="G13" s="23">
        <v>15.122796052979609</v>
      </c>
      <c r="H13" s="24">
        <v>4.7445656108694436</v>
      </c>
    </row>
    <row r="14" spans="1:8" x14ac:dyDescent="0.2">
      <c r="A14" s="34"/>
      <c r="B14" s="25" t="s">
        <v>240</v>
      </c>
      <c r="C14" s="26" t="s">
        <v>240</v>
      </c>
      <c r="D14" s="26" t="s">
        <v>240</v>
      </c>
      <c r="E14" s="26" t="s">
        <v>240</v>
      </c>
      <c r="F14" s="27"/>
      <c r="G14" s="38" t="s">
        <v>240</v>
      </c>
      <c r="H14" s="24" t="s">
        <v>240</v>
      </c>
    </row>
    <row r="15" spans="1:8" x14ac:dyDescent="0.2">
      <c r="A15" s="30" t="s">
        <v>18</v>
      </c>
      <c r="B15" s="31" t="s">
        <v>3</v>
      </c>
      <c r="C15" s="20">
        <v>3335.0839999999998</v>
      </c>
      <c r="D15" s="20">
        <v>3430.3651199999999</v>
      </c>
      <c r="E15" s="21">
        <v>3142.9939200000003</v>
      </c>
      <c r="F15" s="22" t="s">
        <v>240</v>
      </c>
      <c r="G15" s="37">
        <v>-5.7596774174203631</v>
      </c>
      <c r="H15" s="33">
        <v>-8.3772773435849217</v>
      </c>
    </row>
    <row r="16" spans="1:8" x14ac:dyDescent="0.2">
      <c r="A16" s="34"/>
      <c r="B16" s="25" t="s">
        <v>240</v>
      </c>
      <c r="C16" s="26" t="s">
        <v>240</v>
      </c>
      <c r="D16" s="26" t="s">
        <v>240</v>
      </c>
      <c r="E16" s="26" t="s">
        <v>240</v>
      </c>
      <c r="F16" s="27"/>
      <c r="G16" s="28" t="s">
        <v>240</v>
      </c>
      <c r="H16" s="29" t="s">
        <v>240</v>
      </c>
    </row>
    <row r="17" spans="1:9" x14ac:dyDescent="0.2">
      <c r="A17" s="30" t="s">
        <v>37</v>
      </c>
      <c r="B17" s="31" t="s">
        <v>3</v>
      </c>
      <c r="C17" s="20">
        <v>1804.2764</v>
      </c>
      <c r="D17" s="20">
        <v>2376.9667520000003</v>
      </c>
      <c r="E17" s="21">
        <v>2706.1872320000002</v>
      </c>
      <c r="F17" s="22" t="s">
        <v>240</v>
      </c>
      <c r="G17" s="37">
        <v>49.987398383085889</v>
      </c>
      <c r="H17" s="33">
        <v>13.850445309047373</v>
      </c>
    </row>
    <row r="18" spans="1:9" x14ac:dyDescent="0.2">
      <c r="A18" s="34"/>
      <c r="B18" s="25" t="s">
        <v>240</v>
      </c>
      <c r="C18" s="26" t="s">
        <v>240</v>
      </c>
      <c r="D18" s="26" t="s">
        <v>240</v>
      </c>
      <c r="E18" s="26" t="s">
        <v>240</v>
      </c>
      <c r="F18" s="27"/>
      <c r="G18" s="28" t="s">
        <v>240</v>
      </c>
      <c r="H18" s="29" t="s">
        <v>240</v>
      </c>
    </row>
    <row r="19" spans="1:9" x14ac:dyDescent="0.2">
      <c r="A19" s="30" t="s">
        <v>38</v>
      </c>
      <c r="B19" s="31" t="s">
        <v>3</v>
      </c>
      <c r="C19" s="20">
        <v>4491.8626666666669</v>
      </c>
      <c r="D19" s="20">
        <v>5261.1852799999997</v>
      </c>
      <c r="E19" s="21">
        <v>6141.6524800000007</v>
      </c>
      <c r="F19" s="22" t="s">
        <v>240</v>
      </c>
      <c r="G19" s="23">
        <v>36.728411702702715</v>
      </c>
      <c r="H19" s="24">
        <v>16.735149080322856</v>
      </c>
    </row>
    <row r="20" spans="1:9" x14ac:dyDescent="0.2">
      <c r="A20" s="30"/>
      <c r="B20" s="25" t="s">
        <v>240</v>
      </c>
      <c r="C20" s="26" t="s">
        <v>240</v>
      </c>
      <c r="D20" s="26" t="s">
        <v>240</v>
      </c>
      <c r="E20" s="26" t="s">
        <v>240</v>
      </c>
      <c r="F20" s="27"/>
      <c r="G20" s="38" t="s">
        <v>240</v>
      </c>
      <c r="H20" s="24" t="s">
        <v>240</v>
      </c>
    </row>
    <row r="21" spans="1:9" x14ac:dyDescent="0.2">
      <c r="A21" s="39" t="s">
        <v>39</v>
      </c>
      <c r="B21" s="31" t="s">
        <v>3</v>
      </c>
      <c r="C21" s="20">
        <v>249931.11600000001</v>
      </c>
      <c r="D21" s="20">
        <v>273815.89088000002</v>
      </c>
      <c r="E21" s="21">
        <v>309577.70208000002</v>
      </c>
      <c r="F21" s="22" t="s">
        <v>240</v>
      </c>
      <c r="G21" s="37">
        <v>23.8652101565457</v>
      </c>
      <c r="H21" s="33">
        <v>13.060531689766904</v>
      </c>
    </row>
    <row r="22" spans="1:9" x14ac:dyDescent="0.2">
      <c r="A22" s="34"/>
      <c r="B22" s="25" t="s">
        <v>240</v>
      </c>
      <c r="C22" s="26" t="s">
        <v>240</v>
      </c>
      <c r="D22" s="26" t="s">
        <v>240</v>
      </c>
      <c r="E22" s="26" t="s">
        <v>240</v>
      </c>
      <c r="F22" s="27"/>
      <c r="G22" s="28" t="s">
        <v>240</v>
      </c>
      <c r="H22" s="29" t="s">
        <v>240</v>
      </c>
    </row>
    <row r="23" spans="1:9" x14ac:dyDescent="0.2">
      <c r="A23" s="39" t="s">
        <v>40</v>
      </c>
      <c r="B23" s="31" t="s">
        <v>3</v>
      </c>
      <c r="C23" s="20">
        <v>251652.88</v>
      </c>
      <c r="D23" s="20">
        <v>254072.55840000001</v>
      </c>
      <c r="E23" s="21">
        <v>277481.57440000004</v>
      </c>
      <c r="F23" s="22" t="s">
        <v>240</v>
      </c>
      <c r="G23" s="23">
        <v>10.263619633520605</v>
      </c>
      <c r="H23" s="24">
        <v>9.2135160709272697</v>
      </c>
    </row>
    <row r="24" spans="1:9" x14ac:dyDescent="0.2">
      <c r="A24" s="34"/>
      <c r="B24" s="25" t="s">
        <v>240</v>
      </c>
      <c r="C24" s="26" t="s">
        <v>240</v>
      </c>
      <c r="D24" s="26" t="s">
        <v>240</v>
      </c>
      <c r="E24" s="26" t="s">
        <v>240</v>
      </c>
      <c r="F24" s="27"/>
      <c r="G24" s="38" t="s">
        <v>240</v>
      </c>
      <c r="H24" s="24" t="s">
        <v>240</v>
      </c>
    </row>
    <row r="25" spans="1:9" x14ac:dyDescent="0.2">
      <c r="A25" s="30" t="s">
        <v>41</v>
      </c>
      <c r="B25" s="31" t="s">
        <v>3</v>
      </c>
      <c r="C25" s="20">
        <v>315189.89500000002</v>
      </c>
      <c r="D25" s="20">
        <v>347911.86359999998</v>
      </c>
      <c r="E25" s="21">
        <v>385567.62760000001</v>
      </c>
      <c r="F25" s="22" t="s">
        <v>240</v>
      </c>
      <c r="G25" s="37">
        <v>22.328676685526361</v>
      </c>
      <c r="H25" s="33">
        <v>10.823363023714961</v>
      </c>
    </row>
    <row r="26" spans="1:9" x14ac:dyDescent="0.2">
      <c r="A26" s="34"/>
      <c r="B26" s="25" t="s">
        <v>240</v>
      </c>
      <c r="C26" s="26" t="s">
        <v>240</v>
      </c>
      <c r="D26" s="26" t="s">
        <v>240</v>
      </c>
      <c r="E26" s="26" t="s">
        <v>240</v>
      </c>
      <c r="F26" s="27"/>
      <c r="G26" s="28" t="s">
        <v>240</v>
      </c>
      <c r="H26" s="29" t="s">
        <v>240</v>
      </c>
    </row>
    <row r="27" spans="1:9" x14ac:dyDescent="0.2">
      <c r="A27" s="30" t="s">
        <v>24</v>
      </c>
      <c r="B27" s="31" t="s">
        <v>3</v>
      </c>
      <c r="C27" s="20">
        <v>190521.25333333333</v>
      </c>
      <c r="D27" s="20">
        <v>229188.70559999999</v>
      </c>
      <c r="E27" s="21">
        <v>232467.0496</v>
      </c>
      <c r="F27" s="22" t="s">
        <v>240</v>
      </c>
      <c r="G27" s="23">
        <v>22.01633441560395</v>
      </c>
      <c r="H27" s="24">
        <v>1.4304125464723541</v>
      </c>
    </row>
    <row r="28" spans="1:9" ht="13.5" thickBot="1" x14ac:dyDescent="0.25">
      <c r="A28" s="56"/>
      <c r="B28" s="42" t="s">
        <v>240</v>
      </c>
      <c r="C28" s="43" t="s">
        <v>240</v>
      </c>
      <c r="D28" s="43" t="s">
        <v>240</v>
      </c>
      <c r="E28" s="43" t="s">
        <v>240</v>
      </c>
      <c r="F28" s="44"/>
      <c r="G28" s="57" t="s">
        <v>240</v>
      </c>
      <c r="H28" s="46" t="s">
        <v>240</v>
      </c>
    </row>
    <row r="29" spans="1:9" x14ac:dyDescent="0.2">
      <c r="A29" s="58"/>
      <c r="B29" s="58"/>
      <c r="C29" s="64"/>
      <c r="D29" s="64"/>
      <c r="E29" s="21"/>
      <c r="F29" s="59"/>
      <c r="G29" s="38"/>
      <c r="H29" s="60"/>
      <c r="I29" s="61"/>
    </row>
    <row r="30" spans="1:9" x14ac:dyDescent="0.2">
      <c r="A30" s="65"/>
      <c r="B30" s="62"/>
      <c r="C30" s="21"/>
      <c r="D30" s="21"/>
      <c r="E30" s="21"/>
      <c r="F30" s="63"/>
      <c r="G30" s="38"/>
      <c r="H30" s="60"/>
      <c r="I30" s="61"/>
    </row>
    <row r="31" spans="1:9" x14ac:dyDescent="0.2">
      <c r="A31" s="47"/>
      <c r="B31" s="48"/>
      <c r="C31" s="49"/>
      <c r="D31" s="55"/>
      <c r="E31" s="49"/>
      <c r="F31" s="49"/>
      <c r="G31" s="50"/>
      <c r="H31" s="51"/>
      <c r="I31" s="61"/>
    </row>
    <row r="32" spans="1:9" ht="16.5" thickBot="1" x14ac:dyDescent="0.3">
      <c r="A32" s="4" t="s">
        <v>33</v>
      </c>
      <c r="B32" s="5"/>
      <c r="C32" s="5"/>
      <c r="D32" s="5"/>
      <c r="E32" s="5"/>
      <c r="F32" s="5"/>
      <c r="G32" s="5"/>
      <c r="H32" s="6"/>
    </row>
    <row r="33" spans="1:8" x14ac:dyDescent="0.2">
      <c r="A33" s="7"/>
      <c r="B33" s="8"/>
      <c r="C33" s="178" t="s">
        <v>16</v>
      </c>
      <c r="D33" s="172"/>
      <c r="E33" s="172"/>
      <c r="F33" s="179"/>
      <c r="G33" s="172" t="s">
        <v>1</v>
      </c>
      <c r="H33" s="173"/>
    </row>
    <row r="34" spans="1:8" x14ac:dyDescent="0.2">
      <c r="A34" s="12"/>
      <c r="B34" s="13"/>
      <c r="C34" s="14" t="s">
        <v>235</v>
      </c>
      <c r="D34" s="15" t="s">
        <v>236</v>
      </c>
      <c r="E34" s="15" t="s">
        <v>237</v>
      </c>
      <c r="F34" s="16"/>
      <c r="G34" s="17" t="s">
        <v>238</v>
      </c>
      <c r="H34" s="18" t="s">
        <v>239</v>
      </c>
    </row>
    <row r="35" spans="1:8" ht="12.75" customHeight="1" x14ac:dyDescent="0.2">
      <c r="A35" s="174" t="s">
        <v>26</v>
      </c>
      <c r="B35" s="19" t="s">
        <v>3</v>
      </c>
      <c r="C35" s="80">
        <v>16417.970641978663</v>
      </c>
      <c r="D35" s="80">
        <v>18490.436763405316</v>
      </c>
      <c r="E35" s="83">
        <v>22049.628682232047</v>
      </c>
      <c r="F35" s="22" t="s">
        <v>240</v>
      </c>
      <c r="G35" s="23">
        <v>34.301791391037995</v>
      </c>
      <c r="H35" s="24">
        <v>19.248825565174201</v>
      </c>
    </row>
    <row r="36" spans="1:8" ht="12.75" customHeight="1" x14ac:dyDescent="0.2">
      <c r="A36" s="175"/>
      <c r="B36" s="25" t="s">
        <v>240</v>
      </c>
      <c r="C36" s="82" t="s">
        <v>240</v>
      </c>
      <c r="D36" s="82" t="s">
        <v>240</v>
      </c>
      <c r="E36" s="82" t="s">
        <v>240</v>
      </c>
      <c r="F36" s="27"/>
      <c r="G36" s="28" t="s">
        <v>240</v>
      </c>
      <c r="H36" s="29" t="s">
        <v>240</v>
      </c>
    </row>
    <row r="37" spans="1:8" x14ac:dyDescent="0.2">
      <c r="A37" s="30" t="s">
        <v>34</v>
      </c>
      <c r="B37" s="31" t="s">
        <v>3</v>
      </c>
      <c r="C37" s="84">
        <v>1215.8517696644105</v>
      </c>
      <c r="D37" s="84">
        <v>1443.3068707258924</v>
      </c>
      <c r="E37" s="83">
        <v>1584.721697515693</v>
      </c>
      <c r="F37" s="22" t="s">
        <v>240</v>
      </c>
      <c r="G37" s="32">
        <v>30.338396262983167</v>
      </c>
      <c r="H37" s="33">
        <v>9.7979736435868148</v>
      </c>
    </row>
    <row r="38" spans="1:8" x14ac:dyDescent="0.2">
      <c r="A38" s="34"/>
      <c r="B38" s="25" t="s">
        <v>240</v>
      </c>
      <c r="C38" s="82" t="s">
        <v>240</v>
      </c>
      <c r="D38" s="82" t="s">
        <v>240</v>
      </c>
      <c r="E38" s="82" t="s">
        <v>240</v>
      </c>
      <c r="F38" s="27"/>
      <c r="G38" s="35" t="s">
        <v>240</v>
      </c>
      <c r="H38" s="29" t="s">
        <v>240</v>
      </c>
    </row>
    <row r="39" spans="1:8" x14ac:dyDescent="0.2">
      <c r="A39" s="30" t="s">
        <v>35</v>
      </c>
      <c r="B39" s="31" t="s">
        <v>3</v>
      </c>
      <c r="C39" s="84">
        <v>58.943539796359211</v>
      </c>
      <c r="D39" s="84">
        <v>41.666176525629631</v>
      </c>
      <c r="E39" s="83">
        <v>45.592377946069099</v>
      </c>
      <c r="F39" s="22" t="s">
        <v>240</v>
      </c>
      <c r="G39" s="37">
        <v>-22.650763589048623</v>
      </c>
      <c r="H39" s="33">
        <v>9.4229942553629513</v>
      </c>
    </row>
    <row r="40" spans="1:8" x14ac:dyDescent="0.2">
      <c r="A40" s="34"/>
      <c r="B40" s="25" t="s">
        <v>240</v>
      </c>
      <c r="C40" s="82" t="s">
        <v>240</v>
      </c>
      <c r="D40" s="82" t="s">
        <v>240</v>
      </c>
      <c r="E40" s="82" t="s">
        <v>240</v>
      </c>
      <c r="F40" s="27"/>
      <c r="G40" s="28" t="s">
        <v>240</v>
      </c>
      <c r="H40" s="29" t="s">
        <v>240</v>
      </c>
    </row>
    <row r="41" spans="1:8" x14ac:dyDescent="0.2">
      <c r="A41" s="30" t="s">
        <v>36</v>
      </c>
      <c r="B41" s="31" t="s">
        <v>3</v>
      </c>
      <c r="C41" s="84">
        <v>2896.8526582126128</v>
      </c>
      <c r="D41" s="84">
        <v>3082.5553135392306</v>
      </c>
      <c r="E41" s="83">
        <v>3508.066046913023</v>
      </c>
      <c r="F41" s="22" t="s">
        <v>240</v>
      </c>
      <c r="G41" s="23">
        <v>21.09922252923748</v>
      </c>
      <c r="H41" s="24">
        <v>13.803831240427698</v>
      </c>
    </row>
    <row r="42" spans="1:8" x14ac:dyDescent="0.2">
      <c r="A42" s="34"/>
      <c r="B42" s="25" t="s">
        <v>240</v>
      </c>
      <c r="C42" s="82" t="s">
        <v>240</v>
      </c>
      <c r="D42" s="82" t="s">
        <v>240</v>
      </c>
      <c r="E42" s="82" t="s">
        <v>240</v>
      </c>
      <c r="F42" s="27"/>
      <c r="G42" s="38" t="s">
        <v>240</v>
      </c>
      <c r="H42" s="24" t="s">
        <v>240</v>
      </c>
    </row>
    <row r="43" spans="1:8" x14ac:dyDescent="0.2">
      <c r="A43" s="30" t="s">
        <v>18</v>
      </c>
      <c r="B43" s="31" t="s">
        <v>3</v>
      </c>
      <c r="C43" s="84">
        <v>275.64287647593477</v>
      </c>
      <c r="D43" s="84">
        <v>314.01071525743112</v>
      </c>
      <c r="E43" s="83">
        <v>285.96684758238604</v>
      </c>
      <c r="F43" s="22" t="s">
        <v>240</v>
      </c>
      <c r="G43" s="37">
        <v>3.7454155312998409</v>
      </c>
      <c r="H43" s="33">
        <v>-8.9308632834565032</v>
      </c>
    </row>
    <row r="44" spans="1:8" x14ac:dyDescent="0.2">
      <c r="A44" s="34"/>
      <c r="B44" s="25" t="s">
        <v>240</v>
      </c>
      <c r="C44" s="82" t="s">
        <v>240</v>
      </c>
      <c r="D44" s="82" t="s">
        <v>240</v>
      </c>
      <c r="E44" s="82" t="s">
        <v>240</v>
      </c>
      <c r="F44" s="27"/>
      <c r="G44" s="28" t="s">
        <v>240</v>
      </c>
      <c r="H44" s="29" t="s">
        <v>240</v>
      </c>
    </row>
    <row r="45" spans="1:8" x14ac:dyDescent="0.2">
      <c r="A45" s="30" t="s">
        <v>37</v>
      </c>
      <c r="B45" s="31" t="s">
        <v>3</v>
      </c>
      <c r="C45" s="84">
        <v>68.836603252269072</v>
      </c>
      <c r="D45" s="84">
        <v>122.80734853914598</v>
      </c>
      <c r="E45" s="83">
        <v>124.042723052078</v>
      </c>
      <c r="F45" s="22" t="s">
        <v>240</v>
      </c>
      <c r="G45" s="37">
        <v>80.198785517484367</v>
      </c>
      <c r="H45" s="33">
        <v>1.0059451064023506</v>
      </c>
    </row>
    <row r="46" spans="1:8" x14ac:dyDescent="0.2">
      <c r="A46" s="34"/>
      <c r="B46" s="25" t="s">
        <v>240</v>
      </c>
      <c r="C46" s="82" t="s">
        <v>240</v>
      </c>
      <c r="D46" s="82" t="s">
        <v>240</v>
      </c>
      <c r="E46" s="82" t="s">
        <v>240</v>
      </c>
      <c r="F46" s="27"/>
      <c r="G46" s="28" t="s">
        <v>240</v>
      </c>
      <c r="H46" s="29" t="s">
        <v>240</v>
      </c>
    </row>
    <row r="47" spans="1:8" x14ac:dyDescent="0.2">
      <c r="A47" s="30" t="s">
        <v>38</v>
      </c>
      <c r="B47" s="31" t="s">
        <v>3</v>
      </c>
      <c r="C47" s="84">
        <v>86.835306075921963</v>
      </c>
      <c r="D47" s="84">
        <v>125.34639853072572</v>
      </c>
      <c r="E47" s="83">
        <v>196.64701799581545</v>
      </c>
      <c r="F47" s="22" t="s">
        <v>240</v>
      </c>
      <c r="G47" s="23">
        <v>126.45975108774624</v>
      </c>
      <c r="H47" s="24">
        <v>56.882862452256319</v>
      </c>
    </row>
    <row r="48" spans="1:8" x14ac:dyDescent="0.2">
      <c r="A48" s="30"/>
      <c r="B48" s="25" t="s">
        <v>240</v>
      </c>
      <c r="C48" s="82" t="s">
        <v>240</v>
      </c>
      <c r="D48" s="82" t="s">
        <v>240</v>
      </c>
      <c r="E48" s="82" t="s">
        <v>240</v>
      </c>
      <c r="F48" s="27"/>
      <c r="G48" s="38" t="s">
        <v>240</v>
      </c>
      <c r="H48" s="24" t="s">
        <v>240</v>
      </c>
    </row>
    <row r="49" spans="1:9" x14ac:dyDescent="0.2">
      <c r="A49" s="39" t="s">
        <v>39</v>
      </c>
      <c r="B49" s="31" t="s">
        <v>3</v>
      </c>
      <c r="C49" s="84">
        <v>1589.0848721890409</v>
      </c>
      <c r="D49" s="84">
        <v>1748.714082406844</v>
      </c>
      <c r="E49" s="83">
        <v>2094.4640437700255</v>
      </c>
      <c r="F49" s="22" t="s">
        <v>240</v>
      </c>
      <c r="G49" s="37">
        <v>31.803157932326201</v>
      </c>
      <c r="H49" s="33">
        <v>19.771669070526855</v>
      </c>
    </row>
    <row r="50" spans="1:9" x14ac:dyDescent="0.2">
      <c r="A50" s="34"/>
      <c r="B50" s="25" t="s">
        <v>240</v>
      </c>
      <c r="C50" s="82" t="s">
        <v>240</v>
      </c>
      <c r="D50" s="82" t="s">
        <v>240</v>
      </c>
      <c r="E50" s="82" t="s">
        <v>240</v>
      </c>
      <c r="F50" s="27"/>
      <c r="G50" s="28" t="s">
        <v>240</v>
      </c>
      <c r="H50" s="29" t="s">
        <v>240</v>
      </c>
    </row>
    <row r="51" spans="1:9" x14ac:dyDescent="0.2">
      <c r="A51" s="39" t="s">
        <v>40</v>
      </c>
      <c r="B51" s="31" t="s">
        <v>3</v>
      </c>
      <c r="C51" s="84">
        <v>1149.7553216366812</v>
      </c>
      <c r="D51" s="84">
        <v>1007.3590694603269</v>
      </c>
      <c r="E51" s="83">
        <v>1183.8289694558948</v>
      </c>
      <c r="F51" s="22" t="s">
        <v>240</v>
      </c>
      <c r="G51" s="23">
        <v>2.9635564348343024</v>
      </c>
      <c r="H51" s="24">
        <v>17.518073281467366</v>
      </c>
    </row>
    <row r="52" spans="1:9" x14ac:dyDescent="0.2">
      <c r="A52" s="34"/>
      <c r="B52" s="25" t="s">
        <v>240</v>
      </c>
      <c r="C52" s="82" t="s">
        <v>240</v>
      </c>
      <c r="D52" s="82" t="s">
        <v>240</v>
      </c>
      <c r="E52" s="82" t="s">
        <v>240</v>
      </c>
      <c r="F52" s="27"/>
      <c r="G52" s="38" t="s">
        <v>240</v>
      </c>
      <c r="H52" s="24" t="s">
        <v>240</v>
      </c>
    </row>
    <row r="53" spans="1:9" x14ac:dyDescent="0.2">
      <c r="A53" s="30" t="s">
        <v>41</v>
      </c>
      <c r="B53" s="31" t="s">
        <v>3</v>
      </c>
      <c r="C53" s="84">
        <v>7809.7645151006627</v>
      </c>
      <c r="D53" s="84">
        <v>9064.4978353798924</v>
      </c>
      <c r="E53" s="83">
        <v>11046.990298247618</v>
      </c>
      <c r="F53" s="22" t="s">
        <v>240</v>
      </c>
      <c r="G53" s="37">
        <v>41.451003764423092</v>
      </c>
      <c r="H53" s="33">
        <v>21.870957430535242</v>
      </c>
    </row>
    <row r="54" spans="1:9" x14ac:dyDescent="0.2">
      <c r="A54" s="34"/>
      <c r="B54" s="25" t="s">
        <v>240</v>
      </c>
      <c r="C54" s="82" t="s">
        <v>240</v>
      </c>
      <c r="D54" s="82" t="s">
        <v>240</v>
      </c>
      <c r="E54" s="82" t="s">
        <v>240</v>
      </c>
      <c r="F54" s="27"/>
      <c r="G54" s="28" t="s">
        <v>240</v>
      </c>
      <c r="H54" s="29" t="s">
        <v>240</v>
      </c>
    </row>
    <row r="55" spans="1:9" x14ac:dyDescent="0.2">
      <c r="A55" s="30" t="s">
        <v>24</v>
      </c>
      <c r="B55" s="31" t="s">
        <v>3</v>
      </c>
      <c r="C55" s="84">
        <v>1266.4031795747712</v>
      </c>
      <c r="D55" s="84">
        <v>1540.1729530401956</v>
      </c>
      <c r="E55" s="83">
        <v>1979.308659753445</v>
      </c>
      <c r="F55" s="22" t="s">
        <v>240</v>
      </c>
      <c r="G55" s="23">
        <v>56.293721594891366</v>
      </c>
      <c r="H55" s="24">
        <v>28.512103517103412</v>
      </c>
    </row>
    <row r="56" spans="1:9" ht="13.5" thickBot="1" x14ac:dyDescent="0.25">
      <c r="A56" s="56"/>
      <c r="B56" s="42" t="s">
        <v>240</v>
      </c>
      <c r="C56" s="86" t="s">
        <v>240</v>
      </c>
      <c r="D56" s="86" t="s">
        <v>240</v>
      </c>
      <c r="E56" s="86" t="s">
        <v>240</v>
      </c>
      <c r="F56" s="44"/>
      <c r="G56" s="57" t="s">
        <v>240</v>
      </c>
      <c r="H56" s="46" t="s">
        <v>240</v>
      </c>
    </row>
    <row r="57" spans="1:9" x14ac:dyDescent="0.2">
      <c r="A57" s="58"/>
      <c r="B57" s="58"/>
      <c r="C57" s="64"/>
      <c r="D57" s="64"/>
      <c r="E57" s="21"/>
      <c r="F57" s="59"/>
      <c r="G57" s="38"/>
      <c r="H57" s="60"/>
      <c r="I57" s="61"/>
    </row>
    <row r="58" spans="1:9" x14ac:dyDescent="0.2">
      <c r="A58" s="65"/>
      <c r="B58" s="62"/>
      <c r="C58" s="21"/>
      <c r="D58" s="21"/>
      <c r="E58" s="21"/>
      <c r="F58" s="63"/>
      <c r="G58" s="38"/>
      <c r="H58" s="60"/>
      <c r="I58" s="61"/>
    </row>
    <row r="59" spans="1:9" x14ac:dyDescent="0.2">
      <c r="A59" s="47"/>
      <c r="B59" s="48"/>
      <c r="C59" s="49"/>
      <c r="D59" s="49"/>
      <c r="E59" s="49"/>
      <c r="F59" s="49"/>
      <c r="G59" s="50"/>
      <c r="H59" s="51"/>
      <c r="I59" s="61"/>
    </row>
    <row r="60" spans="1:9" x14ac:dyDescent="0.2">
      <c r="A60" s="52"/>
      <c r="B60" s="52"/>
      <c r="C60" s="52"/>
      <c r="D60" s="52"/>
      <c r="E60" s="52"/>
      <c r="F60" s="52"/>
      <c r="G60" s="52"/>
      <c r="H60" s="52"/>
    </row>
    <row r="61" spans="1:9" ht="12.75" customHeight="1" x14ac:dyDescent="0.2">
      <c r="A61" s="54" t="s">
        <v>241</v>
      </c>
      <c r="H61" s="169">
        <v>12</v>
      </c>
    </row>
    <row r="62" spans="1:9" ht="12.75" customHeight="1" x14ac:dyDescent="0.2">
      <c r="A62" s="54" t="s">
        <v>242</v>
      </c>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28" display="Tilbake til innholdsfortegnelsen" xr:uid="{00000000-0004-0000-07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8"/>
  <sheetViews>
    <sheetView showGridLines="0" showRowColHeaders="0" zoomScaleNormal="100" workbookViewId="0"/>
  </sheetViews>
  <sheetFormatPr defaultColWidth="11.42578125" defaultRowHeight="12.75" x14ac:dyDescent="0.2"/>
  <cols>
    <col min="1" max="1" width="26.42578125" style="1" customWidth="1"/>
    <col min="2" max="2" width="8.140625" style="1" customWidth="1"/>
    <col min="3" max="4" width="10.42578125" style="1" customWidth="1"/>
    <col min="5" max="5" width="9.85546875" style="1" customWidth="1"/>
    <col min="6" max="6" width="1.5703125" style="1" customWidth="1"/>
    <col min="7" max="7" width="7.5703125" style="1" customWidth="1"/>
    <col min="8" max="8" width="8.85546875" style="1" customWidth="1"/>
    <col min="9" max="16384" width="11.42578125" style="1"/>
  </cols>
  <sheetData>
    <row r="1" spans="1:8" ht="5.25" customHeight="1" x14ac:dyDescent="0.2"/>
    <row r="2" spans="1:8" x14ac:dyDescent="0.2">
      <c r="A2" s="92" t="s">
        <v>0</v>
      </c>
      <c r="B2" s="2"/>
      <c r="C2" s="2"/>
      <c r="D2" s="2"/>
      <c r="E2" s="2"/>
      <c r="F2" s="2"/>
      <c r="G2" s="2"/>
    </row>
    <row r="3" spans="1:8" ht="6" customHeight="1" x14ac:dyDescent="0.2">
      <c r="A3" s="3"/>
      <c r="B3" s="2"/>
      <c r="C3" s="2"/>
      <c r="D3" s="2"/>
      <c r="E3" s="2"/>
      <c r="F3" s="2"/>
      <c r="G3" s="2"/>
    </row>
    <row r="4" spans="1:8" ht="16.5" thickBot="1" x14ac:dyDescent="0.3">
      <c r="A4" s="4" t="s">
        <v>147</v>
      </c>
      <c r="B4" s="5"/>
      <c r="C4" s="5"/>
      <c r="D4" s="5"/>
      <c r="E4" s="5"/>
      <c r="F4" s="5"/>
      <c r="G4" s="5"/>
      <c r="H4" s="6"/>
    </row>
    <row r="5" spans="1:8" x14ac:dyDescent="0.2">
      <c r="A5" s="7"/>
      <c r="B5" s="8"/>
      <c r="C5" s="9"/>
      <c r="D5" s="8"/>
      <c r="E5" s="10"/>
      <c r="F5" s="11"/>
      <c r="G5" s="172" t="s">
        <v>1</v>
      </c>
      <c r="H5" s="173"/>
    </row>
    <row r="6" spans="1:8" x14ac:dyDescent="0.2">
      <c r="A6" s="12"/>
      <c r="B6" s="13"/>
      <c r="C6" s="14" t="s">
        <v>235</v>
      </c>
      <c r="D6" s="15" t="s">
        <v>236</v>
      </c>
      <c r="E6" s="15" t="s">
        <v>237</v>
      </c>
      <c r="F6" s="16"/>
      <c r="G6" s="17" t="s">
        <v>238</v>
      </c>
      <c r="H6" s="18" t="s">
        <v>239</v>
      </c>
    </row>
    <row r="7" spans="1:8" x14ac:dyDescent="0.2">
      <c r="A7" s="174" t="s">
        <v>17</v>
      </c>
      <c r="B7" s="19" t="s">
        <v>3</v>
      </c>
      <c r="C7" s="20">
        <v>455343.2281054082</v>
      </c>
      <c r="D7" s="20">
        <v>410835.95298472245</v>
      </c>
      <c r="E7" s="21">
        <v>447459.5255934007</v>
      </c>
      <c r="F7" s="22" t="s">
        <v>240</v>
      </c>
      <c r="G7" s="23">
        <v>-1.7313758117826836</v>
      </c>
      <c r="H7" s="24">
        <v>8.9144030220841302</v>
      </c>
    </row>
    <row r="8" spans="1:8" x14ac:dyDescent="0.2">
      <c r="A8" s="175"/>
      <c r="B8" s="25" t="s">
        <v>240</v>
      </c>
      <c r="C8" s="26" t="s">
        <v>240</v>
      </c>
      <c r="D8" s="26" t="s">
        <v>240</v>
      </c>
      <c r="E8" s="26" t="s">
        <v>240</v>
      </c>
      <c r="F8" s="27"/>
      <c r="G8" s="28" t="s">
        <v>240</v>
      </c>
      <c r="H8" s="29" t="s">
        <v>240</v>
      </c>
    </row>
    <row r="9" spans="1:8" x14ac:dyDescent="0.2">
      <c r="A9" s="30" t="s">
        <v>18</v>
      </c>
      <c r="B9" s="31" t="s">
        <v>3</v>
      </c>
      <c r="C9" s="20">
        <v>29627.100888004174</v>
      </c>
      <c r="D9" s="20">
        <v>26681.57740047287</v>
      </c>
      <c r="E9" s="21">
        <v>27245.220086956524</v>
      </c>
      <c r="F9" s="22" t="s">
        <v>240</v>
      </c>
      <c r="G9" s="32">
        <v>-8.0395338377912537</v>
      </c>
      <c r="H9" s="33">
        <v>2.1124788764312825</v>
      </c>
    </row>
    <row r="10" spans="1:8" x14ac:dyDescent="0.2">
      <c r="A10" s="34"/>
      <c r="B10" s="25" t="s">
        <v>240</v>
      </c>
      <c r="C10" s="26" t="s">
        <v>240</v>
      </c>
      <c r="D10" s="26" t="s">
        <v>240</v>
      </c>
      <c r="E10" s="26" t="s">
        <v>240</v>
      </c>
      <c r="F10" s="27"/>
      <c r="G10" s="35" t="s">
        <v>240</v>
      </c>
      <c r="H10" s="29" t="s">
        <v>240</v>
      </c>
    </row>
    <row r="11" spans="1:8" x14ac:dyDescent="0.2">
      <c r="A11" s="30" t="s">
        <v>19</v>
      </c>
      <c r="B11" s="31" t="s">
        <v>3</v>
      </c>
      <c r="C11" s="20">
        <v>78453.00296001391</v>
      </c>
      <c r="D11" s="20">
        <v>67739.591334909564</v>
      </c>
      <c r="E11" s="21">
        <v>83605.066956521739</v>
      </c>
      <c r="F11" s="22" t="s">
        <v>240</v>
      </c>
      <c r="G11" s="37">
        <v>6.5670704780207672</v>
      </c>
      <c r="H11" s="33">
        <v>23.421274485067499</v>
      </c>
    </row>
    <row r="12" spans="1:8" x14ac:dyDescent="0.2">
      <c r="A12" s="34"/>
      <c r="B12" s="25" t="s">
        <v>240</v>
      </c>
      <c r="C12" s="26" t="s">
        <v>240</v>
      </c>
      <c r="D12" s="26" t="s">
        <v>240</v>
      </c>
      <c r="E12" s="26" t="s">
        <v>240</v>
      </c>
      <c r="F12" s="27"/>
      <c r="G12" s="28" t="s">
        <v>240</v>
      </c>
      <c r="H12" s="29" t="s">
        <v>240</v>
      </c>
    </row>
    <row r="13" spans="1:8" x14ac:dyDescent="0.2">
      <c r="A13" s="30" t="s">
        <v>20</v>
      </c>
      <c r="B13" s="31" t="s">
        <v>3</v>
      </c>
      <c r="C13" s="20">
        <v>28999.858552387577</v>
      </c>
      <c r="D13" s="20">
        <v>37706.710159480739</v>
      </c>
      <c r="E13" s="21">
        <v>38293.936645962734</v>
      </c>
      <c r="F13" s="22" t="s">
        <v>240</v>
      </c>
      <c r="G13" s="23">
        <v>32.048701467924815</v>
      </c>
      <c r="H13" s="24">
        <v>1.5573527470265134</v>
      </c>
    </row>
    <row r="14" spans="1:8" x14ac:dyDescent="0.2">
      <c r="A14" s="34"/>
      <c r="B14" s="25" t="s">
        <v>240</v>
      </c>
      <c r="C14" s="26" t="s">
        <v>240</v>
      </c>
      <c r="D14" s="26" t="s">
        <v>240</v>
      </c>
      <c r="E14" s="26" t="s">
        <v>240</v>
      </c>
      <c r="F14" s="27"/>
      <c r="G14" s="38" t="s">
        <v>240</v>
      </c>
      <c r="H14" s="24" t="s">
        <v>240</v>
      </c>
    </row>
    <row r="15" spans="1:8" x14ac:dyDescent="0.2">
      <c r="A15" s="30" t="s">
        <v>21</v>
      </c>
      <c r="B15" s="31" t="s">
        <v>3</v>
      </c>
      <c r="C15" s="20">
        <v>7879.9170777797099</v>
      </c>
      <c r="D15" s="20">
        <v>7842.2487965152168</v>
      </c>
      <c r="E15" s="21">
        <v>8856.8981884057976</v>
      </c>
      <c r="F15" s="22" t="s">
        <v>240</v>
      </c>
      <c r="G15" s="37">
        <v>12.398367914061438</v>
      </c>
      <c r="H15" s="33">
        <v>12.938245370912611</v>
      </c>
    </row>
    <row r="16" spans="1:8" x14ac:dyDescent="0.2">
      <c r="A16" s="34"/>
      <c r="B16" s="25" t="s">
        <v>240</v>
      </c>
      <c r="C16" s="26" t="s">
        <v>240</v>
      </c>
      <c r="D16" s="26" t="s">
        <v>240</v>
      </c>
      <c r="E16" s="26" t="s">
        <v>240</v>
      </c>
      <c r="F16" s="27"/>
      <c r="G16" s="28" t="s">
        <v>240</v>
      </c>
      <c r="H16" s="29" t="s">
        <v>240</v>
      </c>
    </row>
    <row r="17" spans="1:8" x14ac:dyDescent="0.2">
      <c r="A17" s="30" t="s">
        <v>22</v>
      </c>
      <c r="B17" s="31" t="s">
        <v>3</v>
      </c>
      <c r="C17" s="20">
        <v>7994.9170777797099</v>
      </c>
      <c r="D17" s="20">
        <v>8809.2487965152177</v>
      </c>
      <c r="E17" s="21">
        <v>10473.898188405798</v>
      </c>
      <c r="F17" s="22" t="s">
        <v>240</v>
      </c>
      <c r="G17" s="37">
        <v>31.006964631514762</v>
      </c>
      <c r="H17" s="33">
        <v>18.896610032731573</v>
      </c>
    </row>
    <row r="18" spans="1:8" x14ac:dyDescent="0.2">
      <c r="A18" s="34"/>
      <c r="B18" s="25" t="s">
        <v>240</v>
      </c>
      <c r="C18" s="26" t="s">
        <v>240</v>
      </c>
      <c r="D18" s="26" t="s">
        <v>240</v>
      </c>
      <c r="E18" s="26" t="s">
        <v>240</v>
      </c>
      <c r="F18" s="27"/>
      <c r="G18" s="28" t="s">
        <v>240</v>
      </c>
      <c r="H18" s="29" t="s">
        <v>240</v>
      </c>
    </row>
    <row r="19" spans="1:8" x14ac:dyDescent="0.2">
      <c r="A19" s="30" t="s">
        <v>189</v>
      </c>
      <c r="B19" s="31" t="s">
        <v>3</v>
      </c>
      <c r="C19" s="20">
        <v>258952.14638096894</v>
      </c>
      <c r="D19" s="20">
        <v>225820.27539870187</v>
      </c>
      <c r="E19" s="21">
        <v>236177.84161490682</v>
      </c>
      <c r="F19" s="22" t="s">
        <v>240</v>
      </c>
      <c r="G19" s="23">
        <v>-8.7947928157184379</v>
      </c>
      <c r="H19" s="24">
        <v>4.5866413890063313</v>
      </c>
    </row>
    <row r="20" spans="1:8" x14ac:dyDescent="0.2">
      <c r="A20" s="30"/>
      <c r="B20" s="25" t="s">
        <v>240</v>
      </c>
      <c r="C20" s="26" t="s">
        <v>240</v>
      </c>
      <c r="D20" s="26" t="s">
        <v>240</v>
      </c>
      <c r="E20" s="26" t="s">
        <v>240</v>
      </c>
      <c r="F20" s="27"/>
      <c r="G20" s="38" t="s">
        <v>240</v>
      </c>
      <c r="H20" s="24" t="s">
        <v>240</v>
      </c>
    </row>
    <row r="21" spans="1:8" x14ac:dyDescent="0.2">
      <c r="A21" s="39" t="s">
        <v>12</v>
      </c>
      <c r="B21" s="31" t="s">
        <v>3</v>
      </c>
      <c r="C21" s="20">
        <v>2548.7502466678261</v>
      </c>
      <c r="D21" s="20">
        <v>2373.5492779091305</v>
      </c>
      <c r="E21" s="21">
        <v>2694.338913043478</v>
      </c>
      <c r="F21" s="22" t="s">
        <v>240</v>
      </c>
      <c r="G21" s="37">
        <v>5.7121589910973398</v>
      </c>
      <c r="H21" s="33">
        <v>13.51518749241778</v>
      </c>
    </row>
    <row r="22" spans="1:8" x14ac:dyDescent="0.2">
      <c r="A22" s="34"/>
      <c r="B22" s="25" t="s">
        <v>240</v>
      </c>
      <c r="C22" s="26" t="s">
        <v>240</v>
      </c>
      <c r="D22" s="26" t="s">
        <v>240</v>
      </c>
      <c r="E22" s="26" t="s">
        <v>240</v>
      </c>
      <c r="F22" s="27"/>
      <c r="G22" s="28" t="s">
        <v>240</v>
      </c>
      <c r="H22" s="29" t="s">
        <v>240</v>
      </c>
    </row>
    <row r="23" spans="1:8" x14ac:dyDescent="0.2">
      <c r="A23" s="39" t="s">
        <v>23</v>
      </c>
      <c r="B23" s="31" t="s">
        <v>3</v>
      </c>
      <c r="C23" s="20">
        <v>13380.91707777971</v>
      </c>
      <c r="D23" s="20">
        <v>12585.248796515218</v>
      </c>
      <c r="E23" s="21">
        <v>12308.898188405798</v>
      </c>
      <c r="F23" s="22" t="s">
        <v>240</v>
      </c>
      <c r="G23" s="23">
        <v>-8.0115502034916659</v>
      </c>
      <c r="H23" s="24">
        <v>-2.1958295189677983</v>
      </c>
    </row>
    <row r="24" spans="1:8" x14ac:dyDescent="0.2">
      <c r="A24" s="34"/>
      <c r="B24" s="25" t="s">
        <v>240</v>
      </c>
      <c r="C24" s="26" t="s">
        <v>240</v>
      </c>
      <c r="D24" s="26" t="s">
        <v>240</v>
      </c>
      <c r="E24" s="26" t="s">
        <v>240</v>
      </c>
      <c r="F24" s="27"/>
      <c r="G24" s="28" t="s">
        <v>240</v>
      </c>
      <c r="H24" s="29" t="s">
        <v>240</v>
      </c>
    </row>
    <row r="25" spans="1:8" x14ac:dyDescent="0.2">
      <c r="A25" s="30" t="s">
        <v>24</v>
      </c>
      <c r="B25" s="31" t="s">
        <v>3</v>
      </c>
      <c r="C25" s="20">
        <v>40776.834155559423</v>
      </c>
      <c r="D25" s="20">
        <v>35015.497593030435</v>
      </c>
      <c r="E25" s="21">
        <v>44982.796376811588</v>
      </c>
      <c r="F25" s="22" t="s">
        <v>240</v>
      </c>
      <c r="G25" s="23">
        <v>10.314587457198982</v>
      </c>
      <c r="H25" s="24">
        <v>28.465392380330115</v>
      </c>
    </row>
    <row r="26" spans="1:8" ht="13.5" thickBot="1" x14ac:dyDescent="0.25">
      <c r="A26" s="41"/>
      <c r="B26" s="42" t="s">
        <v>240</v>
      </c>
      <c r="C26" s="43" t="s">
        <v>240</v>
      </c>
      <c r="D26" s="43" t="s">
        <v>240</v>
      </c>
      <c r="E26" s="43" t="s">
        <v>240</v>
      </c>
      <c r="F26" s="44"/>
      <c r="G26" s="45" t="s">
        <v>240</v>
      </c>
      <c r="H26" s="46" t="s">
        <v>240</v>
      </c>
    </row>
    <row r="31" spans="1:8" x14ac:dyDescent="0.2">
      <c r="A31" s="47"/>
      <c r="B31" s="48"/>
      <c r="C31" s="49"/>
      <c r="D31" s="55"/>
      <c r="E31" s="49"/>
      <c r="F31" s="49"/>
      <c r="G31" s="50"/>
      <c r="H31" s="51"/>
    </row>
    <row r="32" spans="1:8" ht="16.5" thickBot="1" x14ac:dyDescent="0.3">
      <c r="A32" s="4" t="s">
        <v>25</v>
      </c>
      <c r="B32" s="5"/>
      <c r="C32" s="5"/>
      <c r="D32" s="5"/>
      <c r="E32" s="5"/>
      <c r="F32" s="5"/>
      <c r="G32" s="5"/>
      <c r="H32" s="6"/>
    </row>
    <row r="33" spans="1:8" x14ac:dyDescent="0.2">
      <c r="A33" s="7"/>
      <c r="B33" s="8"/>
      <c r="C33" s="178" t="s">
        <v>16</v>
      </c>
      <c r="D33" s="172"/>
      <c r="E33" s="172"/>
      <c r="F33" s="179"/>
      <c r="G33" s="172" t="s">
        <v>1</v>
      </c>
      <c r="H33" s="173"/>
    </row>
    <row r="34" spans="1:8" x14ac:dyDescent="0.2">
      <c r="A34" s="12"/>
      <c r="B34" s="13"/>
      <c r="C34" s="14" t="s">
        <v>235</v>
      </c>
      <c r="D34" s="15" t="s">
        <v>236</v>
      </c>
      <c r="E34" s="15" t="s">
        <v>237</v>
      </c>
      <c r="F34" s="16"/>
      <c r="G34" s="17" t="s">
        <v>238</v>
      </c>
      <c r="H34" s="18" t="s">
        <v>239</v>
      </c>
    </row>
    <row r="35" spans="1:8" x14ac:dyDescent="0.2">
      <c r="A35" s="174" t="s">
        <v>17</v>
      </c>
      <c r="B35" s="19" t="s">
        <v>3</v>
      </c>
      <c r="C35" s="80">
        <v>9329.6259879792087</v>
      </c>
      <c r="D35" s="80">
        <v>9776.7076031225224</v>
      </c>
      <c r="E35" s="83">
        <v>12630.225692452103</v>
      </c>
      <c r="F35" s="22" t="s">
        <v>240</v>
      </c>
      <c r="G35" s="23">
        <v>35.377620804151888</v>
      </c>
      <c r="H35" s="24">
        <v>29.18690222890794</v>
      </c>
    </row>
    <row r="36" spans="1:8" x14ac:dyDescent="0.2">
      <c r="A36" s="175"/>
      <c r="B36" s="25" t="s">
        <v>240</v>
      </c>
      <c r="C36" s="82" t="s">
        <v>240</v>
      </c>
      <c r="D36" s="82" t="s">
        <v>240</v>
      </c>
      <c r="E36" s="82" t="s">
        <v>240</v>
      </c>
      <c r="F36" s="27"/>
      <c r="G36" s="28" t="s">
        <v>240</v>
      </c>
      <c r="H36" s="29" t="s">
        <v>240</v>
      </c>
    </row>
    <row r="37" spans="1:8" x14ac:dyDescent="0.2">
      <c r="A37" s="30" t="s">
        <v>18</v>
      </c>
      <c r="B37" s="31" t="s">
        <v>3</v>
      </c>
      <c r="C37" s="80">
        <v>2849.0976717462172</v>
      </c>
      <c r="D37" s="80">
        <v>3285.2269166847313</v>
      </c>
      <c r="E37" s="83">
        <v>3546.6055554460672</v>
      </c>
      <c r="F37" s="22" t="s">
        <v>240</v>
      </c>
      <c r="G37" s="32">
        <v>24.48171189836205</v>
      </c>
      <c r="H37" s="33">
        <v>7.9561821874120255</v>
      </c>
    </row>
    <row r="38" spans="1:8" x14ac:dyDescent="0.2">
      <c r="A38" s="34"/>
      <c r="B38" s="25" t="s">
        <v>240</v>
      </c>
      <c r="C38" s="82" t="s">
        <v>240</v>
      </c>
      <c r="D38" s="82" t="s">
        <v>240</v>
      </c>
      <c r="E38" s="82" t="s">
        <v>240</v>
      </c>
      <c r="F38" s="27"/>
      <c r="G38" s="35" t="s">
        <v>240</v>
      </c>
      <c r="H38" s="29" t="s">
        <v>240</v>
      </c>
    </row>
    <row r="39" spans="1:8" x14ac:dyDescent="0.2">
      <c r="A39" s="30" t="s">
        <v>19</v>
      </c>
      <c r="B39" s="31" t="s">
        <v>3</v>
      </c>
      <c r="C39" s="80">
        <v>3386.5920524151952</v>
      </c>
      <c r="D39" s="80">
        <v>3364.3179120241448</v>
      </c>
      <c r="E39" s="83">
        <v>5087.5785197779751</v>
      </c>
      <c r="F39" s="22" t="s">
        <v>240</v>
      </c>
      <c r="G39" s="37">
        <v>50.227084958452508</v>
      </c>
      <c r="H39" s="33">
        <v>51.221693455153542</v>
      </c>
    </row>
    <row r="40" spans="1:8" x14ac:dyDescent="0.2">
      <c r="A40" s="34"/>
      <c r="B40" s="25" t="s">
        <v>240</v>
      </c>
      <c r="C40" s="82" t="s">
        <v>240</v>
      </c>
      <c r="D40" s="82" t="s">
        <v>240</v>
      </c>
      <c r="E40" s="82" t="s">
        <v>240</v>
      </c>
      <c r="F40" s="27"/>
      <c r="G40" s="28" t="s">
        <v>240</v>
      </c>
      <c r="H40" s="29" t="s">
        <v>240</v>
      </c>
    </row>
    <row r="41" spans="1:8" x14ac:dyDescent="0.2">
      <c r="A41" s="30" t="s">
        <v>20</v>
      </c>
      <c r="B41" s="31" t="s">
        <v>3</v>
      </c>
      <c r="C41" s="80">
        <v>336.74564946206692</v>
      </c>
      <c r="D41" s="80">
        <v>470.09847630887202</v>
      </c>
      <c r="E41" s="83">
        <v>540.82653978704877</v>
      </c>
      <c r="F41" s="22" t="s">
        <v>240</v>
      </c>
      <c r="G41" s="23">
        <v>60.603868424429578</v>
      </c>
      <c r="H41" s="24">
        <v>15.045371776892509</v>
      </c>
    </row>
    <row r="42" spans="1:8" x14ac:dyDescent="0.2">
      <c r="A42" s="34"/>
      <c r="B42" s="25" t="s">
        <v>240</v>
      </c>
      <c r="C42" s="82" t="s">
        <v>240</v>
      </c>
      <c r="D42" s="82" t="s">
        <v>240</v>
      </c>
      <c r="E42" s="82" t="s">
        <v>240</v>
      </c>
      <c r="F42" s="27"/>
      <c r="G42" s="38" t="s">
        <v>240</v>
      </c>
      <c r="H42" s="24" t="s">
        <v>240</v>
      </c>
    </row>
    <row r="43" spans="1:8" x14ac:dyDescent="0.2">
      <c r="A43" s="30" t="s">
        <v>21</v>
      </c>
      <c r="B43" s="31" t="s">
        <v>3</v>
      </c>
      <c r="C43" s="80">
        <v>76.292620688562764</v>
      </c>
      <c r="D43" s="80">
        <v>85.793051935449199</v>
      </c>
      <c r="E43" s="83">
        <v>101.18136764183718</v>
      </c>
      <c r="F43" s="22" t="s">
        <v>240</v>
      </c>
      <c r="G43" s="37">
        <v>32.622744806308077</v>
      </c>
      <c r="H43" s="33">
        <v>17.936552388841662</v>
      </c>
    </row>
    <row r="44" spans="1:8" x14ac:dyDescent="0.2">
      <c r="A44" s="34"/>
      <c r="B44" s="25" t="s">
        <v>240</v>
      </c>
      <c r="C44" s="82" t="s">
        <v>240</v>
      </c>
      <c r="D44" s="82" t="s">
        <v>240</v>
      </c>
      <c r="E44" s="82" t="s">
        <v>240</v>
      </c>
      <c r="F44" s="27"/>
      <c r="G44" s="28" t="s">
        <v>240</v>
      </c>
      <c r="H44" s="29" t="s">
        <v>240</v>
      </c>
    </row>
    <row r="45" spans="1:8" x14ac:dyDescent="0.2">
      <c r="A45" s="30" t="s">
        <v>22</v>
      </c>
      <c r="B45" s="31" t="s">
        <v>3</v>
      </c>
      <c r="C45" s="80">
        <v>39.469825771610353</v>
      </c>
      <c r="D45" s="80">
        <v>46.335071761348665</v>
      </c>
      <c r="E45" s="83">
        <v>91.261127948136391</v>
      </c>
      <c r="F45" s="22" t="s">
        <v>240</v>
      </c>
      <c r="G45" s="37">
        <v>131.21745830907167</v>
      </c>
      <c r="H45" s="33">
        <v>96.959073287253887</v>
      </c>
    </row>
    <row r="46" spans="1:8" x14ac:dyDescent="0.2">
      <c r="A46" s="34"/>
      <c r="B46" s="25" t="s">
        <v>240</v>
      </c>
      <c r="C46" s="82" t="s">
        <v>240</v>
      </c>
      <c r="D46" s="82" t="s">
        <v>240</v>
      </c>
      <c r="E46" s="82" t="s">
        <v>240</v>
      </c>
      <c r="F46" s="27"/>
      <c r="G46" s="28" t="s">
        <v>240</v>
      </c>
      <c r="H46" s="29" t="s">
        <v>240</v>
      </c>
    </row>
    <row r="47" spans="1:8" x14ac:dyDescent="0.2">
      <c r="A47" s="30" t="s">
        <v>189</v>
      </c>
      <c r="B47" s="31" t="s">
        <v>3</v>
      </c>
      <c r="C47" s="80">
        <v>1408.678178466788</v>
      </c>
      <c r="D47" s="80">
        <v>1289.9056950415593</v>
      </c>
      <c r="E47" s="83">
        <v>1554.1559668182347</v>
      </c>
      <c r="F47" s="22" t="s">
        <v>240</v>
      </c>
      <c r="G47" s="23">
        <v>10.327255051951283</v>
      </c>
      <c r="H47" s="24">
        <v>20.486014814297064</v>
      </c>
    </row>
    <row r="48" spans="1:8" x14ac:dyDescent="0.2">
      <c r="A48" s="30"/>
      <c r="B48" s="25" t="s">
        <v>240</v>
      </c>
      <c r="C48" s="82" t="s">
        <v>240</v>
      </c>
      <c r="D48" s="82" t="s">
        <v>240</v>
      </c>
      <c r="E48" s="82" t="s">
        <v>240</v>
      </c>
      <c r="F48" s="27"/>
      <c r="G48" s="38" t="s">
        <v>240</v>
      </c>
      <c r="H48" s="24" t="s">
        <v>240</v>
      </c>
    </row>
    <row r="49" spans="1:8" x14ac:dyDescent="0.2">
      <c r="A49" s="39" t="s">
        <v>12</v>
      </c>
      <c r="B49" s="31" t="s">
        <v>3</v>
      </c>
      <c r="C49" s="80">
        <v>31.571571064705406</v>
      </c>
      <c r="D49" s="80">
        <v>26.146742758597334</v>
      </c>
      <c r="E49" s="83">
        <v>40.594826220397046</v>
      </c>
      <c r="F49" s="22" t="s">
        <v>240</v>
      </c>
      <c r="G49" s="37">
        <v>28.580317201189104</v>
      </c>
      <c r="H49" s="33">
        <v>55.257680068195214</v>
      </c>
    </row>
    <row r="50" spans="1:8" x14ac:dyDescent="0.2">
      <c r="A50" s="34"/>
      <c r="B50" s="25" t="s">
        <v>240</v>
      </c>
      <c r="C50" s="82" t="s">
        <v>240</v>
      </c>
      <c r="D50" s="82" t="s">
        <v>240</v>
      </c>
      <c r="E50" s="82" t="s">
        <v>240</v>
      </c>
      <c r="F50" s="27"/>
      <c r="G50" s="28" t="s">
        <v>240</v>
      </c>
      <c r="H50" s="29" t="s">
        <v>240</v>
      </c>
    </row>
    <row r="51" spans="1:8" x14ac:dyDescent="0.2">
      <c r="A51" s="39" t="s">
        <v>23</v>
      </c>
      <c r="B51" s="31" t="s">
        <v>3</v>
      </c>
      <c r="C51" s="80">
        <v>368.32905341325869</v>
      </c>
      <c r="D51" s="80">
        <v>385.10912217582603</v>
      </c>
      <c r="E51" s="83">
        <v>413.85927427584693</v>
      </c>
      <c r="F51" s="22" t="s">
        <v>240</v>
      </c>
      <c r="G51" s="23">
        <v>12.361289569928147</v>
      </c>
      <c r="H51" s="24">
        <v>7.4654560083089052</v>
      </c>
    </row>
    <row r="52" spans="1:8" x14ac:dyDescent="0.2">
      <c r="A52" s="34"/>
      <c r="B52" s="25" t="s">
        <v>240</v>
      </c>
      <c r="C52" s="82" t="s">
        <v>240</v>
      </c>
      <c r="D52" s="82" t="s">
        <v>240</v>
      </c>
      <c r="E52" s="82" t="s">
        <v>240</v>
      </c>
      <c r="F52" s="27"/>
      <c r="G52" s="28" t="s">
        <v>240</v>
      </c>
      <c r="H52" s="29" t="s">
        <v>240</v>
      </c>
    </row>
    <row r="53" spans="1:8" x14ac:dyDescent="0.2">
      <c r="A53" s="30" t="s">
        <v>24</v>
      </c>
      <c r="B53" s="31" t="s">
        <v>3</v>
      </c>
      <c r="C53" s="80">
        <v>832.84936495080444</v>
      </c>
      <c r="D53" s="80">
        <v>823.77461443199422</v>
      </c>
      <c r="E53" s="83">
        <v>1254.162514536559</v>
      </c>
      <c r="F53" s="22" t="s">
        <v>240</v>
      </c>
      <c r="G53" s="23">
        <v>50.58695693556075</v>
      </c>
      <c r="H53" s="24">
        <v>52.245831877366612</v>
      </c>
    </row>
    <row r="54" spans="1:8" ht="13.5" thickBot="1" x14ac:dyDescent="0.25">
      <c r="A54" s="41"/>
      <c r="B54" s="42" t="s">
        <v>240</v>
      </c>
      <c r="C54" s="86" t="s">
        <v>240</v>
      </c>
      <c r="D54" s="86" t="s">
        <v>240</v>
      </c>
      <c r="E54" s="86" t="s">
        <v>240</v>
      </c>
      <c r="F54" s="44"/>
      <c r="G54" s="45" t="s">
        <v>240</v>
      </c>
      <c r="H54" s="46" t="s">
        <v>240</v>
      </c>
    </row>
    <row r="59" spans="1:8" x14ac:dyDescent="0.2">
      <c r="A59" s="47"/>
      <c r="B59" s="48"/>
      <c r="C59" s="49"/>
      <c r="D59" s="49"/>
      <c r="E59" s="49"/>
      <c r="F59" s="49"/>
      <c r="G59" s="50"/>
      <c r="H59" s="51"/>
    </row>
    <row r="60" spans="1:8" x14ac:dyDescent="0.2">
      <c r="A60" s="52"/>
      <c r="B60" s="52"/>
      <c r="C60" s="52"/>
      <c r="D60" s="52"/>
      <c r="E60" s="52"/>
      <c r="F60" s="52"/>
      <c r="G60" s="52"/>
      <c r="H60" s="52"/>
    </row>
    <row r="61" spans="1:8" ht="12.75" customHeight="1" x14ac:dyDescent="0.2">
      <c r="A61" s="54" t="s">
        <v>241</v>
      </c>
      <c r="G61" s="53"/>
      <c r="H61" s="177">
        <v>13</v>
      </c>
    </row>
    <row r="62" spans="1:8" ht="12.75" customHeight="1" x14ac:dyDescent="0.2">
      <c r="A62" s="54" t="s">
        <v>242</v>
      </c>
      <c r="G62" s="53"/>
      <c r="H62" s="170"/>
    </row>
    <row r="67" ht="12.75" customHeight="1" x14ac:dyDescent="0.2"/>
    <row r="68" ht="12.75" customHeight="1" x14ac:dyDescent="0.2"/>
  </sheetData>
  <mergeCells count="6">
    <mergeCell ref="H61:H62"/>
    <mergeCell ref="A35:A36"/>
    <mergeCell ref="A7:A8"/>
    <mergeCell ref="G5:H5"/>
    <mergeCell ref="G33:H33"/>
    <mergeCell ref="C33:F33"/>
  </mergeCells>
  <phoneticPr fontId="0" type="noConversion"/>
  <hyperlinks>
    <hyperlink ref="A2" location="Innhold!A31" display="Tilbake til innholdsfortegnelsen" xr:uid="{00000000-0004-0000-0800-000000000000}"/>
  </hyperlinks>
  <pageMargins left="0.78740157480314965" right="0.78740157480314965" top="0.98425196850393704" bottom="0.19685039370078741" header="3.937007874015748E-2" footer="3.937007874015748E-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Forside</vt:lpstr>
      <vt:lpstr>Innhold</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hittil_i_aar</vt:lpstr>
      <vt:lpstr>'Tab2'!Print_Area</vt:lpstr>
      <vt:lpstr>'Tab3'!Print_Area</vt:lpstr>
      <vt:lpstr>Print_Area</vt:lpstr>
      <vt:lpstr>pros_1</vt:lpstr>
      <vt:lpstr>pros_2</vt:lpstr>
      <vt:lpstr>aar</vt:lpstr>
      <vt:lpstr>aar_1</vt:lpstr>
      <vt:lpstr>aar_2</vt:lpstr>
      <vt:lpstr>aaret_i_alt</vt:lpstr>
    </vt:vector>
  </TitlesOfParts>
  <Company>FNH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Harald Moseby (kontakt infoavd)</dc:creator>
  <cp:lastModifiedBy>Stein Erik Petersbakken</cp:lastModifiedBy>
  <cp:lastPrinted>2014-09-12T11:46:46Z</cp:lastPrinted>
  <dcterms:created xsi:type="dcterms:W3CDTF">2002-02-09T09:48:14Z</dcterms:created>
  <dcterms:modified xsi:type="dcterms:W3CDTF">2024-02-18T11:05:49Z</dcterms:modified>
</cp:coreProperties>
</file>