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929"/>
  <workbookPr/>
  <mc:AlternateContent xmlns:mc="http://schemas.openxmlformats.org/markup-compatibility/2006">
    <mc:Choice Requires="x15">
      <x15ac:absPath xmlns:x15ac="http://schemas.microsoft.com/office/spreadsheetml/2010/11/ac" url="O:\Statistikk og analyse\HMoseby\Kvartalstatistikkene\Skadestatistikk\Rapport\"/>
    </mc:Choice>
  </mc:AlternateContent>
  <xr:revisionPtr revIDLastSave="0" documentId="13_ncr:1_{267AA425-440A-4A39-BE70-8D9DBE7743B0}" xr6:coauthVersionLast="44" xr6:coauthVersionMax="44" xr10:uidLastSave="{00000000-0000-0000-0000-000000000000}"/>
  <bookViews>
    <workbookView xWindow="-120" yWindow="-120" windowWidth="29040" windowHeight="15840" tabRatio="914" activeTab="3" xr2:uid="{00000000-000D-0000-FFFF-FFFF00000000}"/>
  </bookViews>
  <sheets>
    <sheet name="Forside" sheetId="46" r:id="rId1"/>
    <sheet name="Innhold" sheetId="21" r:id="rId2"/>
    <sheet name="Tab1" sheetId="23" r:id="rId3"/>
    <sheet name="Tab2" sheetId="19" r:id="rId4"/>
    <sheet name="Tab3" sheetId="1" r:id="rId5"/>
    <sheet name="Tab4" sheetId="2" r:id="rId6"/>
    <sheet name="Tab5" sheetId="4" r:id="rId7"/>
    <sheet name="Tab6" sheetId="5" r:id="rId8"/>
    <sheet name="Tab7" sheetId="6" r:id="rId9"/>
    <sheet name="Tab8" sheetId="7" r:id="rId10"/>
    <sheet name="Tab9" sheetId="8" r:id="rId11"/>
    <sheet name="Tab10" sheetId="9" r:id="rId12"/>
    <sheet name="Tab11" sheetId="10" r:id="rId13"/>
    <sheet name="Tab12" sheetId="12" r:id="rId14"/>
    <sheet name="Tab13" sheetId="13" r:id="rId15"/>
    <sheet name="Tab14" sheetId="14" r:id="rId16"/>
    <sheet name="Tab15" sheetId="43" r:id="rId17"/>
    <sheet name="Tab16" sheetId="44" r:id="rId18"/>
    <sheet name="Tab17" sheetId="45" r:id="rId19"/>
    <sheet name="Tab18" sheetId="15" r:id="rId20"/>
    <sheet name="Tab19" sheetId="16" r:id="rId21"/>
    <sheet name="Tab20" sheetId="17" r:id="rId22"/>
    <sheet name="Tab21" sheetId="24" r:id="rId23"/>
  </sheets>
  <externalReferences>
    <externalReference r:id="rId24"/>
  </externalReferences>
  <definedNames>
    <definedName name="_xlnm._FilterDatabase" localSheetId="3" hidden="1">'Tab2'!$A$2</definedName>
    <definedName name="aar">'Tab3'!$E$6</definedName>
    <definedName name="aar_1">'Tab3'!$D$6</definedName>
    <definedName name="aar_2">'Tab3'!$C$6</definedName>
    <definedName name="aaret_i_alt">'Tab3'!$B$7</definedName>
    <definedName name="DATA_0">#REF!</definedName>
    <definedName name="DATA_AN">#REF!</definedName>
    <definedName name="DATA_B">#REF!</definedName>
    <definedName name="DATA_BEH">#REF!</definedName>
    <definedName name="DATA_BKN">#REF!</definedName>
    <definedName name="DATA_BKP">#REF!</definedName>
    <definedName name="DATA_FB">#REF!</definedName>
    <definedName name="DATA_K">#REF!</definedName>
    <definedName name="DATA_M1">#REF!</definedName>
    <definedName name="DATA_M2">#REF!</definedName>
    <definedName name="DATA_P">#REF!</definedName>
    <definedName name="DATA_RS">#REF!</definedName>
    <definedName name="Dato_1årsiden">[1]Tab5!$C$6</definedName>
    <definedName name="Dato_2årsiden">[1]Tab5!$B$6</definedName>
    <definedName name="Dato_nå">[1]Tab5!$D$6</definedName>
    <definedName name="hittil_i_aar">'Tab3'!$B$8</definedName>
    <definedName name="kvartal" localSheetId="0">#REF!</definedName>
    <definedName name="kvartal">#REF!</definedName>
    <definedName name="_xlnm.Print_Area" localSheetId="2">'Tab1'!$A$1:$G$52</definedName>
    <definedName name="_xlnm.Print_Area" localSheetId="3">'Tab2'!$A$1:$AJ$62</definedName>
    <definedName name="_xlnm.Print_Area" localSheetId="4">'Tab3'!$A$1:$H$62</definedName>
    <definedName name="_xlnm.Print_Area">'Tab9'!$A$4:$H$62</definedName>
    <definedName name="pros_1">'Tab3'!$H$6</definedName>
    <definedName name="pros_2">'Tab3'!$G$6</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S220" i="19" l="1"/>
  <c r="R220" i="19"/>
  <c r="P220" i="19"/>
  <c r="O220" i="19"/>
  <c r="M220" i="19"/>
  <c r="L220" i="19"/>
  <c r="T211" i="19"/>
  <c r="T212" i="19"/>
  <c r="T213" i="19"/>
  <c r="T214" i="19"/>
  <c r="T215" i="19"/>
  <c r="T216" i="19"/>
  <c r="T217" i="19"/>
  <c r="T218" i="19"/>
  <c r="Q218" i="19"/>
  <c r="Q217" i="19"/>
  <c r="Q216" i="19"/>
  <c r="Q215" i="19"/>
  <c r="Q214" i="19"/>
  <c r="Q213" i="19"/>
  <c r="Q212" i="19"/>
  <c r="Q211" i="19"/>
  <c r="N218" i="19"/>
  <c r="N217" i="19"/>
  <c r="N216" i="19"/>
  <c r="N215" i="19"/>
  <c r="N214" i="19"/>
  <c r="N213" i="19"/>
  <c r="N212" i="19"/>
  <c r="N211" i="19"/>
  <c r="D218" i="19" l="1"/>
  <c r="D217" i="19"/>
  <c r="D216" i="19"/>
  <c r="D215" i="19"/>
  <c r="D214" i="19"/>
  <c r="D213" i="19"/>
  <c r="D212" i="19"/>
  <c r="D211" i="19"/>
  <c r="C218" i="19"/>
  <c r="C217" i="19"/>
  <c r="C216" i="19"/>
  <c r="C215" i="19"/>
  <c r="C214" i="19"/>
  <c r="C213" i="19"/>
  <c r="C212" i="19"/>
  <c r="C211" i="19"/>
  <c r="B124" i="21" l="1"/>
  <c r="Y92" i="19" l="1"/>
  <c r="Y82" i="19"/>
  <c r="Y100" i="19" s="1"/>
  <c r="Y111" i="19" s="1"/>
  <c r="S222" i="19"/>
  <c r="R222" i="19"/>
  <c r="P222" i="19"/>
  <c r="O222" i="19"/>
  <c r="M222" i="19"/>
  <c r="L222" i="19"/>
  <c r="S221" i="19"/>
  <c r="R221" i="19"/>
  <c r="P221" i="19"/>
  <c r="O221" i="19"/>
  <c r="M221" i="19"/>
  <c r="L221" i="19"/>
  <c r="G221" i="19"/>
  <c r="E221" i="19"/>
  <c r="T210" i="19"/>
  <c r="Q210" i="19"/>
  <c r="N210" i="19"/>
  <c r="D210" i="19"/>
  <c r="C210" i="19"/>
  <c r="T209" i="19"/>
  <c r="Q209" i="19"/>
  <c r="N209" i="19"/>
  <c r="D209" i="19"/>
  <c r="C209" i="19"/>
  <c r="T208" i="19"/>
  <c r="Q208" i="19"/>
  <c r="N208" i="19"/>
  <c r="D208" i="19"/>
  <c r="C208" i="19"/>
  <c r="T207" i="19"/>
  <c r="Q207" i="19"/>
  <c r="N207" i="19"/>
  <c r="D207" i="19"/>
  <c r="C207" i="19"/>
  <c r="T206" i="19"/>
  <c r="Q206" i="19"/>
  <c r="N206" i="19"/>
  <c r="D206" i="19"/>
  <c r="C206" i="19"/>
  <c r="T205" i="19"/>
  <c r="Q205" i="19"/>
  <c r="N205" i="19"/>
  <c r="D205" i="19"/>
  <c r="C205" i="19"/>
  <c r="T204" i="19"/>
  <c r="Q204" i="19"/>
  <c r="N204" i="19"/>
  <c r="D204" i="19"/>
  <c r="C204" i="19"/>
  <c r="T203" i="19"/>
  <c r="Q203" i="19"/>
  <c r="N203" i="19"/>
  <c r="D203" i="19"/>
  <c r="C203" i="19"/>
  <c r="T202" i="19"/>
  <c r="Q202" i="19"/>
  <c r="N202" i="19"/>
  <c r="D202" i="19"/>
  <c r="C202" i="19"/>
  <c r="T201" i="19"/>
  <c r="Q201" i="19"/>
  <c r="N201" i="19"/>
  <c r="D201" i="19"/>
  <c r="C201" i="19"/>
  <c r="T200" i="19"/>
  <c r="Q200" i="19"/>
  <c r="N200" i="19"/>
  <c r="D200" i="19"/>
  <c r="C200" i="19"/>
  <c r="T199" i="19"/>
  <c r="Q199" i="19"/>
  <c r="N199" i="19"/>
  <c r="D199" i="19"/>
  <c r="C199" i="19"/>
  <c r="T198" i="19"/>
  <c r="Q198" i="19"/>
  <c r="N198" i="19"/>
  <c r="D198" i="19"/>
  <c r="C198" i="19"/>
  <c r="T197" i="19"/>
  <c r="Q197" i="19"/>
  <c r="N197" i="19"/>
  <c r="D197" i="19"/>
  <c r="C197" i="19"/>
  <c r="T196" i="19"/>
  <c r="Q196" i="19"/>
  <c r="N196" i="19"/>
  <c r="D196" i="19"/>
  <c r="C196" i="19"/>
  <c r="T195" i="19"/>
  <c r="Q195" i="19"/>
  <c r="N195" i="19"/>
  <c r="K195" i="19"/>
  <c r="J195" i="19"/>
  <c r="D195" i="19"/>
  <c r="C195" i="19"/>
  <c r="T194" i="19"/>
  <c r="Q194" i="19"/>
  <c r="N194" i="19"/>
  <c r="D194" i="19"/>
  <c r="C194" i="19"/>
  <c r="T193" i="19"/>
  <c r="Q193" i="19"/>
  <c r="N193" i="19"/>
  <c r="D193" i="19"/>
  <c r="C193" i="19"/>
  <c r="T192" i="19"/>
  <c r="Q192" i="19"/>
  <c r="N192" i="19"/>
  <c r="D192" i="19"/>
  <c r="C192" i="19"/>
  <c r="T191" i="19"/>
  <c r="Q191" i="19"/>
  <c r="N191" i="19"/>
  <c r="K191" i="19"/>
  <c r="D191" i="19"/>
  <c r="C191" i="19"/>
  <c r="T190" i="19"/>
  <c r="Q190" i="19"/>
  <c r="N190" i="19"/>
  <c r="D190" i="19"/>
  <c r="C190" i="19"/>
  <c r="T189" i="19"/>
  <c r="Q189" i="19"/>
  <c r="N189" i="19"/>
  <c r="D189" i="19"/>
  <c r="C189" i="19"/>
  <c r="T188" i="19"/>
  <c r="Q188" i="19"/>
  <c r="N188" i="19"/>
  <c r="D188" i="19"/>
  <c r="C188" i="19"/>
  <c r="T187" i="19"/>
  <c r="Q187" i="19"/>
  <c r="N187" i="19"/>
  <c r="D187" i="19"/>
  <c r="C187" i="19"/>
  <c r="T186" i="19"/>
  <c r="Q186" i="19"/>
  <c r="N186" i="19"/>
  <c r="D186" i="19"/>
  <c r="C186" i="19"/>
  <c r="T185" i="19"/>
  <c r="Q185" i="19"/>
  <c r="N185" i="19"/>
  <c r="D185" i="19"/>
  <c r="C185" i="19"/>
  <c r="T184" i="19"/>
  <c r="Q184" i="19"/>
  <c r="N184" i="19"/>
  <c r="D184" i="19"/>
  <c r="C184" i="19"/>
  <c r="T183" i="19"/>
  <c r="Q183" i="19"/>
  <c r="N183" i="19"/>
  <c r="D183" i="19"/>
  <c r="C183" i="19"/>
  <c r="T182" i="19"/>
  <c r="Q182" i="19"/>
  <c r="N182" i="19"/>
  <c r="D182" i="19"/>
  <c r="C182" i="19"/>
  <c r="T181" i="19"/>
  <c r="Q181" i="19"/>
  <c r="N181" i="19"/>
  <c r="D181" i="19"/>
  <c r="C181" i="19"/>
  <c r="T180" i="19"/>
  <c r="Q180" i="19"/>
  <c r="N180" i="19"/>
  <c r="D180" i="19"/>
  <c r="C180" i="19"/>
  <c r="T179" i="19"/>
  <c r="Q179" i="19"/>
  <c r="N179" i="19"/>
  <c r="D179" i="19"/>
  <c r="C179" i="19"/>
  <c r="T178" i="19"/>
  <c r="Q178" i="19"/>
  <c r="N178" i="19"/>
  <c r="D178" i="19"/>
  <c r="C178" i="19"/>
  <c r="T177" i="19"/>
  <c r="Q177" i="19"/>
  <c r="N177" i="19"/>
  <c r="D177" i="19"/>
  <c r="C177" i="19"/>
  <c r="T176" i="19"/>
  <c r="Q176" i="19"/>
  <c r="N176" i="19"/>
  <c r="D176" i="19"/>
  <c r="C176" i="19"/>
  <c r="T175" i="19"/>
  <c r="Q175" i="19"/>
  <c r="N175" i="19"/>
  <c r="D175" i="19"/>
  <c r="C175" i="19"/>
  <c r="T174" i="19"/>
  <c r="Q174" i="19"/>
  <c r="N174" i="19"/>
  <c r="D174" i="19"/>
  <c r="C174" i="19"/>
  <c r="T173" i="19"/>
  <c r="Q173" i="19"/>
  <c r="N173" i="19"/>
  <c r="D173" i="19"/>
  <c r="C173" i="19"/>
  <c r="T172" i="19"/>
  <c r="Q172" i="19"/>
  <c r="N172" i="19"/>
  <c r="D172" i="19"/>
  <c r="C172" i="19"/>
  <c r="T171" i="19"/>
  <c r="Q171" i="19"/>
  <c r="N171" i="19"/>
  <c r="D171" i="19"/>
  <c r="C171" i="19"/>
  <c r="T170" i="19"/>
  <c r="Q170" i="19"/>
  <c r="N170" i="19"/>
  <c r="D170" i="19"/>
  <c r="C170" i="19"/>
  <c r="T169" i="19"/>
  <c r="Q169" i="19"/>
  <c r="N169" i="19"/>
  <c r="D169" i="19"/>
  <c r="C169" i="19"/>
  <c r="T168" i="19"/>
  <c r="Q168" i="19"/>
  <c r="N168" i="19"/>
  <c r="D168" i="19"/>
  <c r="C168" i="19"/>
  <c r="T167" i="19"/>
  <c r="Q167" i="19"/>
  <c r="N167" i="19"/>
  <c r="D167" i="19"/>
  <c r="C167" i="19"/>
  <c r="T166" i="19"/>
  <c r="Q166" i="19"/>
  <c r="N166" i="19"/>
  <c r="D166" i="19"/>
  <c r="C166" i="19"/>
  <c r="T165" i="19"/>
  <c r="Q165" i="19"/>
  <c r="N165" i="19"/>
  <c r="D165" i="19"/>
  <c r="C165" i="19"/>
  <c r="T164" i="19"/>
  <c r="Q164" i="19"/>
  <c r="N164" i="19"/>
  <c r="D164" i="19"/>
  <c r="C164" i="19"/>
  <c r="T163" i="19"/>
  <c r="Q163" i="19"/>
  <c r="N163" i="19"/>
  <c r="D163" i="19"/>
  <c r="C163" i="19"/>
  <c r="T162" i="19"/>
  <c r="Q162" i="19"/>
  <c r="N162" i="19"/>
  <c r="D162" i="19"/>
  <c r="C162" i="19"/>
  <c r="T161" i="19"/>
  <c r="Q161" i="19"/>
  <c r="N161" i="19"/>
  <c r="D161" i="19"/>
  <c r="C161" i="19"/>
  <c r="T160" i="19"/>
  <c r="Q160" i="19"/>
  <c r="N160" i="19"/>
  <c r="D160" i="19"/>
  <c r="C160" i="19"/>
  <c r="T159" i="19"/>
  <c r="Q159" i="19"/>
  <c r="N159" i="19"/>
  <c r="D159" i="19"/>
  <c r="C159" i="19"/>
  <c r="T158" i="19"/>
  <c r="Q158" i="19"/>
  <c r="N158" i="19"/>
  <c r="D158" i="19"/>
  <c r="C158" i="19"/>
  <c r="T157" i="19"/>
  <c r="Q157" i="19"/>
  <c r="N157" i="19"/>
  <c r="D157" i="19"/>
  <c r="C157" i="19"/>
  <c r="T156" i="19"/>
  <c r="Q156" i="19"/>
  <c r="N156" i="19"/>
  <c r="D156" i="19"/>
  <c r="C156" i="19"/>
  <c r="T155" i="19"/>
  <c r="Q155" i="19"/>
  <c r="N155" i="19"/>
  <c r="D155" i="19"/>
  <c r="C155" i="19"/>
  <c r="T154" i="19"/>
  <c r="Q154" i="19"/>
  <c r="N154" i="19"/>
  <c r="D154" i="19"/>
  <c r="C154" i="19"/>
  <c r="T153" i="19"/>
  <c r="Q153" i="19"/>
  <c r="N153" i="19"/>
  <c r="D153" i="19"/>
  <c r="C153" i="19"/>
  <c r="T152" i="19"/>
  <c r="Q152" i="19"/>
  <c r="N152" i="19"/>
  <c r="D152" i="19"/>
  <c r="C152" i="19"/>
  <c r="T151" i="19"/>
  <c r="Q151" i="19"/>
  <c r="N151" i="19"/>
  <c r="D151" i="19"/>
  <c r="C151" i="19"/>
  <c r="T150" i="19"/>
  <c r="Q150" i="19"/>
  <c r="N150" i="19"/>
  <c r="D150" i="19"/>
  <c r="C150" i="19"/>
  <c r="T149" i="19"/>
  <c r="Q149" i="19"/>
  <c r="N149" i="19"/>
  <c r="D149" i="19"/>
  <c r="C149" i="19"/>
  <c r="T148" i="19"/>
  <c r="Q148" i="19"/>
  <c r="N148" i="19"/>
  <c r="D148" i="19"/>
  <c r="C148" i="19"/>
  <c r="T147" i="19"/>
  <c r="Q147" i="19"/>
  <c r="N147" i="19"/>
  <c r="D147" i="19"/>
  <c r="C147" i="19"/>
  <c r="T146" i="19"/>
  <c r="Q146" i="19"/>
  <c r="N146" i="19"/>
  <c r="D146" i="19"/>
  <c r="C146" i="19"/>
  <c r="T145" i="19"/>
  <c r="Q145" i="19"/>
  <c r="N145" i="19"/>
  <c r="D145" i="19"/>
  <c r="C145" i="19"/>
  <c r="T144" i="19"/>
  <c r="Q144" i="19"/>
  <c r="N144" i="19"/>
  <c r="D144" i="19"/>
  <c r="C144" i="19"/>
  <c r="T143" i="19"/>
  <c r="Q143" i="19"/>
  <c r="N143" i="19"/>
  <c r="D143" i="19"/>
  <c r="C143" i="19"/>
  <c r="T142" i="19"/>
  <c r="Q142" i="19"/>
  <c r="N142" i="19"/>
  <c r="D142" i="19"/>
  <c r="C142" i="19"/>
  <c r="T141" i="19"/>
  <c r="Q141" i="19"/>
  <c r="N141" i="19"/>
  <c r="D141" i="19"/>
  <c r="C141" i="19"/>
  <c r="T140" i="19"/>
  <c r="Q140" i="19"/>
  <c r="N140" i="19"/>
  <c r="D140" i="19"/>
  <c r="C140" i="19"/>
  <c r="T139" i="19"/>
  <c r="Q139" i="19"/>
  <c r="N139" i="19"/>
  <c r="D139" i="19"/>
  <c r="C139" i="19"/>
  <c r="T138" i="19"/>
  <c r="Q138" i="19"/>
  <c r="N138" i="19"/>
  <c r="D138" i="19"/>
  <c r="C138" i="19"/>
  <c r="T137" i="19"/>
  <c r="Q137" i="19"/>
  <c r="N137" i="19"/>
  <c r="D137" i="19"/>
  <c r="C137" i="19"/>
  <c r="T136" i="19"/>
  <c r="Q136" i="19"/>
  <c r="N136" i="19"/>
  <c r="D136" i="19"/>
  <c r="C136" i="19"/>
  <c r="T135" i="19"/>
  <c r="Q135" i="19"/>
  <c r="N135" i="19"/>
  <c r="D135" i="19"/>
  <c r="C135" i="19"/>
  <c r="T134" i="19"/>
  <c r="Q134" i="19"/>
  <c r="N134" i="19"/>
  <c r="D134" i="19"/>
  <c r="C134" i="19"/>
  <c r="Y133" i="19"/>
  <c r="X133" i="19"/>
  <c r="W133" i="19"/>
  <c r="T133" i="19"/>
  <c r="Q133" i="19"/>
  <c r="N133" i="19"/>
  <c r="Y132" i="19"/>
  <c r="X132" i="19"/>
  <c r="W132" i="19"/>
  <c r="T132" i="19"/>
  <c r="Q132" i="19"/>
  <c r="N132" i="19"/>
  <c r="D132" i="19"/>
  <c r="D133" i="19" s="1"/>
  <c r="C132" i="19"/>
  <c r="C133" i="19" s="1"/>
  <c r="Y131" i="19"/>
  <c r="X131" i="19"/>
  <c r="W131" i="19"/>
  <c r="T131" i="19"/>
  <c r="Q131" i="19"/>
  <c r="N131" i="19"/>
  <c r="Y130" i="19"/>
  <c r="X130" i="19"/>
  <c r="W130" i="19"/>
  <c r="T130" i="19"/>
  <c r="Q130" i="19"/>
  <c r="N130" i="19"/>
  <c r="Y129" i="19"/>
  <c r="X129" i="19"/>
  <c r="W129" i="19"/>
  <c r="T129" i="19"/>
  <c r="Q129" i="19"/>
  <c r="N129" i="19"/>
  <c r="Y128" i="19"/>
  <c r="X128" i="19"/>
  <c r="W128" i="19"/>
  <c r="T128" i="19"/>
  <c r="Q128" i="19"/>
  <c r="N128" i="19"/>
  <c r="D128" i="19"/>
  <c r="C128" i="19"/>
  <c r="T127" i="19"/>
  <c r="Q127" i="19"/>
  <c r="N127" i="19"/>
  <c r="T126" i="19"/>
  <c r="Q126" i="19"/>
  <c r="N126" i="19"/>
  <c r="Y125" i="19"/>
  <c r="X125" i="19"/>
  <c r="W125" i="19"/>
  <c r="T125" i="19"/>
  <c r="Q125" i="19"/>
  <c r="N125" i="19"/>
  <c r="Y124" i="19"/>
  <c r="X124" i="19"/>
  <c r="W124" i="19"/>
  <c r="T124" i="19"/>
  <c r="Q124" i="19"/>
  <c r="N124" i="19"/>
  <c r="D124" i="19"/>
  <c r="C124" i="19"/>
  <c r="Y123" i="19"/>
  <c r="X123" i="19"/>
  <c r="W123" i="19"/>
  <c r="T123" i="19"/>
  <c r="Q123" i="19"/>
  <c r="N123" i="19"/>
  <c r="Y122" i="19"/>
  <c r="X122" i="19"/>
  <c r="W122" i="19"/>
  <c r="T122" i="19"/>
  <c r="Q122" i="19"/>
  <c r="N122" i="19"/>
  <c r="Y121" i="19"/>
  <c r="X121" i="19"/>
  <c r="W121" i="19"/>
  <c r="T121" i="19"/>
  <c r="Q121" i="19"/>
  <c r="N121" i="19"/>
  <c r="C121" i="19"/>
  <c r="C122" i="19" s="1"/>
  <c r="T120" i="19"/>
  <c r="Q120" i="19"/>
  <c r="N120" i="19"/>
  <c r="D120" i="19"/>
  <c r="C120" i="19"/>
  <c r="T119" i="19"/>
  <c r="Q119" i="19"/>
  <c r="N119" i="19"/>
  <c r="T118" i="19"/>
  <c r="Q118" i="19"/>
  <c r="N118" i="19"/>
  <c r="Y117" i="19"/>
  <c r="X117" i="19"/>
  <c r="W117" i="19"/>
  <c r="T117" i="19"/>
  <c r="Q117" i="19"/>
  <c r="N117" i="19"/>
  <c r="D117" i="19"/>
  <c r="D118" i="19" s="1"/>
  <c r="C117" i="19"/>
  <c r="C118" i="19" s="1"/>
  <c r="T116" i="19"/>
  <c r="Q116" i="19"/>
  <c r="N116" i="19"/>
  <c r="D116" i="19"/>
  <c r="C116" i="19"/>
  <c r="T115" i="19"/>
  <c r="Q115" i="19"/>
  <c r="N115" i="19"/>
  <c r="Y114" i="19"/>
  <c r="X114" i="19"/>
  <c r="W114" i="19"/>
  <c r="T114" i="19"/>
  <c r="Q114" i="19"/>
  <c r="N114" i="19"/>
  <c r="Y113" i="19"/>
  <c r="X113" i="19"/>
  <c r="W113" i="19"/>
  <c r="T113" i="19"/>
  <c r="Q113" i="19"/>
  <c r="N113" i="19"/>
  <c r="Y112" i="19"/>
  <c r="X112" i="19"/>
  <c r="W112" i="19"/>
  <c r="T112" i="19"/>
  <c r="Q112" i="19"/>
  <c r="N112" i="19"/>
  <c r="D112" i="19"/>
  <c r="D113" i="19" s="1"/>
  <c r="D114" i="19" s="1"/>
  <c r="C112" i="19"/>
  <c r="C113" i="19" s="1"/>
  <c r="C114" i="19" s="1"/>
  <c r="T111" i="19"/>
  <c r="Q111" i="19"/>
  <c r="N111" i="19"/>
  <c r="T110" i="19"/>
  <c r="Q110" i="19"/>
  <c r="N110" i="19"/>
  <c r="T109" i="19"/>
  <c r="Q109" i="19"/>
  <c r="N109" i="19"/>
  <c r="T108" i="19"/>
  <c r="Q108" i="19"/>
  <c r="N108" i="19"/>
  <c r="T107" i="19"/>
  <c r="Q107" i="19"/>
  <c r="N107" i="19"/>
  <c r="Y106" i="19"/>
  <c r="X106" i="19"/>
  <c r="W106" i="19"/>
  <c r="T106" i="19"/>
  <c r="Q106" i="19"/>
  <c r="N106" i="19"/>
  <c r="T105" i="19"/>
  <c r="Q105" i="19"/>
  <c r="N105" i="19"/>
  <c r="T104" i="19"/>
  <c r="Q104" i="19"/>
  <c r="N104" i="19"/>
  <c r="Y103" i="19"/>
  <c r="X103" i="19"/>
  <c r="W103" i="19"/>
  <c r="T103" i="19"/>
  <c r="Q103" i="19"/>
  <c r="N103" i="19"/>
  <c r="Y102" i="19"/>
  <c r="X102" i="19"/>
  <c r="W102" i="19"/>
  <c r="N102" i="19"/>
  <c r="Y101" i="19"/>
  <c r="X101" i="19"/>
  <c r="W101" i="19"/>
  <c r="N101" i="19"/>
  <c r="N100" i="19"/>
  <c r="N99" i="19"/>
  <c r="N98" i="19"/>
  <c r="N97" i="19"/>
  <c r="N96" i="19"/>
  <c r="N95" i="19"/>
  <c r="N94" i="19"/>
  <c r="N93" i="19"/>
  <c r="N92" i="19"/>
  <c r="Y91" i="19"/>
  <c r="X91" i="19"/>
  <c r="W91" i="19"/>
  <c r="N91" i="19"/>
  <c r="Y90" i="19"/>
  <c r="X90" i="19"/>
  <c r="W90" i="19"/>
  <c r="N90" i="19"/>
  <c r="Y89" i="19"/>
  <c r="X89" i="19"/>
  <c r="W89" i="19"/>
  <c r="N89" i="19"/>
  <c r="Y88" i="19"/>
  <c r="X88" i="19"/>
  <c r="W88" i="19"/>
  <c r="N88" i="19"/>
  <c r="Y87" i="19"/>
  <c r="X87" i="19"/>
  <c r="W87" i="19"/>
  <c r="N87" i="19"/>
  <c r="Y86" i="19"/>
  <c r="X86" i="19"/>
  <c r="W86" i="19"/>
  <c r="N86" i="19"/>
  <c r="Y85" i="19"/>
  <c r="X85" i="19"/>
  <c r="W85" i="19"/>
  <c r="N85" i="19"/>
  <c r="Y84" i="19"/>
  <c r="X84" i="19"/>
  <c r="W84" i="19"/>
  <c r="N84" i="19"/>
  <c r="Y83" i="19"/>
  <c r="X83" i="19"/>
  <c r="W83" i="19"/>
  <c r="N83" i="19"/>
  <c r="W82" i="19"/>
  <c r="W100" i="19" s="1"/>
  <c r="W111" i="19" s="1"/>
  <c r="N82" i="19"/>
  <c r="N81" i="19"/>
  <c r="N80" i="19"/>
  <c r="N79" i="19"/>
  <c r="N78" i="19"/>
  <c r="Z77" i="19"/>
  <c r="Y77" i="19"/>
  <c r="X77" i="19"/>
  <c r="N77" i="19"/>
  <c r="Z76" i="19"/>
  <c r="Y76" i="19"/>
  <c r="X76" i="19"/>
  <c r="N76" i="19"/>
  <c r="Z75" i="19"/>
  <c r="Y75" i="19"/>
  <c r="X75" i="19"/>
  <c r="N75" i="19"/>
  <c r="Z74" i="19"/>
  <c r="Y74" i="19"/>
  <c r="X74" i="19"/>
  <c r="N74" i="19"/>
  <c r="N73" i="19"/>
  <c r="Z72" i="19"/>
  <c r="Y72" i="19"/>
  <c r="X72" i="19"/>
  <c r="N72" i="19"/>
  <c r="N71" i="19"/>
  <c r="Z70" i="19"/>
  <c r="Y70" i="19"/>
  <c r="X70" i="19"/>
  <c r="I62" i="19"/>
  <c r="AD32" i="19"/>
  <c r="W32" i="19"/>
  <c r="B18" i="21" s="1"/>
  <c r="P32" i="19"/>
  <c r="B16" i="21" s="1"/>
  <c r="I32" i="19"/>
  <c r="A32" i="19"/>
  <c r="B12" i="21" s="1"/>
  <c r="AD6" i="19"/>
  <c r="W6" i="19"/>
  <c r="B17" i="21" s="1"/>
  <c r="I6" i="19"/>
  <c r="B13" i="21" s="1"/>
  <c r="A6" i="19"/>
  <c r="B11" i="21" s="1"/>
  <c r="A52" i="23"/>
  <c r="P61" i="19"/>
  <c r="B62" i="21"/>
  <c r="H26" i="21"/>
  <c r="H28" i="21" s="1"/>
  <c r="H29" i="21" s="1"/>
  <c r="H31" i="21" s="1"/>
  <c r="H24" i="21"/>
  <c r="B20" i="21"/>
  <c r="B19" i="21"/>
  <c r="B15" i="21"/>
  <c r="B14" i="21"/>
  <c r="X115" i="19" l="1"/>
  <c r="Z78" i="19"/>
  <c r="X104" i="19"/>
  <c r="Y104" i="19"/>
  <c r="W115" i="19"/>
  <c r="W104" i="19"/>
  <c r="Y115" i="19"/>
  <c r="X78" i="19"/>
  <c r="Y78" i="19"/>
  <c r="Y93" i="19"/>
  <c r="Y95" i="19" s="1"/>
  <c r="W92" i="19"/>
  <c r="W93" i="19" s="1"/>
  <c r="W95" i="19" s="1"/>
  <c r="X92" i="19"/>
  <c r="X93" i="19" s="1"/>
  <c r="X95" i="19" s="1"/>
  <c r="H32" i="21"/>
  <c r="H33" i="21"/>
  <c r="H34" i="21" s="1"/>
  <c r="H35" i="21" s="1"/>
  <c r="H36" i="21" s="1"/>
  <c r="H37" i="21" s="1"/>
  <c r="H38" i="21" s="1"/>
  <c r="H40" i="21" s="1"/>
  <c r="A61" i="19"/>
  <c r="W62" i="19"/>
  <c r="H27" i="21"/>
  <c r="I61" i="19"/>
  <c r="AD62" i="19"/>
  <c r="X82" i="19"/>
  <c r="X100" i="19" s="1"/>
  <c r="X111" i="19" s="1"/>
  <c r="A52" i="24"/>
  <c r="H52" i="24"/>
  <c r="W61" i="19"/>
  <c r="B61" i="21"/>
  <c r="H53" i="24"/>
  <c r="A53" i="24"/>
  <c r="AD61" i="19"/>
  <c r="C125" i="19"/>
  <c r="C126" i="19" s="1"/>
  <c r="C129" i="19"/>
  <c r="C130" i="19" s="1"/>
  <c r="A51" i="23"/>
  <c r="A62" i="19"/>
  <c r="D125" i="19"/>
  <c r="D126" i="19" s="1"/>
  <c r="D129" i="19"/>
  <c r="D130" i="19" s="1"/>
  <c r="P62" i="19"/>
  <c r="D121" i="19"/>
  <c r="D122" i="19" s="1"/>
  <c r="H41" i="21" l="1"/>
  <c r="H43" i="21"/>
  <c r="H44" i="21" l="1"/>
  <c r="H45" i="21"/>
  <c r="H46" i="21" s="1"/>
  <c r="H47" i="21" s="1"/>
  <c r="H48" i="21" s="1"/>
  <c r="H66" i="21" s="1"/>
  <c r="H67" i="21" s="1"/>
  <c r="H68" i="21" s="1"/>
  <c r="H69" i="21" s="1"/>
  <c r="H70" i="21" s="1"/>
  <c r="H71" i="21" s="1"/>
  <c r="H73" i="21" s="1"/>
  <c r="H74" i="21" s="1"/>
  <c r="H75" i="21" s="1"/>
  <c r="H76" i="21" s="1"/>
  <c r="H77" i="21" s="1"/>
  <c r="H78" i="21" s="1"/>
  <c r="H80" i="21" s="1"/>
</calcChain>
</file>

<file path=xl/sharedStrings.xml><?xml version="1.0" encoding="utf-8"?>
<sst xmlns="http://schemas.openxmlformats.org/spreadsheetml/2006/main" count="2878" uniqueCount="244">
  <si>
    <t>Tilbake til innholdsfortegnelsen</t>
  </si>
  <si>
    <t>Endring i prosent</t>
  </si>
  <si>
    <t>Landbasert i alt</t>
  </si>
  <si>
    <t>Året i alt</t>
  </si>
  <si>
    <t>Motorvogn, Privat</t>
  </si>
  <si>
    <t>Motorvogn, Næring</t>
  </si>
  <si>
    <t>Brann-kombinert, Privat</t>
  </si>
  <si>
    <t>Yrkesskade</t>
  </si>
  <si>
    <t>Trygghet</t>
  </si>
  <si>
    <t>Ulykke</t>
  </si>
  <si>
    <t>Reise</t>
  </si>
  <si>
    <t>Fritidsbåt</t>
  </si>
  <si>
    <t>Ansvar</t>
  </si>
  <si>
    <t>Fiskeoppdrett</t>
  </si>
  <si>
    <t>Andre</t>
  </si>
  <si>
    <t>Tabell 0.2 Landbasert forsikring i alt, anslått erstatning etter bransje</t>
  </si>
  <si>
    <t>Beløp i mill. kr.</t>
  </si>
  <si>
    <t>Privat i alt</t>
  </si>
  <si>
    <t>Brann</t>
  </si>
  <si>
    <t>Vannledning</t>
  </si>
  <si>
    <t>Innbrudd/Tyveri/Ran</t>
  </si>
  <si>
    <t>Glass (inkl. san. pors.)</t>
  </si>
  <si>
    <t>Matvarer i fryser</t>
  </si>
  <si>
    <t>Rettshjelp</t>
  </si>
  <si>
    <t>Annet</t>
  </si>
  <si>
    <t>Tabell 2.2 Brann-kombinert Privat, anslått erstatning etter skadetype</t>
  </si>
  <si>
    <t>Motorvogn i alt</t>
  </si>
  <si>
    <t>To-hjul</t>
  </si>
  <si>
    <t>Personbil og varebil &lt; 3,5 t.</t>
  </si>
  <si>
    <t>Lastebil, buss og varebil &gt; 3,5 t.</t>
  </si>
  <si>
    <t>Traktor, arbeidsmaskiner</t>
  </si>
  <si>
    <t>Andre motorvogner</t>
  </si>
  <si>
    <t>Tabell 1.2 Motorvogn, anslått erstatning etter kjøretøy</t>
  </si>
  <si>
    <t>Tabell 1.4 Motorvogn, anslått erstatning etter skadetype</t>
  </si>
  <si>
    <t>Ansvar person</t>
  </si>
  <si>
    <t>Førerulykke</t>
  </si>
  <si>
    <t>Ansvar ting</t>
  </si>
  <si>
    <t>Tyveri av bil</t>
  </si>
  <si>
    <t>Tyveri fra bil</t>
  </si>
  <si>
    <t>Glass</t>
  </si>
  <si>
    <t>Redning</t>
  </si>
  <si>
    <t>Vognskade (kasko)</t>
  </si>
  <si>
    <t>Hjemforsikring i alt</t>
  </si>
  <si>
    <r>
      <t xml:space="preserve">Tabell 2.2a Brann-kombinert Privat herav </t>
    </r>
    <r>
      <rPr>
        <b/>
        <i/>
        <sz val="12"/>
        <rFont val="Times New Roman"/>
        <family val="1"/>
      </rPr>
      <t>Hjem</t>
    </r>
    <r>
      <rPr>
        <b/>
        <sz val="12"/>
        <rFont val="Times New Roman"/>
        <family val="1"/>
      </rPr>
      <t>, anslått erstatning</t>
    </r>
  </si>
  <si>
    <t>Villaforsikring i alt</t>
  </si>
  <si>
    <t>Hytteforsikring i alt</t>
  </si>
  <si>
    <t>Sykdom</t>
  </si>
  <si>
    <t>Reiseulykke</t>
  </si>
  <si>
    <t>Reisesyke</t>
  </si>
  <si>
    <t>Avbestilling</t>
  </si>
  <si>
    <t>Andre skader</t>
  </si>
  <si>
    <t>Fritidsbåt i alt</t>
  </si>
  <si>
    <t>Havari</t>
  </si>
  <si>
    <t>Produktansvar person</t>
  </si>
  <si>
    <t>Produktansvar ting</t>
  </si>
  <si>
    <t>Bedriftsansvar ting</t>
  </si>
  <si>
    <t>Garanti</t>
  </si>
  <si>
    <t>Trygghetsforsikring i alt</t>
  </si>
  <si>
    <t>Yrkesskadeforsikring i alt</t>
  </si>
  <si>
    <t>Tabell 3.2 Yrkesskadeforsikring, anslått erstatning etter skadetype</t>
  </si>
  <si>
    <t>Ulykkesforsikring i alt</t>
  </si>
  <si>
    <t>Reiseforsikring i alt</t>
  </si>
  <si>
    <t>Tyveri/tap av reisegods</t>
  </si>
  <si>
    <t>Tyveri</t>
  </si>
  <si>
    <t>Ansvarsforsikring i alt</t>
  </si>
  <si>
    <t>Tabell 4.6 Ansvarsforsikring, anslått erstatning etter skadetype</t>
  </si>
  <si>
    <t>Bedriftsansvar person</t>
  </si>
  <si>
    <t>Formuesskade</t>
  </si>
  <si>
    <t>Annen person</t>
  </si>
  <si>
    <t>Annen ting</t>
  </si>
  <si>
    <t>Tabell 4.4 Fritidsbåtforsikring, anslått erstatning etter skadetype</t>
  </si>
  <si>
    <t>Tabell 4.2 Reiseforsikring, anslått erstatning etter skadetype</t>
  </si>
  <si>
    <t>Tabell 3.6 Ulykkesforsikring, anslått erstatning etter skadetype</t>
  </si>
  <si>
    <t>Tabell 3.4 Trygghetsforsikring, anslått erstatning etter skadetype</t>
  </si>
  <si>
    <t>ANTALL</t>
  </si>
  <si>
    <t>KVARTAL</t>
  </si>
  <si>
    <t>ÅR</t>
  </si>
  <si>
    <t>Personbil</t>
  </si>
  <si>
    <t>Faktiske tall</t>
  </si>
  <si>
    <t>Motorv.</t>
  </si>
  <si>
    <t>Pers.bil</t>
  </si>
  <si>
    <t>FORDELING</t>
  </si>
  <si>
    <t>Person</t>
  </si>
  <si>
    <t>Materiell</t>
  </si>
  <si>
    <t>Privat</t>
  </si>
  <si>
    <t>Sum</t>
  </si>
  <si>
    <t>Vann</t>
  </si>
  <si>
    <t>SUM</t>
  </si>
  <si>
    <t>INNHOLDSFORTEGNELSE</t>
  </si>
  <si>
    <t>1. HOVEDTREKK …………………………………………………………………………………………………..</t>
  </si>
  <si>
    <t>2. FIGURDEL</t>
  </si>
  <si>
    <t>3. TABELLDEL</t>
  </si>
  <si>
    <t>4. PRINSIPPER, BEGREPER OG DEFINISJONER …………………………………………………</t>
  </si>
  <si>
    <t>Tabell 0.2 Landbasert forsikring i alt, anslått erstatning etter bransje…………………………………………………………………………</t>
  </si>
  <si>
    <t>Tabell 1.2 Motorvogn, anslått erstatning etter kjøretøy………………………………………………</t>
  </si>
  <si>
    <t>Tabell 1.4 Motorvogn, anslått erstatning etter skadetype……………………………………………</t>
  </si>
  <si>
    <t>Tabell 2.2 Brann-kombinert Privat, anslått erstatning etter skadetype  …………………………………….</t>
  </si>
  <si>
    <t>Tabell 2.2a Brann-kombinert Privat herav Hjem, anslått erstatning……………………………………………</t>
  </si>
  <si>
    <r>
      <t xml:space="preserve">Tabell 2.2c Brann-kombinert Privat herav </t>
    </r>
    <r>
      <rPr>
        <b/>
        <i/>
        <sz val="12"/>
        <rFont val="Times New Roman"/>
        <family val="1"/>
      </rPr>
      <t>Hytte,</t>
    </r>
    <r>
      <rPr>
        <b/>
        <sz val="12"/>
        <rFont val="Times New Roman"/>
        <family val="1"/>
      </rPr>
      <t xml:space="preserve"> anslått erstatning</t>
    </r>
  </si>
  <si>
    <r>
      <t xml:space="preserve">Tabell 2.2b Brann-kombinert Privat herav </t>
    </r>
    <r>
      <rPr>
        <b/>
        <i/>
        <sz val="12"/>
        <rFont val="Times New Roman"/>
        <family val="1"/>
      </rPr>
      <t>Villa,</t>
    </r>
    <r>
      <rPr>
        <b/>
        <sz val="12"/>
        <rFont val="Times New Roman"/>
        <family val="1"/>
      </rPr>
      <t xml:space="preserve"> anslått erstatning</t>
    </r>
  </si>
  <si>
    <t>Tabell 2.2b Brann-kombinert Privat herav Villa, anslått erstatning……………………………………………</t>
  </si>
  <si>
    <t>Tabell 2.2c Brann-kombinert Privat herav Hytte anslått erstatning…………………………………………………………………</t>
  </si>
  <si>
    <t>Tabell 3.4 Trygghetsforsikring, anslått erstatning etter skadetype…………………………………………</t>
  </si>
  <si>
    <t>Tabell 3.6 Ulykkesforsikring, anslått erstatning etter skadetype………………………………………</t>
  </si>
  <si>
    <t>Tabell 3.2 Yrkesskadeforsikring, anslått erstatning etter skadetype …………………………………….</t>
  </si>
  <si>
    <t>Tabell 4.4 Fritidsbåtforsikring, anslått erstatning etter skadetype……………………………………………………………</t>
  </si>
  <si>
    <t>Tabell 4.6 Ansvarsforsikring, anslått erstatning etter skadetype   …………………………………………………………………….</t>
  </si>
  <si>
    <t>Tabell 4.2 Reiseforsikring, anslått erstatning etter skadetype……………………………………………………………</t>
  </si>
  <si>
    <t>Antall</t>
  </si>
  <si>
    <t>4. PRINSIPPER, BEGREPER OG DEFINISJONER</t>
  </si>
  <si>
    <t>Hentes fra tab5:</t>
  </si>
  <si>
    <t>Hjem</t>
  </si>
  <si>
    <t>Villa</t>
  </si>
  <si>
    <t>Hytte</t>
  </si>
  <si>
    <t>Tab1</t>
  </si>
  <si>
    <t>Tab2</t>
  </si>
  <si>
    <t>Tab3</t>
  </si>
  <si>
    <t>Tab4</t>
  </si>
  <si>
    <t>Tab5</t>
  </si>
  <si>
    <t>Tab6</t>
  </si>
  <si>
    <t>Tab7</t>
  </si>
  <si>
    <t>Tab8</t>
  </si>
  <si>
    <t>Tab9</t>
  </si>
  <si>
    <t>Tab10</t>
  </si>
  <si>
    <t>Tab11</t>
  </si>
  <si>
    <t>Tab13</t>
  </si>
  <si>
    <t>Tab14</t>
  </si>
  <si>
    <t>Tab15</t>
  </si>
  <si>
    <t>Tab16</t>
  </si>
  <si>
    <t>Tab17</t>
  </si>
  <si>
    <t>Tab18</t>
  </si>
  <si>
    <t xml:space="preserve">For mer detaljert beskrivelse av statistikkens innhold henviser vi til </t>
  </si>
  <si>
    <t>Tabell 0.1 Landbasert forsikring i alt, antall meldte skader etter bransje…………………………………………………………………………</t>
  </si>
  <si>
    <t>Tabell 1.1 Motorvogn, antall meldte skader etter kjøretøy………………………………………………….</t>
  </si>
  <si>
    <t>Tabell 1.3 Motorvogn, antall meldte skader etter skadetype………………………………………</t>
  </si>
  <si>
    <t>Tabell 2.1 Brann-kombinert Privat, antall meldte skader etter skadetype…………………………………</t>
  </si>
  <si>
    <t>Tabell 2.1a Brann-kombinert Privat herav Hjem, antall meldte skader  …………………………………………</t>
  </si>
  <si>
    <t>Tabell 2.1b Brann-kombinert Privat herav Villa, antall meldte skader  …………………………………………</t>
  </si>
  <si>
    <t>Tabell 2.1c Brann-kombinert Privat herav Hytte antall meldte skader………………………………………………………………</t>
  </si>
  <si>
    <t>Tabell 3.1 Yrkesskadeforsikring, antall meldte skader etter skadetype…………………………………</t>
  </si>
  <si>
    <t>Tabell 3.3 Trygghetsforsikring, antall meldte skader etter skadetype…………………………………………</t>
  </si>
  <si>
    <t>Tabell 3.5 Ulykkesforsikring, antall meldte skader etter skadetype…………………………………………</t>
  </si>
  <si>
    <t>Tabell 4.1 Reiseforsikring, antall meldte skader etter skadetype…………………………………………………………</t>
  </si>
  <si>
    <t>Tabell 4.3 Fritidsbåtforsikring, antall meldte skader etter skadetype…………………………………………………………</t>
  </si>
  <si>
    <t>Tabell 4.5 Ansvarsforsikring, antall meldte skader etter skadetype …………………………………………………………………….</t>
  </si>
  <si>
    <t>Tabell 0.1 Landbasert forsikring i alt, antall meldte skader etter bransje</t>
  </si>
  <si>
    <t>Tabell 1.1 Motorvogn, antall meldte skader etter kjøretøy</t>
  </si>
  <si>
    <t>Tabell 1.3 Motorvogn, antall meldte skader etter skadetype</t>
  </si>
  <si>
    <t>Tabell 2.1 Brann-kombinert Privat, antall meldte skader etter skadetype</t>
  </si>
  <si>
    <t>Tabell 2.1a Brann-kombinert Privat herav Hjem, antall meldte skader</t>
  </si>
  <si>
    <t>Tabell 2.1b Brann-kombinert Privat herav Villa, antall meldte skader</t>
  </si>
  <si>
    <t>Tabell 2.1c Brann-kombinert Privat herav Hytte, antall meldte skader</t>
  </si>
  <si>
    <t>Tabell 3.1 Yrkesskadeforsikring, antall meldte skader etter skadetype</t>
  </si>
  <si>
    <t>Tabell 3.3 Trygghetsforsikring, antall meldte skader etter skadetype</t>
  </si>
  <si>
    <t>Tabell 3.5 Ulykkesforsikring, antall meldte skader etter skadetype</t>
  </si>
  <si>
    <t>Tabell 4.1 Reiseforsikring, antall meldte skader etter skadetype</t>
  </si>
  <si>
    <t>Tabell 4.3 Fritidsbåtforsikring, antall meldte skader etter skadetype</t>
  </si>
  <si>
    <t>Tabell 4.5 Ansvarsforsikring, antall meldte skader etter skadetype</t>
  </si>
  <si>
    <t>Erstatning</t>
  </si>
  <si>
    <t>Just. erst.</t>
  </si>
  <si>
    <t>KPI</t>
  </si>
  <si>
    <t>Fra tab:</t>
  </si>
  <si>
    <t>Vannskader</t>
  </si>
  <si>
    <t>Fig. 3. Ansl. erstat. etter bransje</t>
  </si>
  <si>
    <t>Tabell 2.3 Brann-kombinert Næring, antall meldte skader etter skadetype</t>
  </si>
  <si>
    <t>Tabell 2.4 Brann-kombinert Næring, anslått erstatning etter skadetype</t>
  </si>
  <si>
    <t>Næring i alt</t>
  </si>
  <si>
    <t>Tabell 2.3 Brann-kombinert Næring, antall meldte skader etter skadetype …………………………………………………………</t>
  </si>
  <si>
    <t>Tabell 2.4 Brann-kombinert Næring, anslått erstatning etter skadetype……………………………………………………………</t>
  </si>
  <si>
    <t>Brann-kombinert, Næring</t>
  </si>
  <si>
    <t>Næring</t>
  </si>
  <si>
    <t>I alt</t>
  </si>
  <si>
    <t>Brann                                                       (inkl avbrudd)</t>
  </si>
  <si>
    <t>Tab12</t>
  </si>
  <si>
    <t>oppslag</t>
  </si>
  <si>
    <t>beregning</t>
  </si>
  <si>
    <t>Brannskader</t>
  </si>
  <si>
    <t>Innbrudd/tyveri/ran</t>
  </si>
  <si>
    <t>Figur 4</t>
  </si>
  <si>
    <t>Figur 10</t>
  </si>
  <si>
    <t>Figur 9</t>
  </si>
  <si>
    <t>Fig. 1. Antall anmeldte skader etter bransje</t>
  </si>
  <si>
    <t>Fig. 2. Antall anmeldte skader etter bransje</t>
  </si>
  <si>
    <t>Figur 5. Antall meldte skader i motorvogn kvartalsvis (i 1000)</t>
  </si>
  <si>
    <t>Fig. 5</t>
  </si>
  <si>
    <t>Fig. 6.  Ansl. erstat. etter skadetype, motorvogn</t>
  </si>
  <si>
    <t>Fig. 7. Antall skader i de Brann-kombinerte bransjer etter skadetype</t>
  </si>
  <si>
    <t>Fig. 8. Anslått erstatning i de Brann-kombinerte bransjer etter skadetype</t>
  </si>
  <si>
    <t>Hittil</t>
  </si>
  <si>
    <t>Hele året</t>
  </si>
  <si>
    <t>Kaskoskader</t>
  </si>
  <si>
    <t>NB. Datagrunnlaget er levert fra Finans Norges medlemsselskaper. Enkelte tall</t>
  </si>
  <si>
    <t>kan bli justert i etterkant dersom et selskap oppdager feil eller mangler ved sine data.</t>
  </si>
  <si>
    <t>Barn</t>
  </si>
  <si>
    <t>Kritisk sykdom</t>
  </si>
  <si>
    <t>Behandling</t>
  </si>
  <si>
    <t>Barneforsikring i alt</t>
  </si>
  <si>
    <t>Medisinsk invaliditet</t>
  </si>
  <si>
    <t>Hjelpestønad</t>
  </si>
  <si>
    <t>Behandlingsutgifter</t>
  </si>
  <si>
    <t>Dagpenger</t>
  </si>
  <si>
    <t>Dødsfall</t>
  </si>
  <si>
    <t>Ombygging av bolig</t>
  </si>
  <si>
    <t>Utvalgte sykdommer</t>
  </si>
  <si>
    <t>Kritisk sykdom i alt</t>
  </si>
  <si>
    <t>Kreft</t>
  </si>
  <si>
    <t>Hjerte- og karsykdommer</t>
  </si>
  <si>
    <t>Hjerneslag</t>
  </si>
  <si>
    <t>Nyresvikt</t>
  </si>
  <si>
    <t>Multippel sklerose (MS)</t>
  </si>
  <si>
    <t>Annen sykdom</t>
  </si>
  <si>
    <t>Behandling i alt</t>
  </si>
  <si>
    <t>Legespesialist/diagnostikk</t>
  </si>
  <si>
    <t>Psykolog/psykiater</t>
  </si>
  <si>
    <t>Annen behandling</t>
  </si>
  <si>
    <t>Tabell 3.7 Barneforsikring, antall meldte skader etter skadetype</t>
  </si>
  <si>
    <t>Tabell 3.8 Barneforsikring, anslått erstatning etter skadetype</t>
  </si>
  <si>
    <t>Tabell 3.9 Kritisk sykdom, antall meldte skader etter skadetype</t>
  </si>
  <si>
    <t>Tabell 3.10 Kritisk sykdom, anslått erstatning etter skadetype</t>
  </si>
  <si>
    <t>Tabell 3.11 Behandlingsforsikring, antall meldte skader etter skadetype</t>
  </si>
  <si>
    <t>Tabell 3.12 Behandlingsforsikring, anslått erstatning etter skadetype</t>
  </si>
  <si>
    <t>Tabell 3.7 Barneforsikring, antall meldte skader etter skadetype…………………………………………</t>
  </si>
  <si>
    <t>Tabell 3.8 Barneforsikring, anslått erstatning etter skadetype………………………………………</t>
  </si>
  <si>
    <t>Tabell 3.9 Kritisk sykdom, antall meldte skader etter skadetype…………………………………………</t>
  </si>
  <si>
    <t>Tabell 3.10 Kritisk sykdom, anslått erstatning etter skadetype………………………………………</t>
  </si>
  <si>
    <t>Tabell 3.11 Behandlingsforsikring, antall meldte skader etter skadetype…………………………………………</t>
  </si>
  <si>
    <t>Tabell 3.12 Behandlingsforsikring, anslått erstatning etter skadetype………………………………………</t>
  </si>
  <si>
    <t>Tab19</t>
  </si>
  <si>
    <t>Tab20</t>
  </si>
  <si>
    <t>Tab21</t>
  </si>
  <si>
    <t>Operasjon</t>
  </si>
  <si>
    <t>Uførhet</t>
  </si>
  <si>
    <t>midt-måneden</t>
  </si>
  <si>
    <t>punkt 4. Prinsipper, begreper og definisjoner på side 27.</t>
  </si>
  <si>
    <t>Fysioterapeut/kiropraktor</t>
  </si>
  <si>
    <t>Finans Norge / Skadeforsikringsstatistikk</t>
  </si>
  <si>
    <t>2017</t>
  </si>
  <si>
    <t>2018</t>
  </si>
  <si>
    <t>2019</t>
  </si>
  <si>
    <t>17-19</t>
  </si>
  <si>
    <t>18-19</t>
  </si>
  <si>
    <t/>
  </si>
  <si>
    <t>Skadestatistikk for landbasert norsk skadeforsikring 4. kvartal 2019</t>
  </si>
  <si>
    <t>(2018)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</si>
</sst>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_ * #,##0.00_ ;_ * \-#,##0.00_ ;_ * &quot;-&quot;??_ ;_ @_ "/>
    <numFmt numFmtId="165" formatCode="_(* #,##0.00_);_(* \(#,##0.00\);_(* &quot;-&quot;??_);_(@_)"/>
    <numFmt numFmtId="166" formatCode="0.0_)"/>
    <numFmt numFmtId="167" formatCode="#,##0.0"/>
    <numFmt numFmtId="168" formatCode="_ * #,##0_ ;_ * \-#,##0_ ;_ * &quot;-&quot;??_ ;_ @_ "/>
    <numFmt numFmtId="169" formatCode="0.0"/>
    <numFmt numFmtId="170" formatCode="0.000"/>
    <numFmt numFmtId="171" formatCode="#,##0.000"/>
  </numFmts>
  <fonts count="42" x14ac:knownFonts="1">
    <font>
      <sz val="10"/>
      <name val="Arial"/>
    </font>
    <font>
      <sz val="11"/>
      <color theme="1"/>
      <name val="Calibri"/>
      <family val="2"/>
      <scheme val="minor"/>
    </font>
    <font>
      <sz val="11"/>
      <color theme="1"/>
      <name val="Calibri"/>
      <family val="2"/>
      <scheme val="minor"/>
    </font>
    <font>
      <sz val="10"/>
      <name val="Arial"/>
      <family val="2"/>
    </font>
    <font>
      <u/>
      <sz val="10"/>
      <color indexed="12"/>
      <name val="Arial"/>
      <family val="2"/>
    </font>
    <font>
      <sz val="10"/>
      <name val="Times New Roman"/>
      <family val="1"/>
    </font>
    <font>
      <u/>
      <sz val="12"/>
      <color indexed="12"/>
      <name val="System"/>
      <family val="2"/>
    </font>
    <font>
      <b/>
      <sz val="12"/>
      <name val="Times New Roman"/>
      <family val="1"/>
    </font>
    <font>
      <sz val="9"/>
      <name val="Times New Roman"/>
      <family val="1"/>
    </font>
    <font>
      <b/>
      <sz val="9"/>
      <name val="Times New Roman"/>
      <family val="1"/>
    </font>
    <font>
      <sz val="12"/>
      <name val="Arial"/>
      <family val="2"/>
    </font>
    <font>
      <i/>
      <sz val="9"/>
      <name val="Times New Roman"/>
      <family val="1"/>
    </font>
    <font>
      <b/>
      <sz val="10"/>
      <name val="Times New Roman"/>
      <family val="1"/>
    </font>
    <font>
      <i/>
      <sz val="10"/>
      <name val="Times New Roman"/>
      <family val="1"/>
    </font>
    <font>
      <b/>
      <sz val="16"/>
      <name val="Times New Roman"/>
      <family val="1"/>
    </font>
    <font>
      <sz val="8"/>
      <name val="Times New Roman"/>
      <family val="1"/>
    </font>
    <font>
      <b/>
      <i/>
      <sz val="12"/>
      <name val="Times New Roman"/>
      <family val="1"/>
    </font>
    <font>
      <b/>
      <sz val="10"/>
      <name val="Arial"/>
      <family val="2"/>
    </font>
    <font>
      <sz val="10"/>
      <color indexed="8"/>
      <name val="Arial"/>
      <family val="2"/>
    </font>
    <font>
      <sz val="10"/>
      <color indexed="18"/>
      <name val="Arial"/>
      <family val="2"/>
    </font>
    <font>
      <sz val="14"/>
      <name val="Times New Roman"/>
      <family val="1"/>
    </font>
    <font>
      <sz val="12"/>
      <name val="Times New Roman"/>
      <family val="1"/>
    </font>
    <font>
      <sz val="10"/>
      <name val="Arial"/>
      <family val="2"/>
    </font>
    <font>
      <sz val="10"/>
      <color indexed="9"/>
      <name val="Times New Roman"/>
      <family val="1"/>
    </font>
    <font>
      <u/>
      <sz val="12"/>
      <color indexed="12"/>
      <name val="Arial"/>
      <family val="2"/>
    </font>
    <font>
      <sz val="10"/>
      <color indexed="23"/>
      <name val="Arial"/>
      <family val="2"/>
    </font>
    <font>
      <sz val="18"/>
      <color indexed="23"/>
      <name val="Times New Roman"/>
      <family val="1"/>
    </font>
    <font>
      <sz val="14"/>
      <color indexed="23"/>
      <name val="Times New Roman"/>
      <family val="1"/>
    </font>
    <font>
      <b/>
      <sz val="28"/>
      <color rgb="FF3B6E8F"/>
      <name val="Cambria"/>
      <family val="1"/>
      <scheme val="major"/>
    </font>
    <font>
      <sz val="20"/>
      <color theme="1"/>
      <name val="Calibri"/>
      <family val="2"/>
      <scheme val="minor"/>
    </font>
    <font>
      <sz val="14"/>
      <color theme="1"/>
      <name val="Calibri"/>
      <family val="2"/>
      <scheme val="minor"/>
    </font>
    <font>
      <b/>
      <sz val="26"/>
      <color rgb="FF3B6E8F"/>
      <name val="Cambria"/>
      <family val="1"/>
      <scheme val="major"/>
    </font>
    <font>
      <b/>
      <sz val="28"/>
      <color rgb="FF54758C"/>
      <name val="Arial"/>
      <family val="2"/>
    </font>
    <font>
      <sz val="26"/>
      <color rgb="FF54758C"/>
      <name val="Arial"/>
      <family val="2"/>
    </font>
    <font>
      <sz val="14"/>
      <name val="Arial"/>
      <family val="2"/>
    </font>
    <font>
      <sz val="14"/>
      <color indexed="22"/>
      <name val="Times New Roman"/>
      <family val="1"/>
    </font>
    <font>
      <sz val="10"/>
      <color theme="0"/>
      <name val="Times New Roman"/>
      <family val="1"/>
    </font>
    <font>
      <b/>
      <sz val="10"/>
      <color theme="0"/>
      <name val="Times New Roman"/>
      <family val="1"/>
    </font>
    <font>
      <b/>
      <sz val="10"/>
      <color theme="0"/>
      <name val="Arial"/>
      <family val="2"/>
    </font>
    <font>
      <sz val="10"/>
      <color theme="0"/>
      <name val="Arial"/>
      <family val="2"/>
    </font>
    <font>
      <u/>
      <sz val="10"/>
      <name val="Arial"/>
      <family val="2"/>
    </font>
    <font>
      <u/>
      <sz val="12"/>
      <name val="System"/>
      <family val="2"/>
    </font>
  </fonts>
  <fills count="3">
    <fill>
      <patternFill patternType="none"/>
    </fill>
    <fill>
      <patternFill patternType="gray125"/>
    </fill>
    <fill>
      <patternFill patternType="solid">
        <fgColor indexed="9"/>
        <bgColor indexed="64"/>
      </patternFill>
    </fill>
  </fills>
  <borders count="31">
    <border>
      <left/>
      <right/>
      <top/>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style="medium">
        <color indexed="64"/>
      </right>
      <top/>
      <bottom/>
      <diagonal/>
    </border>
    <border>
      <left/>
      <right style="thin">
        <color indexed="64"/>
      </right>
      <top/>
      <bottom style="hair">
        <color indexed="64"/>
      </bottom>
      <diagonal/>
    </border>
    <border>
      <left/>
      <right/>
      <top/>
      <bottom style="hair">
        <color indexed="64"/>
      </bottom>
      <diagonal/>
    </border>
    <border>
      <left/>
      <right style="medium">
        <color indexed="64"/>
      </right>
      <top/>
      <bottom style="hair">
        <color indexed="64"/>
      </bottom>
      <diagonal/>
    </border>
    <border>
      <left style="medium">
        <color indexed="64"/>
      </left>
      <right/>
      <top/>
      <bottom/>
      <diagonal/>
    </border>
    <border>
      <left style="thin">
        <color indexed="64"/>
      </left>
      <right/>
      <top style="hair">
        <color indexed="64"/>
      </top>
      <bottom/>
      <diagonal/>
    </border>
    <border>
      <left/>
      <right style="medium">
        <color indexed="64"/>
      </right>
      <top style="hair">
        <color indexed="64"/>
      </top>
      <bottom/>
      <diagonal/>
    </border>
    <border>
      <left style="medium">
        <color indexed="64"/>
      </left>
      <right/>
      <top/>
      <bottom style="hair">
        <color indexed="64"/>
      </bottom>
      <diagonal/>
    </border>
    <border>
      <left style="thin">
        <color indexed="64"/>
      </left>
      <right/>
      <top/>
      <bottom style="hair">
        <color indexed="64"/>
      </bottom>
      <diagonal/>
    </border>
    <border>
      <left/>
      <right/>
      <top style="hair">
        <color indexed="64"/>
      </top>
      <bottom/>
      <diagonal/>
    </border>
    <border>
      <left style="medium">
        <color indexed="64"/>
      </left>
      <right/>
      <top style="hair">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top style="thin">
        <color indexed="64"/>
      </top>
      <bottom/>
      <diagonal/>
    </border>
    <border>
      <left/>
      <right style="medium">
        <color indexed="64"/>
      </right>
      <top style="medium">
        <color indexed="64"/>
      </top>
      <bottom/>
      <diagonal/>
    </border>
    <border>
      <left style="medium">
        <color indexed="64"/>
      </left>
      <right/>
      <top style="thin">
        <color indexed="64"/>
      </top>
      <bottom/>
      <diagonal/>
    </border>
  </borders>
  <cellStyleXfs count="15">
    <xf numFmtId="0" fontId="0" fillId="0" borderId="0"/>
    <xf numFmtId="165" fontId="3" fillId="0" borderId="0" applyFont="0" applyFill="0" applyBorder="0" applyAlignment="0" applyProtection="0"/>
    <xf numFmtId="0" fontId="4" fillId="0" borderId="0" applyNumberFormat="0" applyFill="0" applyBorder="0" applyAlignment="0" applyProtection="0">
      <alignment vertical="top"/>
      <protection locked="0"/>
    </xf>
    <xf numFmtId="0" fontId="4" fillId="0" borderId="0" applyNumberFormat="0" applyFill="0" applyBorder="0" applyAlignment="0" applyProtection="0">
      <alignment vertical="top"/>
      <protection locked="0"/>
    </xf>
    <xf numFmtId="0" fontId="3" fillId="0" borderId="0"/>
    <xf numFmtId="165" fontId="3" fillId="0" borderId="0" applyFont="0" applyFill="0" applyBorder="0" applyAlignment="0" applyProtection="0"/>
    <xf numFmtId="0" fontId="4" fillId="0" borderId="0" applyNumberFormat="0" applyFill="0" applyBorder="0" applyAlignment="0" applyProtection="0">
      <alignment vertical="top"/>
      <protection locked="0"/>
    </xf>
    <xf numFmtId="0" fontId="2" fillId="0" borderId="0"/>
    <xf numFmtId="0" fontId="3" fillId="0" borderId="0"/>
    <xf numFmtId="0" fontId="3" fillId="0" borderId="0"/>
    <xf numFmtId="0" fontId="1" fillId="0" borderId="0"/>
    <xf numFmtId="0" fontId="1" fillId="0" borderId="0"/>
    <xf numFmtId="0" fontId="1" fillId="0" borderId="0"/>
    <xf numFmtId="0" fontId="1" fillId="0" borderId="0"/>
    <xf numFmtId="164" fontId="3" fillId="0" borderId="0" applyFont="0" applyFill="0" applyBorder="0" applyAlignment="0" applyProtection="0"/>
  </cellStyleXfs>
  <cellXfs count="229">
    <xf numFmtId="0" fontId="0" fillId="0" borderId="0" xfId="0"/>
    <xf numFmtId="0" fontId="5" fillId="0" borderId="0" xfId="0" applyFont="1"/>
    <xf numFmtId="0" fontId="5" fillId="0" borderId="0" xfId="0" applyFont="1" applyAlignment="1" applyProtection="1">
      <alignment horizontal="left"/>
    </xf>
    <xf numFmtId="0" fontId="6" fillId="0" borderId="0" xfId="2" applyFont="1" applyAlignment="1" applyProtection="1">
      <alignment horizontal="left"/>
    </xf>
    <xf numFmtId="0" fontId="7" fillId="2" borderId="0" xfId="0" applyFont="1" applyFill="1" applyBorder="1"/>
    <xf numFmtId="166" fontId="8" fillId="0" borderId="0" xfId="0" applyNumberFormat="1" applyFont="1" applyProtection="1"/>
    <xf numFmtId="0" fontId="8" fillId="0" borderId="0" xfId="0" applyFont="1"/>
    <xf numFmtId="0" fontId="9" fillId="2" borderId="1" xfId="0" applyFont="1" applyFill="1" applyBorder="1"/>
    <xf numFmtId="0" fontId="9" fillId="2" borderId="2" xfId="0" applyFont="1" applyFill="1" applyBorder="1" applyAlignment="1">
      <alignment horizontal="center"/>
    </xf>
    <xf numFmtId="0" fontId="9" fillId="2" borderId="3" xfId="0" applyFont="1" applyFill="1" applyBorder="1"/>
    <xf numFmtId="0" fontId="8" fillId="2" borderId="2" xfId="0" applyFont="1" applyFill="1" applyBorder="1"/>
    <xf numFmtId="0" fontId="8" fillId="2" borderId="4" xfId="0" applyFont="1" applyFill="1" applyBorder="1"/>
    <xf numFmtId="0" fontId="9" fillId="2" borderId="5" xfId="0" applyFont="1" applyFill="1" applyBorder="1" applyAlignment="1">
      <alignment horizontal="left"/>
    </xf>
    <xf numFmtId="14" fontId="9" fillId="2" borderId="6" xfId="0" applyNumberFormat="1" applyFont="1" applyFill="1" applyBorder="1" applyAlignment="1">
      <alignment horizontal="right"/>
    </xf>
    <xf numFmtId="1" fontId="9" fillId="2" borderId="7" xfId="0" applyNumberFormat="1" applyFont="1" applyFill="1" applyBorder="1" applyAlignment="1">
      <alignment horizontal="right"/>
    </xf>
    <xf numFmtId="1" fontId="9" fillId="2" borderId="6" xfId="0" applyNumberFormat="1" applyFont="1" applyFill="1" applyBorder="1" applyAlignment="1">
      <alignment horizontal="right"/>
    </xf>
    <xf numFmtId="1" fontId="9" fillId="2" borderId="8" xfId="0" applyNumberFormat="1" applyFont="1" applyFill="1" applyBorder="1" applyAlignment="1">
      <alignment horizontal="right"/>
    </xf>
    <xf numFmtId="14" fontId="9" fillId="2" borderId="7" xfId="0" applyNumberFormat="1" applyFont="1" applyFill="1" applyBorder="1" applyAlignment="1">
      <alignment horizontal="right"/>
    </xf>
    <xf numFmtId="14" fontId="9" fillId="2" borderId="9" xfId="0" applyNumberFormat="1" applyFont="1" applyFill="1" applyBorder="1" applyAlignment="1">
      <alignment horizontal="right"/>
    </xf>
    <xf numFmtId="0" fontId="8" fillId="0" borderId="10" xfId="0" applyFont="1" applyBorder="1"/>
    <xf numFmtId="3" fontId="8" fillId="0" borderId="0" xfId="1" applyNumberFormat="1" applyFont="1" applyProtection="1"/>
    <xf numFmtId="3" fontId="8" fillId="0" borderId="0" xfId="1" applyNumberFormat="1" applyFont="1" applyBorder="1" applyProtection="1"/>
    <xf numFmtId="168" fontId="8" fillId="0" borderId="11" xfId="1" applyNumberFormat="1" applyFont="1" applyBorder="1" applyAlignment="1" applyProtection="1">
      <alignment horizontal="right"/>
    </xf>
    <xf numFmtId="166" fontId="8" fillId="0" borderId="0" xfId="0" applyNumberFormat="1" applyFont="1" applyAlignment="1" applyProtection="1">
      <alignment horizontal="right"/>
    </xf>
    <xf numFmtId="166" fontId="8" fillId="0" borderId="12" xfId="0" applyNumberFormat="1" applyFont="1" applyBorder="1" applyAlignment="1">
      <alignment horizontal="right"/>
    </xf>
    <xf numFmtId="0" fontId="11" fillId="0" borderId="13" xfId="0" applyFont="1" applyBorder="1"/>
    <xf numFmtId="3" fontId="8" fillId="0" borderId="14" xfId="1" applyNumberFormat="1" applyFont="1" applyBorder="1" applyProtection="1"/>
    <xf numFmtId="168" fontId="8" fillId="0" borderId="13" xfId="1" applyNumberFormat="1" applyFont="1" applyBorder="1" applyProtection="1"/>
    <xf numFmtId="166" fontId="8" fillId="0" borderId="14" xfId="0" applyNumberFormat="1" applyFont="1" applyBorder="1" applyAlignment="1" applyProtection="1">
      <alignment horizontal="right"/>
    </xf>
    <xf numFmtId="166" fontId="8" fillId="0" borderId="15" xfId="0" applyNumberFormat="1" applyFont="1" applyBorder="1" applyAlignment="1">
      <alignment horizontal="right"/>
    </xf>
    <xf numFmtId="0" fontId="8" fillId="0" borderId="16" xfId="0" applyFont="1" applyBorder="1"/>
    <xf numFmtId="0" fontId="8" fillId="0" borderId="11" xfId="0" applyFont="1" applyBorder="1"/>
    <xf numFmtId="166" fontId="8" fillId="0" borderId="17" xfId="0" applyNumberFormat="1" applyFont="1" applyBorder="1" applyAlignment="1" applyProtection="1">
      <alignment horizontal="right"/>
    </xf>
    <xf numFmtId="166" fontId="8" fillId="0" borderId="18" xfId="0" applyNumberFormat="1" applyFont="1" applyBorder="1" applyAlignment="1">
      <alignment horizontal="right"/>
    </xf>
    <xf numFmtId="0" fontId="8" fillId="0" borderId="19" xfId="0" applyFont="1" applyBorder="1"/>
    <xf numFmtId="166" fontId="8" fillId="0" borderId="20" xfId="0" applyNumberFormat="1" applyFont="1" applyBorder="1" applyAlignment="1" applyProtection="1">
      <alignment horizontal="right"/>
    </xf>
    <xf numFmtId="3" fontId="8" fillId="0" borderId="21" xfId="1" applyNumberFormat="1" applyFont="1" applyBorder="1" applyProtection="1"/>
    <xf numFmtId="166" fontId="8" fillId="0" borderId="21" xfId="0" applyNumberFormat="1" applyFont="1" applyBorder="1" applyAlignment="1" applyProtection="1">
      <alignment horizontal="right"/>
    </xf>
    <xf numFmtId="166" fontId="8" fillId="0" borderId="0" xfId="0" applyNumberFormat="1" applyFont="1" applyBorder="1" applyAlignment="1" applyProtection="1">
      <alignment horizontal="right"/>
    </xf>
    <xf numFmtId="0" fontId="8" fillId="0" borderId="22" xfId="0" applyFont="1" applyBorder="1"/>
    <xf numFmtId="3" fontId="8" fillId="0" borderId="0" xfId="1" applyNumberFormat="1" applyFont="1"/>
    <xf numFmtId="0" fontId="9" fillId="0" borderId="23" xfId="0" applyFont="1" applyBorder="1"/>
    <xf numFmtId="0" fontId="11" fillId="0" borderId="24" xfId="0" applyFont="1" applyBorder="1"/>
    <xf numFmtId="3" fontId="8" fillId="0" borderId="25" xfId="1" applyNumberFormat="1" applyFont="1" applyBorder="1" applyProtection="1"/>
    <xf numFmtId="168" fontId="8" fillId="0" borderId="24" xfId="1" applyNumberFormat="1" applyFont="1" applyBorder="1" applyProtection="1"/>
    <xf numFmtId="166" fontId="8" fillId="0" borderId="26" xfId="0" applyNumberFormat="1" applyFont="1" applyBorder="1" applyAlignment="1" applyProtection="1">
      <alignment horizontal="right"/>
    </xf>
    <xf numFmtId="166" fontId="8" fillId="0" borderId="27" xfId="0" applyNumberFormat="1" applyFont="1" applyBorder="1" applyAlignment="1">
      <alignment horizontal="right"/>
    </xf>
    <xf numFmtId="0" fontId="12" fillId="0" borderId="0" xfId="0" applyFont="1" applyBorder="1"/>
    <xf numFmtId="0" fontId="13" fillId="0" borderId="0" xfId="0" applyFont="1" applyBorder="1"/>
    <xf numFmtId="168" fontId="5" fillId="0" borderId="0" xfId="1" applyNumberFormat="1" applyFont="1" applyBorder="1" applyProtection="1"/>
    <xf numFmtId="166" fontId="5" fillId="0" borderId="0" xfId="0" applyNumberFormat="1" applyFont="1" applyBorder="1" applyAlignment="1" applyProtection="1">
      <alignment horizontal="right"/>
    </xf>
    <xf numFmtId="166" fontId="5" fillId="0" borderId="0" xfId="0" applyNumberFormat="1" applyFont="1" applyBorder="1" applyAlignment="1">
      <alignment horizontal="right"/>
    </xf>
    <xf numFmtId="0" fontId="5" fillId="0" borderId="6" xfId="0" applyFont="1" applyBorder="1"/>
    <xf numFmtId="0" fontId="15" fillId="0" borderId="0" xfId="0" applyFont="1" applyAlignment="1">
      <alignment horizontal="right"/>
    </xf>
    <xf numFmtId="0" fontId="15" fillId="0" borderId="0" xfId="0" applyFont="1" applyAlignment="1">
      <alignment horizontal="left"/>
    </xf>
    <xf numFmtId="168" fontId="5" fillId="0" borderId="0" xfId="1" applyNumberFormat="1" applyFont="1" applyBorder="1" applyAlignment="1" applyProtection="1">
      <alignment horizontal="center"/>
    </xf>
    <xf numFmtId="0" fontId="8" fillId="0" borderId="23" xfId="0" applyFont="1" applyBorder="1"/>
    <xf numFmtId="166" fontId="8" fillId="0" borderId="25" xfId="0" applyNumberFormat="1" applyFont="1" applyBorder="1" applyAlignment="1" applyProtection="1">
      <alignment horizontal="right"/>
    </xf>
    <xf numFmtId="0" fontId="8" fillId="0" borderId="0" xfId="0" applyFont="1" applyBorder="1"/>
    <xf numFmtId="168" fontId="8" fillId="0" borderId="0" xfId="1" applyNumberFormat="1" applyFont="1" applyBorder="1" applyAlignment="1" applyProtection="1">
      <alignment horizontal="right"/>
    </xf>
    <xf numFmtId="166" fontId="8" fillId="0" borderId="0" xfId="0" applyNumberFormat="1" applyFont="1" applyBorder="1" applyAlignment="1">
      <alignment horizontal="right"/>
    </xf>
    <xf numFmtId="0" fontId="5" fillId="0" borderId="0" xfId="0" applyFont="1" applyBorder="1"/>
    <xf numFmtId="0" fontId="11" fillId="0" borderId="0" xfId="0" applyFont="1" applyBorder="1"/>
    <xf numFmtId="168" fontId="8" fillId="0" borderId="0" xfId="1" applyNumberFormat="1" applyFont="1" applyBorder="1" applyProtection="1"/>
    <xf numFmtId="3" fontId="8" fillId="0" borderId="0" xfId="1" applyNumberFormat="1" applyFont="1" applyBorder="1"/>
    <xf numFmtId="0" fontId="9" fillId="0" borderId="0" xfId="0" applyFont="1" applyBorder="1"/>
    <xf numFmtId="0" fontId="7" fillId="2" borderId="0" xfId="0" applyFont="1" applyFill="1" applyBorder="1" applyAlignment="1"/>
    <xf numFmtId="0" fontId="5" fillId="0" borderId="0" xfId="0" applyFont="1" applyAlignment="1"/>
    <xf numFmtId="0" fontId="17" fillId="0" borderId="0" xfId="0" applyFont="1"/>
    <xf numFmtId="0" fontId="18" fillId="0" borderId="0" xfId="0" applyFont="1"/>
    <xf numFmtId="0" fontId="19" fillId="0" borderId="0" xfId="0" applyFont="1"/>
    <xf numFmtId="1" fontId="19" fillId="0" borderId="0" xfId="0" applyNumberFormat="1" applyFont="1"/>
    <xf numFmtId="1" fontId="0" fillId="0" borderId="0" xfId="0" applyNumberFormat="1"/>
    <xf numFmtId="0" fontId="21" fillId="0" borderId="0" xfId="0" applyFont="1"/>
    <xf numFmtId="0" fontId="21" fillId="0" borderId="0" xfId="0" applyFont="1" applyAlignment="1">
      <alignment horizontal="center"/>
    </xf>
    <xf numFmtId="0" fontId="7" fillId="0" borderId="0" xfId="0" applyFont="1" applyAlignment="1">
      <alignment horizontal="left"/>
    </xf>
    <xf numFmtId="0" fontId="21" fillId="0" borderId="0" xfId="0" applyFont="1" applyAlignment="1">
      <alignment horizontal="left"/>
    </xf>
    <xf numFmtId="0" fontId="5" fillId="0" borderId="0" xfId="0" quotePrefix="1" applyFont="1"/>
    <xf numFmtId="0" fontId="0" fillId="0" borderId="0" xfId="0" applyAlignment="1">
      <alignment horizontal="left"/>
    </xf>
    <xf numFmtId="3" fontId="8" fillId="0" borderId="28" xfId="1" applyNumberFormat="1" applyFont="1" applyBorder="1" applyProtection="1"/>
    <xf numFmtId="167" fontId="8" fillId="0" borderId="0" xfId="1" applyNumberFormat="1" applyFont="1" applyProtection="1"/>
    <xf numFmtId="167" fontId="8" fillId="0" borderId="28" xfId="1" applyNumberFormat="1" applyFont="1" applyBorder="1" applyProtection="1"/>
    <xf numFmtId="167" fontId="8" fillId="0" borderId="14" xfId="1" applyNumberFormat="1" applyFont="1" applyBorder="1" applyProtection="1"/>
    <xf numFmtId="167" fontId="8" fillId="0" borderId="0" xfId="1" applyNumberFormat="1" applyFont="1" applyBorder="1" applyProtection="1"/>
    <xf numFmtId="167" fontId="8" fillId="0" borderId="21" xfId="1" applyNumberFormat="1" applyFont="1" applyBorder="1" applyProtection="1"/>
    <xf numFmtId="167" fontId="8" fillId="0" borderId="0" xfId="1" applyNumberFormat="1" applyFont="1"/>
    <xf numFmtId="167" fontId="8" fillId="0" borderId="25" xfId="1" applyNumberFormat="1" applyFont="1" applyBorder="1" applyProtection="1"/>
    <xf numFmtId="0" fontId="23" fillId="0" borderId="0" xfId="0" applyFont="1"/>
    <xf numFmtId="0" fontId="7" fillId="0" borderId="0" xfId="0" applyFont="1"/>
    <xf numFmtId="0" fontId="22" fillId="0" borderId="0" xfId="0" applyFont="1"/>
    <xf numFmtId="0" fontId="24" fillId="0" borderId="0" xfId="2" applyFont="1" applyAlignment="1" applyProtection="1">
      <alignment horizontal="left"/>
    </xf>
    <xf numFmtId="0" fontId="4" fillId="0" borderId="0" xfId="3" applyAlignment="1" applyProtection="1">
      <alignment horizontal="left"/>
    </xf>
    <xf numFmtId="0" fontId="4" fillId="0" borderId="0" xfId="3" applyAlignment="1" applyProtection="1"/>
    <xf numFmtId="0" fontId="3" fillId="0" borderId="0" xfId="4"/>
    <xf numFmtId="167" fontId="5" fillId="0" borderId="0" xfId="0" applyNumberFormat="1" applyFont="1"/>
    <xf numFmtId="0" fontId="21" fillId="0" borderId="0" xfId="0" quotePrefix="1" applyFont="1"/>
    <xf numFmtId="3" fontId="8" fillId="0" borderId="0" xfId="1" quotePrefix="1" applyNumberFormat="1" applyFont="1" applyBorder="1" applyProtection="1"/>
    <xf numFmtId="168" fontId="5" fillId="0" borderId="0" xfId="1" quotePrefix="1" applyNumberFormat="1" applyFont="1" applyBorder="1" applyProtection="1"/>
    <xf numFmtId="0" fontId="25" fillId="0" borderId="0" xfId="9" applyFont="1"/>
    <xf numFmtId="0" fontId="3" fillId="0" borderId="0" xfId="9"/>
    <xf numFmtId="0" fontId="0" fillId="0" borderId="0" xfId="9" applyFont="1"/>
    <xf numFmtId="0" fontId="26" fillId="0" borderId="0" xfId="9" applyFont="1" applyAlignment="1">
      <alignment horizontal="right"/>
    </xf>
    <xf numFmtId="0" fontId="28" fillId="0" borderId="0" xfId="9" applyFont="1" applyAlignment="1">
      <alignment horizontal="left"/>
    </xf>
    <xf numFmtId="0" fontId="31" fillId="0" borderId="0" xfId="9" applyFont="1" applyAlignment="1">
      <alignment horizontal="left"/>
    </xf>
    <xf numFmtId="0" fontId="20" fillId="0" borderId="0" xfId="4" applyFont="1" applyAlignment="1">
      <alignment horizontal="left"/>
    </xf>
    <xf numFmtId="0" fontId="10" fillId="0" borderId="0" xfId="9" applyFont="1" applyAlignment="1">
      <alignment horizontal="right"/>
    </xf>
    <xf numFmtId="0" fontId="3" fillId="0" borderId="0" xfId="9" applyAlignment="1">
      <alignment horizontal="right"/>
    </xf>
    <xf numFmtId="0" fontId="29" fillId="0" borderId="0" xfId="9" applyFont="1" applyAlignment="1">
      <alignment horizontal="left"/>
    </xf>
    <xf numFmtId="14" fontId="30" fillId="0" borderId="0" xfId="9" applyNumberFormat="1" applyFont="1" applyAlignment="1">
      <alignment horizontal="left"/>
    </xf>
    <xf numFmtId="0" fontId="30" fillId="0" borderId="0" xfId="9" applyFont="1" applyAlignment="1">
      <alignment horizontal="left"/>
    </xf>
    <xf numFmtId="0" fontId="32" fillId="0" borderId="0" xfId="4" applyFont="1" applyAlignment="1">
      <alignment vertical="center"/>
    </xf>
    <xf numFmtId="0" fontId="33" fillId="0" borderId="0" xfId="4" applyFont="1" applyAlignment="1">
      <alignment vertical="center"/>
    </xf>
    <xf numFmtId="0" fontId="34" fillId="0" borderId="0" xfId="4" applyFont="1"/>
    <xf numFmtId="14" fontId="27" fillId="0" borderId="0" xfId="9" applyNumberFormat="1" applyFont="1"/>
    <xf numFmtId="14" fontId="35" fillId="0" borderId="0" xfId="9" applyNumberFormat="1" applyFont="1" applyAlignment="1">
      <alignment horizontal="right"/>
    </xf>
    <xf numFmtId="0" fontId="5" fillId="0" borderId="0" xfId="4" applyFont="1"/>
    <xf numFmtId="0" fontId="5" fillId="0" borderId="0" xfId="4" applyFont="1" applyAlignment="1" applyProtection="1">
      <alignment horizontal="left"/>
    </xf>
    <xf numFmtId="0" fontId="7" fillId="2" borderId="0" xfId="4" applyFont="1" applyFill="1" applyBorder="1"/>
    <xf numFmtId="166" fontId="8" fillId="0" borderId="0" xfId="4" applyNumberFormat="1" applyFont="1" applyProtection="1"/>
    <xf numFmtId="0" fontId="8" fillId="0" borderId="0" xfId="4" applyFont="1"/>
    <xf numFmtId="0" fontId="9" fillId="2" borderId="1" xfId="4" applyFont="1" applyFill="1" applyBorder="1"/>
    <xf numFmtId="0" fontId="9" fillId="2" borderId="2" xfId="4" applyFont="1" applyFill="1" applyBorder="1" applyAlignment="1">
      <alignment horizontal="center"/>
    </xf>
    <xf numFmtId="0" fontId="9" fillId="2" borderId="3" xfId="4" applyFont="1" applyFill="1" applyBorder="1"/>
    <xf numFmtId="0" fontId="8" fillId="2" borderId="2" xfId="4" applyFont="1" applyFill="1" applyBorder="1"/>
    <xf numFmtId="0" fontId="8" fillId="2" borderId="4" xfId="4" applyFont="1" applyFill="1" applyBorder="1"/>
    <xf numFmtId="0" fontId="9" fillId="2" borderId="5" xfId="4" applyFont="1" applyFill="1" applyBorder="1" applyAlignment="1">
      <alignment horizontal="left"/>
    </xf>
    <xf numFmtId="14" fontId="9" fillId="2" borderId="6" xfId="4" applyNumberFormat="1" applyFont="1" applyFill="1" applyBorder="1" applyAlignment="1">
      <alignment horizontal="right"/>
    </xf>
    <xf numFmtId="1" fontId="9" fillId="2" borderId="7" xfId="4" applyNumberFormat="1" applyFont="1" applyFill="1" applyBorder="1" applyAlignment="1">
      <alignment horizontal="right"/>
    </xf>
    <xf numFmtId="1" fontId="9" fillId="2" borderId="6" xfId="4" applyNumberFormat="1" applyFont="1" applyFill="1" applyBorder="1" applyAlignment="1">
      <alignment horizontal="right"/>
    </xf>
    <xf numFmtId="1" fontId="9" fillId="2" borderId="8" xfId="4" applyNumberFormat="1" applyFont="1" applyFill="1" applyBorder="1" applyAlignment="1">
      <alignment horizontal="right"/>
    </xf>
    <xf numFmtId="14" fontId="9" fillId="2" borderId="7" xfId="4" applyNumberFormat="1" applyFont="1" applyFill="1" applyBorder="1" applyAlignment="1">
      <alignment horizontal="right"/>
    </xf>
    <xf numFmtId="14" fontId="9" fillId="2" borderId="9" xfId="4" applyNumberFormat="1" applyFont="1" applyFill="1" applyBorder="1" applyAlignment="1">
      <alignment horizontal="right"/>
    </xf>
    <xf numFmtId="0" fontId="8" fillId="0" borderId="10" xfId="4" applyFont="1" applyBorder="1"/>
    <xf numFmtId="166" fontId="8" fillId="0" borderId="0" xfId="4" applyNumberFormat="1" applyFont="1" applyAlignment="1" applyProtection="1">
      <alignment horizontal="right"/>
    </xf>
    <xf numFmtId="166" fontId="8" fillId="0" borderId="12" xfId="4" applyNumberFormat="1" applyFont="1" applyBorder="1" applyAlignment="1">
      <alignment horizontal="right"/>
    </xf>
    <xf numFmtId="0" fontId="11" fillId="0" borderId="13" xfId="4" applyFont="1" applyBorder="1"/>
    <xf numFmtId="166" fontId="8" fillId="0" borderId="14" xfId="4" applyNumberFormat="1" applyFont="1" applyBorder="1" applyAlignment="1" applyProtection="1">
      <alignment horizontal="right"/>
    </xf>
    <xf numFmtId="166" fontId="8" fillId="0" borderId="15" xfId="4" applyNumberFormat="1" applyFont="1" applyBorder="1" applyAlignment="1">
      <alignment horizontal="right"/>
    </xf>
    <xf numFmtId="0" fontId="8" fillId="0" borderId="16" xfId="4" applyFont="1" applyBorder="1"/>
    <xf numFmtId="0" fontId="8" fillId="0" borderId="11" xfId="4" applyFont="1" applyBorder="1"/>
    <xf numFmtId="166" fontId="8" fillId="0" borderId="17" xfId="4" applyNumberFormat="1" applyFont="1" applyBorder="1" applyAlignment="1" applyProtection="1">
      <alignment horizontal="right"/>
    </xf>
    <xf numFmtId="166" fontId="8" fillId="0" borderId="18" xfId="4" applyNumberFormat="1" applyFont="1" applyBorder="1" applyAlignment="1">
      <alignment horizontal="right"/>
    </xf>
    <xf numFmtId="0" fontId="8" fillId="0" borderId="19" xfId="4" applyFont="1" applyBorder="1"/>
    <xf numFmtId="166" fontId="8" fillId="0" borderId="20" xfId="4" applyNumberFormat="1" applyFont="1" applyBorder="1" applyAlignment="1" applyProtection="1">
      <alignment horizontal="right"/>
    </xf>
    <xf numFmtId="166" fontId="8" fillId="0" borderId="21" xfId="4" applyNumberFormat="1" applyFont="1" applyBorder="1" applyAlignment="1" applyProtection="1">
      <alignment horizontal="right"/>
    </xf>
    <xf numFmtId="166" fontId="8" fillId="0" borderId="0" xfId="4" applyNumberFormat="1" applyFont="1" applyBorder="1" applyAlignment="1" applyProtection="1">
      <alignment horizontal="right"/>
    </xf>
    <xf numFmtId="0" fontId="8" fillId="0" borderId="22" xfId="4" applyFont="1" applyBorder="1"/>
    <xf numFmtId="0" fontId="5" fillId="0" borderId="0" xfId="4" applyFont="1" applyBorder="1"/>
    <xf numFmtId="0" fontId="8" fillId="0" borderId="23" xfId="4" applyFont="1" applyBorder="1"/>
    <xf numFmtId="0" fontId="11" fillId="0" borderId="24" xfId="4" applyFont="1" applyBorder="1"/>
    <xf numFmtId="166" fontId="8" fillId="0" borderId="25" xfId="4" applyNumberFormat="1" applyFont="1" applyBorder="1" applyAlignment="1" applyProtection="1">
      <alignment horizontal="right"/>
    </xf>
    <xf numFmtId="166" fontId="8" fillId="0" borderId="27" xfId="4" applyNumberFormat="1" applyFont="1" applyBorder="1" applyAlignment="1">
      <alignment horizontal="right"/>
    </xf>
    <xf numFmtId="0" fontId="8" fillId="0" borderId="0" xfId="4" applyFont="1" applyBorder="1"/>
    <xf numFmtId="166" fontId="8" fillId="0" borderId="0" xfId="4" applyNumberFormat="1" applyFont="1" applyBorder="1" applyAlignment="1">
      <alignment horizontal="right"/>
    </xf>
    <xf numFmtId="0" fontId="9" fillId="0" borderId="0" xfId="4" applyFont="1" applyBorder="1"/>
    <xf numFmtId="0" fontId="11" fillId="0" borderId="0" xfId="4" applyFont="1" applyBorder="1"/>
    <xf numFmtId="0" fontId="12" fillId="0" borderId="0" xfId="4" applyFont="1" applyBorder="1"/>
    <xf numFmtId="0" fontId="13" fillId="0" borderId="0" xfId="4" applyFont="1" applyBorder="1"/>
    <xf numFmtId="166" fontId="5" fillId="0" borderId="0" xfId="4" applyNumberFormat="1" applyFont="1" applyBorder="1" applyAlignment="1" applyProtection="1">
      <alignment horizontal="right"/>
    </xf>
    <xf numFmtId="166" fontId="5" fillId="0" borderId="0" xfId="4" applyNumberFormat="1" applyFont="1" applyBorder="1" applyAlignment="1">
      <alignment horizontal="right"/>
    </xf>
    <xf numFmtId="0" fontId="5" fillId="0" borderId="6" xfId="4" applyFont="1" applyBorder="1"/>
    <xf numFmtId="0" fontId="15" fillId="0" borderId="0" xfId="4" applyFont="1" applyAlignment="1">
      <alignment horizontal="left"/>
    </xf>
    <xf numFmtId="0" fontId="15" fillId="0" borderId="0" xfId="4" applyFont="1" applyAlignment="1">
      <alignment horizontal="right"/>
    </xf>
    <xf numFmtId="0" fontId="36" fillId="0" borderId="0" xfId="0" applyFont="1"/>
    <xf numFmtId="0" fontId="37" fillId="0" borderId="0" xfId="0" applyFont="1" applyAlignment="1">
      <alignment horizontal="right"/>
    </xf>
    <xf numFmtId="0" fontId="38" fillId="0" borderId="0" xfId="0" applyFont="1"/>
    <xf numFmtId="0" fontId="39" fillId="0" borderId="0" xfId="0" applyFont="1"/>
    <xf numFmtId="0" fontId="37" fillId="0" borderId="0" xfId="0" applyFont="1"/>
    <xf numFmtId="0" fontId="37" fillId="0" borderId="0" xfId="0" quotePrefix="1" applyFont="1"/>
    <xf numFmtId="0" fontId="36" fillId="0" borderId="0" xfId="0" applyFont="1" applyAlignment="1">
      <alignment horizontal="right"/>
    </xf>
    <xf numFmtId="1" fontId="39" fillId="0" borderId="0" xfId="0" applyNumberFormat="1" applyFont="1"/>
    <xf numFmtId="167" fontId="36" fillId="0" borderId="0" xfId="0" applyNumberFormat="1" applyFont="1"/>
    <xf numFmtId="3" fontId="36" fillId="0" borderId="0" xfId="0" applyNumberFormat="1" applyFont="1"/>
    <xf numFmtId="169" fontId="39" fillId="0" borderId="0" xfId="0" applyNumberFormat="1" applyFont="1"/>
    <xf numFmtId="170" fontId="39" fillId="0" borderId="0" xfId="0" applyNumberFormat="1" applyFont="1"/>
    <xf numFmtId="167" fontId="39" fillId="0" borderId="0" xfId="0" applyNumberFormat="1" applyFont="1"/>
    <xf numFmtId="3" fontId="39" fillId="0" borderId="0" xfId="0" applyNumberFormat="1" applyFont="1"/>
    <xf numFmtId="168" fontId="39" fillId="0" borderId="0" xfId="1" applyNumberFormat="1" applyFont="1"/>
    <xf numFmtId="167" fontId="39" fillId="0" borderId="0" xfId="1" applyNumberFormat="1" applyFont="1"/>
    <xf numFmtId="170" fontId="36" fillId="0" borderId="0" xfId="0" applyNumberFormat="1" applyFont="1"/>
    <xf numFmtId="3" fontId="36" fillId="0" borderId="0" xfId="0" applyNumberFormat="1" applyFont="1" applyBorder="1"/>
    <xf numFmtId="167" fontId="36" fillId="0" borderId="0" xfId="0" applyNumberFormat="1" applyFont="1" applyBorder="1"/>
    <xf numFmtId="171" fontId="36" fillId="0" borderId="0" xfId="0" applyNumberFormat="1" applyFont="1"/>
    <xf numFmtId="1" fontId="36" fillId="0" borderId="0" xfId="0" applyNumberFormat="1" applyFont="1"/>
    <xf numFmtId="169" fontId="36" fillId="0" borderId="0" xfId="0" applyNumberFormat="1" applyFont="1"/>
    <xf numFmtId="0" fontId="39" fillId="0" borderId="0" xfId="0" applyFont="1" applyFill="1"/>
    <xf numFmtId="0" fontId="36" fillId="0" borderId="0" xfId="0" applyFont="1" applyFill="1"/>
    <xf numFmtId="1" fontId="36" fillId="0" borderId="0" xfId="0" applyNumberFormat="1" applyFont="1" applyFill="1"/>
    <xf numFmtId="170" fontId="39" fillId="0" borderId="0" xfId="0" applyNumberFormat="1" applyFont="1" applyFill="1"/>
    <xf numFmtId="167" fontId="36" fillId="0" borderId="0" xfId="0" applyNumberFormat="1" applyFont="1" applyFill="1"/>
    <xf numFmtId="0" fontId="40" fillId="0" borderId="0" xfId="3" applyFont="1" applyAlignment="1" applyProtection="1"/>
    <xf numFmtId="0" fontId="41" fillId="0" borderId="0" xfId="2" applyFont="1" applyAlignment="1" applyProtection="1">
      <alignment horizontal="left"/>
    </xf>
    <xf numFmtId="0" fontId="13" fillId="0" borderId="0" xfId="0" applyFont="1"/>
    <xf numFmtId="14" fontId="20" fillId="0" borderId="0" xfId="9" applyNumberFormat="1" applyFont="1" applyAlignment="1">
      <alignment horizontal="center"/>
    </xf>
    <xf numFmtId="0" fontId="14" fillId="0" borderId="28" xfId="0" applyFont="1" applyBorder="1" applyAlignment="1">
      <alignment horizontal="right"/>
    </xf>
    <xf numFmtId="0" fontId="14" fillId="0" borderId="0" xfId="0" applyFont="1" applyAlignment="1">
      <alignment horizontal="right"/>
    </xf>
    <xf numFmtId="0" fontId="7" fillId="2" borderId="0" xfId="0" applyFont="1" applyFill="1" applyBorder="1" applyAlignment="1">
      <alignment horizontal="left" vertical="top"/>
    </xf>
    <xf numFmtId="0" fontId="9" fillId="2" borderId="2" xfId="0" applyFont="1" applyFill="1" applyBorder="1" applyAlignment="1">
      <alignment horizontal="center"/>
    </xf>
    <xf numFmtId="0" fontId="9" fillId="2" borderId="29" xfId="0" applyFont="1" applyFill="1" applyBorder="1" applyAlignment="1">
      <alignment horizontal="center"/>
    </xf>
    <xf numFmtId="0" fontId="7" fillId="0" borderId="30" xfId="0" applyFont="1" applyBorder="1" applyAlignment="1">
      <alignment vertical="top"/>
    </xf>
    <xf numFmtId="0" fontId="10" fillId="0" borderId="19" xfId="0" applyFont="1" applyBorder="1" applyAlignment="1">
      <alignment vertical="top"/>
    </xf>
    <xf numFmtId="0" fontId="14" fillId="0" borderId="0" xfId="0" applyFont="1" applyBorder="1" applyAlignment="1">
      <alignment horizontal="left"/>
    </xf>
    <xf numFmtId="0" fontId="14" fillId="0" borderId="0" xfId="0" applyFont="1" applyBorder="1" applyAlignment="1">
      <alignment horizontal="right"/>
    </xf>
    <xf numFmtId="0" fontId="9" fillId="2" borderId="3" xfId="0" applyFont="1" applyFill="1" applyBorder="1" applyAlignment="1">
      <alignment horizontal="center"/>
    </xf>
    <xf numFmtId="0" fontId="9" fillId="2" borderId="4" xfId="0" applyFont="1" applyFill="1" applyBorder="1" applyAlignment="1">
      <alignment horizontal="center"/>
    </xf>
    <xf numFmtId="0" fontId="10" fillId="0" borderId="23" xfId="0" applyFont="1" applyBorder="1" applyAlignment="1">
      <alignment vertical="top"/>
    </xf>
    <xf numFmtId="0" fontId="14" fillId="0" borderId="0" xfId="4" applyFont="1" applyBorder="1" applyAlignment="1">
      <alignment horizontal="right"/>
    </xf>
    <xf numFmtId="0" fontId="14" fillId="0" borderId="0" xfId="4" applyFont="1" applyAlignment="1">
      <alignment horizontal="right"/>
    </xf>
    <xf numFmtId="0" fontId="9" fillId="2" borderId="2" xfId="4" applyFont="1" applyFill="1" applyBorder="1" applyAlignment="1">
      <alignment horizontal="center"/>
    </xf>
    <xf numFmtId="0" fontId="9" fillId="2" borderId="29" xfId="4" applyFont="1" applyFill="1" applyBorder="1" applyAlignment="1">
      <alignment horizontal="center"/>
    </xf>
    <xf numFmtId="0" fontId="7" fillId="0" borderId="30" xfId="4" applyFont="1" applyBorder="1" applyAlignment="1">
      <alignment vertical="top"/>
    </xf>
    <xf numFmtId="0" fontId="10" fillId="0" borderId="19" xfId="4" applyFont="1" applyBorder="1" applyAlignment="1">
      <alignment vertical="top"/>
    </xf>
    <xf numFmtId="0" fontId="9" fillId="2" borderId="3" xfId="4" applyFont="1" applyFill="1" applyBorder="1" applyAlignment="1">
      <alignment horizontal="center"/>
    </xf>
    <xf numFmtId="0" fontId="9" fillId="2" borderId="4" xfId="4" applyFont="1" applyFill="1" applyBorder="1" applyAlignment="1">
      <alignment horizontal="center"/>
    </xf>
    <xf numFmtId="0" fontId="3" fillId="0" borderId="0" xfId="0" applyFont="1"/>
    <xf numFmtId="1" fontId="3" fillId="0" borderId="0" xfId="0" applyNumberFormat="1" applyFont="1"/>
    <xf numFmtId="0" fontId="3" fillId="0" borderId="0" xfId="0" applyFont="1" applyAlignment="1">
      <alignment horizontal="left"/>
    </xf>
    <xf numFmtId="0" fontId="12" fillId="0" borderId="0" xfId="0" applyFont="1"/>
    <xf numFmtId="0" fontId="5" fillId="0" borderId="0" xfId="0" applyFont="1" applyAlignment="1">
      <alignment horizontal="right"/>
    </xf>
    <xf numFmtId="170" fontId="3" fillId="0" borderId="0" xfId="0" applyNumberFormat="1" applyFont="1"/>
    <xf numFmtId="167" fontId="5" fillId="0" borderId="0" xfId="0" applyNumberFormat="1" applyFont="1" applyBorder="1"/>
    <xf numFmtId="171" fontId="5" fillId="0" borderId="0" xfId="0" applyNumberFormat="1" applyFont="1"/>
    <xf numFmtId="167" fontId="5" fillId="0" borderId="0" xfId="0" applyNumberFormat="1" applyFont="1" applyFill="1"/>
    <xf numFmtId="1" fontId="5" fillId="0" borderId="0" xfId="0" applyNumberFormat="1" applyFont="1" applyBorder="1"/>
    <xf numFmtId="0" fontId="12" fillId="0" borderId="0" xfId="0" applyFont="1" applyBorder="1" applyAlignment="1">
      <alignment horizontal="right"/>
    </xf>
    <xf numFmtId="3" fontId="5" fillId="0" borderId="0" xfId="0" applyNumberFormat="1" applyFont="1" applyFill="1" applyBorder="1"/>
    <xf numFmtId="0" fontId="5" fillId="0" borderId="0" xfId="0" applyFont="1" applyBorder="1" applyAlignment="1">
      <alignment horizontal="left" indent="1"/>
    </xf>
    <xf numFmtId="3" fontId="5" fillId="0" borderId="0" xfId="0" applyNumberFormat="1" applyFont="1" applyFill="1"/>
    <xf numFmtId="0" fontId="5" fillId="0" borderId="0" xfId="0" applyFont="1" applyAlignment="1">
      <alignment horizontal="left" indent="1"/>
    </xf>
  </cellXfs>
  <cellStyles count="15">
    <cellStyle name="Comma" xfId="1" builtinId="3"/>
    <cellStyle name="Comma 2" xfId="5" xr:uid="{00000000-0005-0000-0000-000000000000}"/>
    <cellStyle name="Hyperkobling_Test_skadestat_tabeller" xfId="2" xr:uid="{00000000-0005-0000-0000-000002000000}"/>
    <cellStyle name="Hyperlink" xfId="3" builtinId="8"/>
    <cellStyle name="Hyperlink 2" xfId="6" xr:uid="{00000000-0005-0000-0000-000003000000}"/>
    <cellStyle name="Normal" xfId="0" builtinId="0"/>
    <cellStyle name="Normal 2" xfId="4" xr:uid="{00000000-0005-0000-0000-000006000000}"/>
    <cellStyle name="Normal 2 2" xfId="9" xr:uid="{00000000-0005-0000-0000-000007000000}"/>
    <cellStyle name="Normal 3" xfId="8" xr:uid="{00000000-0005-0000-0000-000008000000}"/>
    <cellStyle name="Normal 4" xfId="10" xr:uid="{00000000-0005-0000-0000-000009000000}"/>
    <cellStyle name="Normal 5" xfId="11" xr:uid="{00000000-0005-0000-0000-00000A000000}"/>
    <cellStyle name="Normal 6" xfId="12" xr:uid="{00000000-0005-0000-0000-00000B000000}"/>
    <cellStyle name="Normal 7" xfId="13" xr:uid="{00000000-0005-0000-0000-00000C000000}"/>
    <cellStyle name="Normal 8" xfId="7" xr:uid="{00000000-0005-0000-0000-00000D000000}"/>
    <cellStyle name="Tusenskille 2" xfId="14" xr:uid="{00000000-0005-0000-0000-00000E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513524659460671"/>
          <c:y val="3.7594076974851641E-2"/>
          <c:w val="0.81081147956763977"/>
          <c:h val="0.79198188827020743"/>
        </c:manualLayout>
      </c:layout>
      <c:lineChart>
        <c:grouping val="standard"/>
        <c:varyColors val="0"/>
        <c:ser>
          <c:idx val="0"/>
          <c:order val="0"/>
          <c:tx>
            <c:strRef>
              <c:f>'Tab2'!$C$70</c:f>
              <c:strCache>
                <c:ptCount val="1"/>
                <c:pt idx="0">
                  <c:v>Motorvogn i alt</c:v>
                </c:pt>
              </c:strCache>
            </c:strRef>
          </c:tx>
          <c:spPr>
            <a:ln w="25400">
              <a:solidFill>
                <a:srgbClr val="000080"/>
              </a:solidFill>
              <a:prstDash val="solid"/>
            </a:ln>
          </c:spPr>
          <c:marker>
            <c:symbol val="none"/>
          </c:marker>
          <c:cat>
            <c:numRef>
              <c:f>'Tab2'!$B$71:$B$218</c:f>
              <c:numCache>
                <c:formatCode>General</c:formatCode>
                <c:ptCount val="148"/>
                <c:pt idx="0">
                  <c:v>1983</c:v>
                </c:pt>
                <c:pt idx="4">
                  <c:v>1984</c:v>
                </c:pt>
                <c:pt idx="8">
                  <c:v>1985</c:v>
                </c:pt>
                <c:pt idx="12">
                  <c:v>1986</c:v>
                </c:pt>
                <c:pt idx="16">
                  <c:v>1987</c:v>
                </c:pt>
                <c:pt idx="20">
                  <c:v>1988</c:v>
                </c:pt>
                <c:pt idx="24">
                  <c:v>1989</c:v>
                </c:pt>
                <c:pt idx="28">
                  <c:v>1990</c:v>
                </c:pt>
                <c:pt idx="32">
                  <c:v>1991</c:v>
                </c:pt>
                <c:pt idx="36">
                  <c:v>1992</c:v>
                </c:pt>
                <c:pt idx="40">
                  <c:v>1993</c:v>
                </c:pt>
                <c:pt idx="44">
                  <c:v>1994</c:v>
                </c:pt>
                <c:pt idx="48">
                  <c:v>1995</c:v>
                </c:pt>
                <c:pt idx="52">
                  <c:v>1996</c:v>
                </c:pt>
                <c:pt idx="56">
                  <c:v>1997</c:v>
                </c:pt>
                <c:pt idx="60">
                  <c:v>1998</c:v>
                </c:pt>
                <c:pt idx="64">
                  <c:v>1999</c:v>
                </c:pt>
                <c:pt idx="68">
                  <c:v>2000</c:v>
                </c:pt>
                <c:pt idx="72">
                  <c:v>2001</c:v>
                </c:pt>
                <c:pt idx="76">
                  <c:v>2002</c:v>
                </c:pt>
                <c:pt idx="80">
                  <c:v>2003</c:v>
                </c:pt>
                <c:pt idx="84">
                  <c:v>2004</c:v>
                </c:pt>
                <c:pt idx="88">
                  <c:v>2005</c:v>
                </c:pt>
                <c:pt idx="92">
                  <c:v>2006</c:v>
                </c:pt>
                <c:pt idx="96">
                  <c:v>2007</c:v>
                </c:pt>
                <c:pt idx="100">
                  <c:v>2008</c:v>
                </c:pt>
                <c:pt idx="104">
                  <c:v>2009</c:v>
                </c:pt>
                <c:pt idx="108">
                  <c:v>2010</c:v>
                </c:pt>
                <c:pt idx="112">
                  <c:v>2011</c:v>
                </c:pt>
                <c:pt idx="116">
                  <c:v>2012</c:v>
                </c:pt>
                <c:pt idx="120">
                  <c:v>2013</c:v>
                </c:pt>
                <c:pt idx="124">
                  <c:v>2014</c:v>
                </c:pt>
                <c:pt idx="128">
                  <c:v>2015</c:v>
                </c:pt>
                <c:pt idx="132">
                  <c:v>2016</c:v>
                </c:pt>
                <c:pt idx="136">
                  <c:v>2017</c:v>
                </c:pt>
                <c:pt idx="140">
                  <c:v>2018</c:v>
                </c:pt>
                <c:pt idx="144">
                  <c:v>2019</c:v>
                </c:pt>
              </c:numCache>
            </c:numRef>
          </c:cat>
          <c:val>
            <c:numRef>
              <c:f>'Tab2'!$C$71:$C$218</c:f>
              <c:numCache>
                <c:formatCode>General</c:formatCode>
                <c:ptCount val="148"/>
                <c:pt idx="0">
                  <c:v>97</c:v>
                </c:pt>
                <c:pt idx="1">
                  <c:v>78.8</c:v>
                </c:pt>
                <c:pt idx="2">
                  <c:v>84.8</c:v>
                </c:pt>
                <c:pt idx="3">
                  <c:v>91.2</c:v>
                </c:pt>
                <c:pt idx="4">
                  <c:v>112.2</c:v>
                </c:pt>
                <c:pt idx="5">
                  <c:v>81.8</c:v>
                </c:pt>
                <c:pt idx="6">
                  <c:v>90.4</c:v>
                </c:pt>
                <c:pt idx="7">
                  <c:v>92.9</c:v>
                </c:pt>
                <c:pt idx="8">
                  <c:v>123.4</c:v>
                </c:pt>
                <c:pt idx="9">
                  <c:v>102</c:v>
                </c:pt>
                <c:pt idx="10">
                  <c:v>108.4</c:v>
                </c:pt>
                <c:pt idx="11">
                  <c:v>109.6</c:v>
                </c:pt>
                <c:pt idx="12">
                  <c:v>141</c:v>
                </c:pt>
                <c:pt idx="13">
                  <c:v>120.5</c:v>
                </c:pt>
                <c:pt idx="14">
                  <c:v>115.7</c:v>
                </c:pt>
                <c:pt idx="15">
                  <c:v>114.4</c:v>
                </c:pt>
                <c:pt idx="16">
                  <c:v>152.19999999999999</c:v>
                </c:pt>
                <c:pt idx="17">
                  <c:v>109.2</c:v>
                </c:pt>
                <c:pt idx="18">
                  <c:v>110.1</c:v>
                </c:pt>
                <c:pt idx="19">
                  <c:v>112</c:v>
                </c:pt>
                <c:pt idx="20">
                  <c:v>134.1</c:v>
                </c:pt>
                <c:pt idx="21">
                  <c:v>113.7</c:v>
                </c:pt>
                <c:pt idx="22">
                  <c:v>116.3</c:v>
                </c:pt>
                <c:pt idx="23">
                  <c:v>115.2</c:v>
                </c:pt>
                <c:pt idx="24">
                  <c:v>106.6</c:v>
                </c:pt>
                <c:pt idx="25">
                  <c:v>98</c:v>
                </c:pt>
                <c:pt idx="26">
                  <c:v>96.9</c:v>
                </c:pt>
                <c:pt idx="27">
                  <c:v>93.4</c:v>
                </c:pt>
                <c:pt idx="28">
                  <c:v>99.4</c:v>
                </c:pt>
                <c:pt idx="29">
                  <c:v>88.6</c:v>
                </c:pt>
                <c:pt idx="30">
                  <c:v>88.2</c:v>
                </c:pt>
                <c:pt idx="31">
                  <c:v>84.8</c:v>
                </c:pt>
                <c:pt idx="32">
                  <c:v>97.5</c:v>
                </c:pt>
                <c:pt idx="33">
                  <c:v>93.9</c:v>
                </c:pt>
                <c:pt idx="34">
                  <c:v>90.2</c:v>
                </c:pt>
                <c:pt idx="35">
                  <c:v>92.6</c:v>
                </c:pt>
                <c:pt idx="36">
                  <c:v>102</c:v>
                </c:pt>
                <c:pt idx="37">
                  <c:v>92.2</c:v>
                </c:pt>
                <c:pt idx="38">
                  <c:v>93.3</c:v>
                </c:pt>
                <c:pt idx="39">
                  <c:v>90.8</c:v>
                </c:pt>
                <c:pt idx="40">
                  <c:v>112.6</c:v>
                </c:pt>
                <c:pt idx="41">
                  <c:v>93</c:v>
                </c:pt>
                <c:pt idx="42">
                  <c:v>87.500000000000028</c:v>
                </c:pt>
                <c:pt idx="43">
                  <c:v>120.09999999999994</c:v>
                </c:pt>
                <c:pt idx="44">
                  <c:v>138.4</c:v>
                </c:pt>
                <c:pt idx="45">
                  <c:v>114.5</c:v>
                </c:pt>
                <c:pt idx="46">
                  <c:v>112.79999999999998</c:v>
                </c:pt>
                <c:pt idx="47">
                  <c:v>114.49999999999997</c:v>
                </c:pt>
                <c:pt idx="48">
                  <c:v>137.19999999999999</c:v>
                </c:pt>
                <c:pt idx="49">
                  <c:v>111</c:v>
                </c:pt>
                <c:pt idx="50">
                  <c:v>115.90000000000003</c:v>
                </c:pt>
                <c:pt idx="51">
                  <c:v>118.79999999999995</c:v>
                </c:pt>
                <c:pt idx="52">
                  <c:v>143.9</c:v>
                </c:pt>
                <c:pt idx="53">
                  <c:v>131.6</c:v>
                </c:pt>
                <c:pt idx="54">
                  <c:v>112</c:v>
                </c:pt>
                <c:pt idx="55">
                  <c:v>132.50000000000003</c:v>
                </c:pt>
                <c:pt idx="56">
                  <c:v>142.6</c:v>
                </c:pt>
                <c:pt idx="57">
                  <c:v>141.79999999999998</c:v>
                </c:pt>
                <c:pt idx="58">
                  <c:v>135.40000000000006</c:v>
                </c:pt>
                <c:pt idx="59">
                  <c:v>130.59999999999994</c:v>
                </c:pt>
                <c:pt idx="60">
                  <c:v>150</c:v>
                </c:pt>
                <c:pt idx="61">
                  <c:v>139.80000000000001</c:v>
                </c:pt>
                <c:pt idx="62">
                  <c:v>128.09999999999997</c:v>
                </c:pt>
                <c:pt idx="63">
                  <c:v>141.80000000000007</c:v>
                </c:pt>
                <c:pt idx="64">
                  <c:v>154.19999999999999</c:v>
                </c:pt>
                <c:pt idx="65">
                  <c:v>159.30000000000001</c:v>
                </c:pt>
                <c:pt idx="66">
                  <c:v>146.30000000000001</c:v>
                </c:pt>
                <c:pt idx="67">
                  <c:v>141.90000000000003</c:v>
                </c:pt>
                <c:pt idx="68">
                  <c:v>169.1</c:v>
                </c:pt>
                <c:pt idx="69">
                  <c:v>151.50000000000003</c:v>
                </c:pt>
                <c:pt idx="70">
                  <c:v>139</c:v>
                </c:pt>
                <c:pt idx="71">
                  <c:v>135.10000000000002</c:v>
                </c:pt>
                <c:pt idx="72">
                  <c:v>158.5</c:v>
                </c:pt>
                <c:pt idx="73">
                  <c:v>140.45999999999998</c:v>
                </c:pt>
                <c:pt idx="74">
                  <c:v>134.24</c:v>
                </c:pt>
                <c:pt idx="75">
                  <c:v>137.49520000000001</c:v>
                </c:pt>
                <c:pt idx="76">
                  <c:v>155.81399999999999</c:v>
                </c:pt>
                <c:pt idx="77">
                  <c:v>146.54300000000003</c:v>
                </c:pt>
                <c:pt idx="78">
                  <c:v>146.23099999999999</c:v>
                </c:pt>
                <c:pt idx="79">
                  <c:v>137.96699999999993</c:v>
                </c:pt>
                <c:pt idx="80" formatCode="0.000">
                  <c:v>165.679</c:v>
                </c:pt>
                <c:pt idx="81" formatCode="0.000">
                  <c:v>135.02099999999999</c:v>
                </c:pt>
                <c:pt idx="82" formatCode="0.000">
                  <c:v>134.11099999999999</c:v>
                </c:pt>
                <c:pt idx="83" formatCode="0.000">
                  <c:v>142.01299999999998</c:v>
                </c:pt>
                <c:pt idx="84" formatCode="0.000">
                  <c:v>168.309</c:v>
                </c:pt>
                <c:pt idx="85" formatCode="0.000">
                  <c:v>140.26700000000002</c:v>
                </c:pt>
                <c:pt idx="86" formatCode="0.000">
                  <c:v>137.76999999999998</c:v>
                </c:pt>
                <c:pt idx="87" formatCode="0.000">
                  <c:v>137.68499999999995</c:v>
                </c:pt>
                <c:pt idx="88" formatCode="0.000">
                  <c:v>147.31100000000001</c:v>
                </c:pt>
                <c:pt idx="89" formatCode="0.000">
                  <c:v>143.51699999999997</c:v>
                </c:pt>
                <c:pt idx="90" formatCode="0.000">
                  <c:v>134.78300000000002</c:v>
                </c:pt>
                <c:pt idx="91" formatCode="0.000">
                  <c:v>137.37</c:v>
                </c:pt>
                <c:pt idx="92" formatCode="0.000">
                  <c:v>155.21299999999999</c:v>
                </c:pt>
                <c:pt idx="93" formatCode="0.000">
                  <c:v>147.44399999999999</c:v>
                </c:pt>
                <c:pt idx="94" formatCode="0.000">
                  <c:v>143.45100000000002</c:v>
                </c:pt>
                <c:pt idx="95" formatCode="0.000">
                  <c:v>148.56090999999998</c:v>
                </c:pt>
                <c:pt idx="96" formatCode="0.000">
                  <c:v>158.09976</c:v>
                </c:pt>
                <c:pt idx="97" formatCode="0.000">
                  <c:v>161.61276000000004</c:v>
                </c:pt>
                <c:pt idx="98" formatCode="0.000">
                  <c:v>135.82058024999998</c:v>
                </c:pt>
                <c:pt idx="99" formatCode="0.000">
                  <c:v>149.79139924999998</c:v>
                </c:pt>
                <c:pt idx="100" formatCode="0.000">
                  <c:v>164.64169099999998</c:v>
                </c:pt>
                <c:pt idx="101" formatCode="0.000">
                  <c:v>197.28657850000002</c:v>
                </c:pt>
                <c:pt idx="102" formatCode="0.000">
                  <c:v>159.71767174999997</c:v>
                </c:pt>
                <c:pt idx="103" formatCode="0.000">
                  <c:v>170.05706974999998</c:v>
                </c:pt>
                <c:pt idx="104" formatCode="0.000">
                  <c:v>191.37959499999999</c:v>
                </c:pt>
                <c:pt idx="105" formatCode="0.000">
                  <c:v>178.90604250000001</c:v>
                </c:pt>
                <c:pt idx="106" formatCode="0.000">
                  <c:v>160.23377500000004</c:v>
                </c:pt>
                <c:pt idx="107" formatCode="0.000">
                  <c:v>179.8571388695641</c:v>
                </c:pt>
                <c:pt idx="108" formatCode="0.000">
                  <c:v>204.63648875000001</c:v>
                </c:pt>
                <c:pt idx="109" formatCode="0.000">
                  <c:v>188.95691625000001</c:v>
                </c:pt>
                <c:pt idx="110" formatCode="0.000">
                  <c:v>172.07737875000004</c:v>
                </c:pt>
                <c:pt idx="111" formatCode="0.000">
                  <c:v>192.96143124999992</c:v>
                </c:pt>
                <c:pt idx="112" formatCode="0.000">
                  <c:v>204.00503875000001</c:v>
                </c:pt>
                <c:pt idx="113" formatCode="0.000">
                  <c:v>188.74104374999999</c:v>
                </c:pt>
                <c:pt idx="114" formatCode="0.000">
                  <c:v>169.93391749999995</c:v>
                </c:pt>
                <c:pt idx="115" formatCode="0.000">
                  <c:v>202.17554500000006</c:v>
                </c:pt>
                <c:pt idx="116" formatCode="0.000">
                  <c:v>195.82938625</c:v>
                </c:pt>
                <c:pt idx="117" formatCode="0.000">
                  <c:v>182.75061374999999</c:v>
                </c:pt>
                <c:pt idx="118" formatCode="0.000">
                  <c:v>165.72960875000007</c:v>
                </c:pt>
                <c:pt idx="119" formatCode="0.000">
                  <c:v>166.80539124999996</c:v>
                </c:pt>
                <c:pt idx="120" formatCode="0.000">
                  <c:v>199.180995</c:v>
                </c:pt>
                <c:pt idx="121" formatCode="0.000">
                  <c:v>205.01500500000003</c:v>
                </c:pt>
                <c:pt idx="122" formatCode="0.000">
                  <c:v>172.04383408071794</c:v>
                </c:pt>
                <c:pt idx="123" formatCode="0.000">
                  <c:v>204.099832585949</c:v>
                </c:pt>
                <c:pt idx="124" formatCode="0.000">
                  <c:v>196.17699999999999</c:v>
                </c:pt>
                <c:pt idx="125" formatCode="0.000">
                  <c:v>197.965</c:v>
                </c:pt>
                <c:pt idx="126" formatCode="0.000">
                  <c:v>192.10452006852</c:v>
                </c:pt>
                <c:pt idx="127" formatCode="0.000">
                  <c:v>196.808833167682</c:v>
                </c:pt>
                <c:pt idx="128" formatCode="0.000">
                  <c:v>219.418599054541</c:v>
                </c:pt>
                <c:pt idx="129" formatCode="0.000">
                  <c:v>188.69592411436798</c:v>
                </c:pt>
                <c:pt idx="130" formatCode="0.000">
                  <c:v>180.38826158445403</c:v>
                </c:pt>
                <c:pt idx="131" formatCode="0.000">
                  <c:v>195.22963867497901</c:v>
                </c:pt>
                <c:pt idx="132" formatCode="0.000">
                  <c:v>217.297581707322</c:v>
                </c:pt>
                <c:pt idx="133" formatCode="0.000">
                  <c:v>210.94903078835901</c:v>
                </c:pt>
                <c:pt idx="134" formatCode="0.000">
                  <c:v>193.64755294266695</c:v>
                </c:pt>
                <c:pt idx="135" formatCode="0.000">
                  <c:v>194.66297676649504</c:v>
                </c:pt>
                <c:pt idx="136" formatCode="0.000">
                  <c:v>227.02914608932699</c:v>
                </c:pt>
                <c:pt idx="137" formatCode="0.000">
                  <c:v>200.76722202181199</c:v>
                </c:pt>
                <c:pt idx="138" formatCode="0.000">
                  <c:v>195.05863188886104</c:v>
                </c:pt>
                <c:pt idx="139" formatCode="0.000">
                  <c:v>225.423</c:v>
                </c:pt>
                <c:pt idx="140" formatCode="0.000">
                  <c:v>241.52799999999999</c:v>
                </c:pt>
                <c:pt idx="141" formatCode="0.000">
                  <c:v>226.77080239162902</c:v>
                </c:pt>
                <c:pt idx="142" formatCode="0.000">
                  <c:v>230.04425590433516</c:v>
                </c:pt>
                <c:pt idx="143" formatCode="0.000">
                  <c:v>212.66674917787782</c:v>
                </c:pt>
                <c:pt idx="144" formatCode="0.000">
                  <c:v>242.05576995515696</c:v>
                </c:pt>
                <c:pt idx="145" formatCode="0.000">
                  <c:v>221.71122705530604</c:v>
                </c:pt>
                <c:pt idx="146" formatCode="0.000">
                  <c:v>200.66800298953694</c:v>
                </c:pt>
                <c:pt idx="147" formatCode="0.000">
                  <c:v>216.91973572496272</c:v>
                </c:pt>
              </c:numCache>
            </c:numRef>
          </c:val>
          <c:smooth val="0"/>
          <c:extLst>
            <c:ext xmlns:c16="http://schemas.microsoft.com/office/drawing/2014/chart" uri="{C3380CC4-5D6E-409C-BE32-E72D297353CC}">
              <c16:uniqueId val="{00000000-A323-4438-AB76-3A3BD5C6F162}"/>
            </c:ext>
          </c:extLst>
        </c:ser>
        <c:ser>
          <c:idx val="1"/>
          <c:order val="1"/>
          <c:tx>
            <c:strRef>
              <c:f>'Tab2'!$D$70</c:f>
              <c:strCache>
                <c:ptCount val="1"/>
                <c:pt idx="0">
                  <c:v>Personbil</c:v>
                </c:pt>
              </c:strCache>
            </c:strRef>
          </c:tx>
          <c:spPr>
            <a:ln w="25400">
              <a:solidFill>
                <a:srgbClr val="000000"/>
              </a:solidFill>
              <a:prstDash val="sysDash"/>
            </a:ln>
          </c:spPr>
          <c:marker>
            <c:symbol val="none"/>
          </c:marker>
          <c:cat>
            <c:numRef>
              <c:f>'Tab2'!$B$71:$B$218</c:f>
              <c:numCache>
                <c:formatCode>General</c:formatCode>
                <c:ptCount val="148"/>
                <c:pt idx="0">
                  <c:v>1983</c:v>
                </c:pt>
                <c:pt idx="4">
                  <c:v>1984</c:v>
                </c:pt>
                <c:pt idx="8">
                  <c:v>1985</c:v>
                </c:pt>
                <c:pt idx="12">
                  <c:v>1986</c:v>
                </c:pt>
                <c:pt idx="16">
                  <c:v>1987</c:v>
                </c:pt>
                <c:pt idx="20">
                  <c:v>1988</c:v>
                </c:pt>
                <c:pt idx="24">
                  <c:v>1989</c:v>
                </c:pt>
                <c:pt idx="28">
                  <c:v>1990</c:v>
                </c:pt>
                <c:pt idx="32">
                  <c:v>1991</c:v>
                </c:pt>
                <c:pt idx="36">
                  <c:v>1992</c:v>
                </c:pt>
                <c:pt idx="40">
                  <c:v>1993</c:v>
                </c:pt>
                <c:pt idx="44">
                  <c:v>1994</c:v>
                </c:pt>
                <c:pt idx="48">
                  <c:v>1995</c:v>
                </c:pt>
                <c:pt idx="52">
                  <c:v>1996</c:v>
                </c:pt>
                <c:pt idx="56">
                  <c:v>1997</c:v>
                </c:pt>
                <c:pt idx="60">
                  <c:v>1998</c:v>
                </c:pt>
                <c:pt idx="64">
                  <c:v>1999</c:v>
                </c:pt>
                <c:pt idx="68">
                  <c:v>2000</c:v>
                </c:pt>
                <c:pt idx="72">
                  <c:v>2001</c:v>
                </c:pt>
                <c:pt idx="76">
                  <c:v>2002</c:v>
                </c:pt>
                <c:pt idx="80">
                  <c:v>2003</c:v>
                </c:pt>
                <c:pt idx="84">
                  <c:v>2004</c:v>
                </c:pt>
                <c:pt idx="88">
                  <c:v>2005</c:v>
                </c:pt>
                <c:pt idx="92">
                  <c:v>2006</c:v>
                </c:pt>
                <c:pt idx="96">
                  <c:v>2007</c:v>
                </c:pt>
                <c:pt idx="100">
                  <c:v>2008</c:v>
                </c:pt>
                <c:pt idx="104">
                  <c:v>2009</c:v>
                </c:pt>
                <c:pt idx="108">
                  <c:v>2010</c:v>
                </c:pt>
                <c:pt idx="112">
                  <c:v>2011</c:v>
                </c:pt>
                <c:pt idx="116">
                  <c:v>2012</c:v>
                </c:pt>
                <c:pt idx="120">
                  <c:v>2013</c:v>
                </c:pt>
                <c:pt idx="124">
                  <c:v>2014</c:v>
                </c:pt>
                <c:pt idx="128">
                  <c:v>2015</c:v>
                </c:pt>
                <c:pt idx="132">
                  <c:v>2016</c:v>
                </c:pt>
                <c:pt idx="136">
                  <c:v>2017</c:v>
                </c:pt>
                <c:pt idx="140">
                  <c:v>2018</c:v>
                </c:pt>
                <c:pt idx="144">
                  <c:v>2019</c:v>
                </c:pt>
              </c:numCache>
            </c:numRef>
          </c:cat>
          <c:val>
            <c:numRef>
              <c:f>'Tab2'!$D$71:$D$218</c:f>
              <c:numCache>
                <c:formatCode>General</c:formatCode>
                <c:ptCount val="148"/>
                <c:pt idx="0">
                  <c:v>78.3</c:v>
                </c:pt>
                <c:pt idx="1">
                  <c:v>61.3</c:v>
                </c:pt>
                <c:pt idx="2">
                  <c:v>63</c:v>
                </c:pt>
                <c:pt idx="3">
                  <c:v>70.8</c:v>
                </c:pt>
                <c:pt idx="4">
                  <c:v>90.4</c:v>
                </c:pt>
                <c:pt idx="5">
                  <c:v>64.400000000000006</c:v>
                </c:pt>
                <c:pt idx="6">
                  <c:v>71.099999999999994</c:v>
                </c:pt>
                <c:pt idx="7">
                  <c:v>73.900000000000006</c:v>
                </c:pt>
                <c:pt idx="8">
                  <c:v>100.8</c:v>
                </c:pt>
                <c:pt idx="9">
                  <c:v>81.099999999999994</c:v>
                </c:pt>
                <c:pt idx="10">
                  <c:v>86</c:v>
                </c:pt>
                <c:pt idx="11">
                  <c:v>87.1</c:v>
                </c:pt>
                <c:pt idx="12">
                  <c:v>115.2</c:v>
                </c:pt>
                <c:pt idx="13">
                  <c:v>93.2</c:v>
                </c:pt>
                <c:pt idx="14">
                  <c:v>91.1</c:v>
                </c:pt>
                <c:pt idx="15">
                  <c:v>90.8</c:v>
                </c:pt>
                <c:pt idx="16">
                  <c:v>121.3</c:v>
                </c:pt>
                <c:pt idx="17">
                  <c:v>86.1</c:v>
                </c:pt>
                <c:pt idx="18">
                  <c:v>87.3</c:v>
                </c:pt>
                <c:pt idx="19">
                  <c:v>89.8</c:v>
                </c:pt>
                <c:pt idx="20">
                  <c:v>107.5</c:v>
                </c:pt>
                <c:pt idx="21">
                  <c:v>90</c:v>
                </c:pt>
                <c:pt idx="22">
                  <c:v>93.1</c:v>
                </c:pt>
                <c:pt idx="23">
                  <c:v>93.4</c:v>
                </c:pt>
                <c:pt idx="24">
                  <c:v>86.4</c:v>
                </c:pt>
                <c:pt idx="25">
                  <c:v>79.599999999999994</c:v>
                </c:pt>
                <c:pt idx="26">
                  <c:v>79</c:v>
                </c:pt>
                <c:pt idx="27">
                  <c:v>76.8</c:v>
                </c:pt>
                <c:pt idx="28">
                  <c:v>81.3</c:v>
                </c:pt>
                <c:pt idx="29">
                  <c:v>73.099999999999994</c:v>
                </c:pt>
                <c:pt idx="30">
                  <c:v>72.5</c:v>
                </c:pt>
                <c:pt idx="31">
                  <c:v>70.2</c:v>
                </c:pt>
                <c:pt idx="32">
                  <c:v>82.4</c:v>
                </c:pt>
                <c:pt idx="33">
                  <c:v>78</c:v>
                </c:pt>
                <c:pt idx="34">
                  <c:v>76.099999999999994</c:v>
                </c:pt>
                <c:pt idx="35">
                  <c:v>78.099999999999994</c:v>
                </c:pt>
                <c:pt idx="36">
                  <c:v>87.1</c:v>
                </c:pt>
                <c:pt idx="37">
                  <c:v>78.900000000000006</c:v>
                </c:pt>
                <c:pt idx="38">
                  <c:v>79.900000000000006</c:v>
                </c:pt>
                <c:pt idx="39">
                  <c:v>77.599999999999994</c:v>
                </c:pt>
                <c:pt idx="40">
                  <c:v>96.5</c:v>
                </c:pt>
                <c:pt idx="41">
                  <c:v>80.099999999999994</c:v>
                </c:pt>
                <c:pt idx="42">
                  <c:v>73.599999999999994</c:v>
                </c:pt>
                <c:pt idx="43">
                  <c:v>106.60000000000005</c:v>
                </c:pt>
                <c:pt idx="44">
                  <c:v>120</c:v>
                </c:pt>
                <c:pt idx="45">
                  <c:v>98.1</c:v>
                </c:pt>
                <c:pt idx="46">
                  <c:v>98.799999999999983</c:v>
                </c:pt>
                <c:pt idx="47">
                  <c:v>100.20000000000005</c:v>
                </c:pt>
                <c:pt idx="48">
                  <c:v>119.3</c:v>
                </c:pt>
                <c:pt idx="49">
                  <c:v>95.399999999999991</c:v>
                </c:pt>
                <c:pt idx="50">
                  <c:v>100.99999999999999</c:v>
                </c:pt>
                <c:pt idx="51">
                  <c:v>104.40000000000005</c:v>
                </c:pt>
                <c:pt idx="52">
                  <c:v>126.9</c:v>
                </c:pt>
                <c:pt idx="53">
                  <c:v>115.69999999999999</c:v>
                </c:pt>
                <c:pt idx="54">
                  <c:v>96.700000000000017</c:v>
                </c:pt>
                <c:pt idx="55">
                  <c:v>113.1</c:v>
                </c:pt>
                <c:pt idx="56">
                  <c:v>124.8</c:v>
                </c:pt>
                <c:pt idx="57">
                  <c:v>122.50000000000001</c:v>
                </c:pt>
                <c:pt idx="58">
                  <c:v>117.3</c:v>
                </c:pt>
                <c:pt idx="59">
                  <c:v>113.7</c:v>
                </c:pt>
                <c:pt idx="60">
                  <c:v>131.9</c:v>
                </c:pt>
                <c:pt idx="61">
                  <c:v>122</c:v>
                </c:pt>
                <c:pt idx="62">
                  <c:v>112.1</c:v>
                </c:pt>
                <c:pt idx="63">
                  <c:v>125.60000000000002</c:v>
                </c:pt>
                <c:pt idx="64">
                  <c:v>137.1</c:v>
                </c:pt>
                <c:pt idx="65">
                  <c:v>140.70000000000002</c:v>
                </c:pt>
                <c:pt idx="66">
                  <c:v>128.69999999999999</c:v>
                </c:pt>
                <c:pt idx="67">
                  <c:v>126.39999999999998</c:v>
                </c:pt>
                <c:pt idx="68">
                  <c:v>150.9</c:v>
                </c:pt>
                <c:pt idx="69">
                  <c:v>133.4</c:v>
                </c:pt>
                <c:pt idx="70">
                  <c:v>123.5</c:v>
                </c:pt>
                <c:pt idx="71">
                  <c:v>121.40000000000003</c:v>
                </c:pt>
                <c:pt idx="72">
                  <c:v>143.1</c:v>
                </c:pt>
                <c:pt idx="73">
                  <c:v>125.70000000000002</c:v>
                </c:pt>
                <c:pt idx="74">
                  <c:v>119.19999999999999</c:v>
                </c:pt>
                <c:pt idx="75">
                  <c:v>124.07220000000007</c:v>
                </c:pt>
                <c:pt idx="76">
                  <c:v>141.72399999999999</c:v>
                </c:pt>
                <c:pt idx="77">
                  <c:v>133.19</c:v>
                </c:pt>
                <c:pt idx="78">
                  <c:v>127.14100000000002</c:v>
                </c:pt>
                <c:pt idx="79">
                  <c:v>124.64100000000002</c:v>
                </c:pt>
                <c:pt idx="80">
                  <c:v>150.81100000000001</c:v>
                </c:pt>
                <c:pt idx="81">
                  <c:v>121.10099999999997</c:v>
                </c:pt>
                <c:pt idx="82">
                  <c:v>119.49100000000004</c:v>
                </c:pt>
                <c:pt idx="83">
                  <c:v>125.95899999999995</c:v>
                </c:pt>
                <c:pt idx="84">
                  <c:v>153.04300000000001</c:v>
                </c:pt>
                <c:pt idx="85">
                  <c:v>125.56799999999998</c:v>
                </c:pt>
                <c:pt idx="86">
                  <c:v>123.12100000000004</c:v>
                </c:pt>
                <c:pt idx="87">
                  <c:v>124.50600000000003</c:v>
                </c:pt>
                <c:pt idx="88">
                  <c:v>133.756</c:v>
                </c:pt>
                <c:pt idx="89">
                  <c:v>128.79</c:v>
                </c:pt>
                <c:pt idx="90">
                  <c:v>120.57100000000003</c:v>
                </c:pt>
                <c:pt idx="91">
                  <c:v>124.38200000000001</c:v>
                </c:pt>
                <c:pt idx="92">
                  <c:v>139.72800000000001</c:v>
                </c:pt>
                <c:pt idx="93">
                  <c:v>129.572</c:v>
                </c:pt>
                <c:pt idx="94">
                  <c:v>126.00599999999997</c:v>
                </c:pt>
                <c:pt idx="95">
                  <c:v>131.19532799999996</c:v>
                </c:pt>
                <c:pt idx="96">
                  <c:v>141.08400800000001</c:v>
                </c:pt>
                <c:pt idx="97">
                  <c:v>142.897008</c:v>
                </c:pt>
                <c:pt idx="98">
                  <c:v>119.75308425000003</c:v>
                </c:pt>
                <c:pt idx="99">
                  <c:v>133.49839924999998</c:v>
                </c:pt>
                <c:pt idx="100">
                  <c:v>148.61369099999999</c:v>
                </c:pt>
                <c:pt idx="101">
                  <c:v>175.71357850000001</c:v>
                </c:pt>
                <c:pt idx="102">
                  <c:v>141.40667174999999</c:v>
                </c:pt>
                <c:pt idx="103">
                  <c:v>152.54014889999991</c:v>
                </c:pt>
                <c:pt idx="104">
                  <c:v>172.55938714999999</c:v>
                </c:pt>
                <c:pt idx="105">
                  <c:v>160.765232725</c:v>
                </c:pt>
                <c:pt idx="106">
                  <c:v>142.31202375000004</c:v>
                </c:pt>
                <c:pt idx="107">
                  <c:v>163.53199924456408</c:v>
                </c:pt>
                <c:pt idx="108">
                  <c:v>186.506571025</c:v>
                </c:pt>
                <c:pt idx="109">
                  <c:v>170.46253197500002</c:v>
                </c:pt>
                <c:pt idx="110">
                  <c:v>154.15607493749997</c:v>
                </c:pt>
                <c:pt idx="111">
                  <c:v>174.39946771249993</c:v>
                </c:pt>
                <c:pt idx="112">
                  <c:v>184.8599929625</c:v>
                </c:pt>
                <c:pt idx="113">
                  <c:v>171.33320521249996</c:v>
                </c:pt>
                <c:pt idx="114">
                  <c:v>151.69380182500004</c:v>
                </c:pt>
                <c:pt idx="115">
                  <c:v>178.91908595000001</c:v>
                </c:pt>
                <c:pt idx="116">
                  <c:v>177.0717714875</c:v>
                </c:pt>
                <c:pt idx="117">
                  <c:v>165.12822851249999</c:v>
                </c:pt>
                <c:pt idx="118">
                  <c:v>148.24155396250001</c:v>
                </c:pt>
                <c:pt idx="119">
                  <c:v>151.72844603749996</c:v>
                </c:pt>
                <c:pt idx="120">
                  <c:v>183.65288545000001</c:v>
                </c:pt>
                <c:pt idx="121">
                  <c:v>185.63411454999996</c:v>
                </c:pt>
                <c:pt idx="122">
                  <c:v>153.21019910313902</c:v>
                </c:pt>
                <c:pt idx="123">
                  <c:v>188.07946756352794</c:v>
                </c:pt>
                <c:pt idx="124">
                  <c:v>179.55199999999999</c:v>
                </c:pt>
                <c:pt idx="125">
                  <c:v>179.76700000000002</c:v>
                </c:pt>
                <c:pt idx="126">
                  <c:v>173.47352006851992</c:v>
                </c:pt>
                <c:pt idx="127">
                  <c:v>184.73883316768206</c:v>
                </c:pt>
                <c:pt idx="128">
                  <c:v>202.59159905454101</c:v>
                </c:pt>
                <c:pt idx="129">
                  <c:v>171.45081948058601</c:v>
                </c:pt>
                <c:pt idx="130">
                  <c:v>162.29720926756397</c:v>
                </c:pt>
                <c:pt idx="131">
                  <c:v>179.89113138755602</c:v>
                </c:pt>
                <c:pt idx="132">
                  <c:v>201.19677375494101</c:v>
                </c:pt>
                <c:pt idx="133">
                  <c:v>192.89311593057502</c:v>
                </c:pt>
                <c:pt idx="134">
                  <c:v>175.641874720337</c:v>
                </c:pt>
                <c:pt idx="135">
                  <c:v>178.45454935802093</c:v>
                </c:pt>
                <c:pt idx="136">
                  <c:v>210.737716871462</c:v>
                </c:pt>
                <c:pt idx="137">
                  <c:v>183.70797761744905</c:v>
                </c:pt>
                <c:pt idx="138">
                  <c:v>176.76630551108894</c:v>
                </c:pt>
                <c:pt idx="139">
                  <c:v>208.21799999999996</c:v>
                </c:pt>
                <c:pt idx="140">
                  <c:v>222.678</c:v>
                </c:pt>
                <c:pt idx="141">
                  <c:v>208.83864191330298</c:v>
                </c:pt>
                <c:pt idx="142">
                  <c:v>207.39460472346803</c:v>
                </c:pt>
                <c:pt idx="143">
                  <c:v>195.66619934230232</c:v>
                </c:pt>
                <c:pt idx="144">
                  <c:v>223.58363596412556</c:v>
                </c:pt>
                <c:pt idx="145">
                  <c:v>199.97176164424542</c:v>
                </c:pt>
                <c:pt idx="146">
                  <c:v>183.517602391629</c:v>
                </c:pt>
                <c:pt idx="147">
                  <c:v>199.72038857997018</c:v>
                </c:pt>
              </c:numCache>
            </c:numRef>
          </c:val>
          <c:smooth val="0"/>
          <c:extLst>
            <c:ext xmlns:c16="http://schemas.microsoft.com/office/drawing/2014/chart" uri="{C3380CC4-5D6E-409C-BE32-E72D297353CC}">
              <c16:uniqueId val="{00000001-A323-4438-AB76-3A3BD5C6F162}"/>
            </c:ext>
          </c:extLst>
        </c:ser>
        <c:dLbls>
          <c:showLegendKey val="0"/>
          <c:showVal val="0"/>
          <c:showCatName val="0"/>
          <c:showSerName val="0"/>
          <c:showPercent val="0"/>
          <c:showBubbleSize val="0"/>
        </c:dLbls>
        <c:smooth val="0"/>
        <c:axId val="266180480"/>
        <c:axId val="266182016"/>
      </c:lineChart>
      <c:catAx>
        <c:axId val="266180480"/>
        <c:scaling>
          <c:orientation val="minMax"/>
        </c:scaling>
        <c:delete val="0"/>
        <c:axPos val="b"/>
        <c:numFmt formatCode="General" sourceLinked="1"/>
        <c:majorTickMark val="out"/>
        <c:minorTickMark val="none"/>
        <c:tickLblPos val="nextTo"/>
        <c:spPr>
          <a:ln w="3175">
            <a:solidFill>
              <a:srgbClr val="000000"/>
            </a:solidFill>
            <a:prstDash val="solid"/>
          </a:ln>
        </c:spPr>
        <c:txPr>
          <a:bodyPr rot="-3000000" vert="horz"/>
          <a:lstStyle/>
          <a:p>
            <a:pPr>
              <a:defRPr sz="800" b="0" i="0" u="none" strike="noStrike" baseline="0">
                <a:solidFill>
                  <a:srgbClr val="000000"/>
                </a:solidFill>
                <a:latin typeface="Arial"/>
                <a:ea typeface="Arial"/>
                <a:cs typeface="Arial"/>
              </a:defRPr>
            </a:pPr>
            <a:endParaRPr lang="nb-NO"/>
          </a:p>
        </c:txPr>
        <c:crossAx val="266182016"/>
        <c:crosses val="autoZero"/>
        <c:auto val="1"/>
        <c:lblAlgn val="ctr"/>
        <c:lblOffset val="100"/>
        <c:tickLblSkip val="1"/>
        <c:tickMarkSkip val="1"/>
        <c:noMultiLvlLbl val="0"/>
      </c:catAx>
      <c:valAx>
        <c:axId val="266182016"/>
        <c:scaling>
          <c:orientation val="minMax"/>
        </c:scaling>
        <c:delete val="0"/>
        <c:axPos val="l"/>
        <c:majorGridlines>
          <c:spPr>
            <a:ln>
              <a:prstDash val="dash"/>
            </a:ln>
          </c:spPr>
        </c:majorGridlines>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266180480"/>
        <c:crosses val="autoZero"/>
        <c:crossBetween val="between"/>
      </c:valAx>
      <c:spPr>
        <a:noFill/>
        <a:ln w="12700">
          <a:solidFill>
            <a:srgbClr val="808080"/>
          </a:solidFill>
          <a:prstDash val="solid"/>
        </a:ln>
      </c:spPr>
    </c:plotArea>
    <c:legend>
      <c:legendPos val="r"/>
      <c:layout>
        <c:manualLayout>
          <c:xMode val="edge"/>
          <c:yMode val="edge"/>
          <c:x val="0.59154731503155356"/>
          <c:y val="0.60632894572388973"/>
          <c:w val="0.26013531247783173"/>
          <c:h val="0.12280728066886371"/>
        </c:manualLayout>
      </c:layout>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Arial"/>
              <a:ea typeface="Arial"/>
              <a:cs typeface="Arial"/>
            </a:defRPr>
          </a:pPr>
          <a:endParaRPr lang="nb-NO"/>
        </a:p>
      </c:txPr>
    </c:legend>
    <c:plotVisOnly val="1"/>
    <c:dispBlanksAs val="gap"/>
    <c:showDLblsOverMax val="0"/>
  </c:chart>
  <c:spPr>
    <a:solidFill>
      <a:srgbClr val="FFFFFF"/>
    </a:solidFill>
    <a:ln w="9525">
      <a:noFill/>
    </a:ln>
  </c:spPr>
  <c:txPr>
    <a:bodyPr/>
    <a:lstStyle/>
    <a:p>
      <a:pPr>
        <a:defRPr sz="1575" b="0" i="0" u="none" strike="noStrike" baseline="0">
          <a:solidFill>
            <a:srgbClr val="000000"/>
          </a:solidFill>
          <a:latin typeface="Arial"/>
          <a:ea typeface="Arial"/>
          <a:cs typeface="Arial"/>
        </a:defRPr>
      </a:pPr>
      <a:endParaRPr lang="nb-NO"/>
    </a:p>
  </c:txPr>
  <c:printSettings>
    <c:headerFooter alignWithMargins="0"/>
    <c:pageMargins b="1" l="0.75000000000001465" r="0.75000000000001465" t="1" header="0.5" footer="0.5"/>
    <c:pageSetup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272566614958665"/>
          <c:y val="4.7126376644779866E-2"/>
          <c:w val="0.72887760912680744"/>
          <c:h val="0.81417322834645667"/>
        </c:manualLayout>
      </c:layout>
      <c:lineChart>
        <c:grouping val="standard"/>
        <c:varyColors val="0"/>
        <c:ser>
          <c:idx val="0"/>
          <c:order val="0"/>
          <c:tx>
            <c:strRef>
              <c:f>'Tab2'!$M$70</c:f>
              <c:strCache>
                <c:ptCount val="1"/>
                <c:pt idx="0">
                  <c:v>Erstatning</c:v>
                </c:pt>
              </c:strCache>
            </c:strRef>
          </c:tx>
          <c:spPr>
            <a:ln w="25400"/>
          </c:spPr>
          <c:marker>
            <c:symbol val="none"/>
          </c:marker>
          <c:cat>
            <c:numRef>
              <c:f>'Tab2'!$K$103:$K$218</c:f>
              <c:numCache>
                <c:formatCode>General</c:formatCode>
                <c:ptCount val="116"/>
                <c:pt idx="0">
                  <c:v>1991</c:v>
                </c:pt>
                <c:pt idx="4">
                  <c:v>1992</c:v>
                </c:pt>
                <c:pt idx="8">
                  <c:v>1993</c:v>
                </c:pt>
                <c:pt idx="12">
                  <c:v>1994</c:v>
                </c:pt>
                <c:pt idx="16">
                  <c:v>1995</c:v>
                </c:pt>
                <c:pt idx="20">
                  <c:v>1996</c:v>
                </c:pt>
                <c:pt idx="24">
                  <c:v>1997</c:v>
                </c:pt>
                <c:pt idx="28">
                  <c:v>1998</c:v>
                </c:pt>
                <c:pt idx="32">
                  <c:v>1999</c:v>
                </c:pt>
                <c:pt idx="36">
                  <c:v>2000</c:v>
                </c:pt>
                <c:pt idx="40">
                  <c:v>2001</c:v>
                </c:pt>
                <c:pt idx="44">
                  <c:v>2002</c:v>
                </c:pt>
                <c:pt idx="48">
                  <c:v>2003</c:v>
                </c:pt>
                <c:pt idx="52">
                  <c:v>2004</c:v>
                </c:pt>
                <c:pt idx="56">
                  <c:v>2005</c:v>
                </c:pt>
                <c:pt idx="60">
                  <c:v>2006</c:v>
                </c:pt>
                <c:pt idx="64">
                  <c:v>2007</c:v>
                </c:pt>
                <c:pt idx="68">
                  <c:v>2008</c:v>
                </c:pt>
                <c:pt idx="72">
                  <c:v>2009</c:v>
                </c:pt>
                <c:pt idx="76">
                  <c:v>2010</c:v>
                </c:pt>
                <c:pt idx="80">
                  <c:v>2011</c:v>
                </c:pt>
                <c:pt idx="84">
                  <c:v>2012</c:v>
                </c:pt>
                <c:pt idx="88">
                  <c:v>2013</c:v>
                </c:pt>
                <c:pt idx="92">
                  <c:v>2014</c:v>
                </c:pt>
                <c:pt idx="96">
                  <c:v>2015</c:v>
                </c:pt>
                <c:pt idx="100">
                  <c:v>2016</c:v>
                </c:pt>
                <c:pt idx="104">
                  <c:v>2017</c:v>
                </c:pt>
                <c:pt idx="108">
                  <c:v>2018</c:v>
                </c:pt>
                <c:pt idx="112">
                  <c:v>2019</c:v>
                </c:pt>
              </c:numCache>
            </c:numRef>
          </c:cat>
          <c:val>
            <c:numRef>
              <c:f>'Tab2'!$T$103:$T$218</c:f>
              <c:numCache>
                <c:formatCode>#\ ##0.0</c:formatCode>
                <c:ptCount val="116"/>
                <c:pt idx="0">
                  <c:v>248.05660818713451</c:v>
                </c:pt>
                <c:pt idx="1">
                  <c:v>308.62678983833717</c:v>
                </c:pt>
                <c:pt idx="2">
                  <c:v>358.69330254041574</c:v>
                </c:pt>
                <c:pt idx="3">
                  <c:v>321.26002290950743</c:v>
                </c:pt>
                <c:pt idx="4">
                  <c:v>312.72914285714285</c:v>
                </c:pt>
                <c:pt idx="5">
                  <c:v>285.74717832957111</c:v>
                </c:pt>
                <c:pt idx="6">
                  <c:v>374.47080045095828</c:v>
                </c:pt>
                <c:pt idx="7">
                  <c:v>185.72273236282192</c:v>
                </c:pt>
                <c:pt idx="8">
                  <c:v>296.27839643652561</c:v>
                </c:pt>
                <c:pt idx="9">
                  <c:v>319.22819383259917</c:v>
                </c:pt>
                <c:pt idx="10">
                  <c:v>362.93642384105959</c:v>
                </c:pt>
                <c:pt idx="11">
                  <c:v>274.04615384615386</c:v>
                </c:pt>
                <c:pt idx="12">
                  <c:v>269.38153846153841</c:v>
                </c:pt>
                <c:pt idx="13">
                  <c:v>324.36117775354415</c:v>
                </c:pt>
                <c:pt idx="14">
                  <c:v>361.79891422367007</c:v>
                </c:pt>
                <c:pt idx="15">
                  <c:v>351.00475161987038</c:v>
                </c:pt>
                <c:pt idx="16">
                  <c:v>297.19443254817986</c:v>
                </c:pt>
                <c:pt idx="17">
                  <c:v>343.79851222104145</c:v>
                </c:pt>
                <c:pt idx="18">
                  <c:v>361.03676939426128</c:v>
                </c:pt>
                <c:pt idx="19">
                  <c:v>330.60338266384804</c:v>
                </c:pt>
                <c:pt idx="20">
                  <c:v>319.61528662420386</c:v>
                </c:pt>
                <c:pt idx="21">
                  <c:v>350.86393270241848</c:v>
                </c:pt>
                <c:pt idx="22">
                  <c:v>370.18973821989528</c:v>
                </c:pt>
                <c:pt idx="23">
                  <c:v>295.9584631360334</c:v>
                </c:pt>
                <c:pt idx="24">
                  <c:v>292.60513874614594</c:v>
                </c:pt>
                <c:pt idx="25">
                  <c:v>348.50931422722613</c:v>
                </c:pt>
                <c:pt idx="26">
                  <c:v>308.47574206755382</c:v>
                </c:pt>
                <c:pt idx="27">
                  <c:v>285.17439024390228</c:v>
                </c:pt>
                <c:pt idx="28">
                  <c:v>283.04773413897283</c:v>
                </c:pt>
                <c:pt idx="29">
                  <c:v>310.49869608826481</c:v>
                </c:pt>
                <c:pt idx="30">
                  <c:v>318.39038076152309</c:v>
                </c:pt>
                <c:pt idx="31">
                  <c:v>309.82403177755702</c:v>
                </c:pt>
                <c:pt idx="32">
                  <c:v>243.3972386587771</c:v>
                </c:pt>
                <c:pt idx="33">
                  <c:v>295.33816046966729</c:v>
                </c:pt>
                <c:pt idx="34">
                  <c:v>339.42300884955762</c:v>
                </c:pt>
                <c:pt idx="35">
                  <c:v>281.52193236714965</c:v>
                </c:pt>
                <c:pt idx="36">
                  <c:v>286.96749521988528</c:v>
                </c:pt>
                <c:pt idx="37">
                  <c:v>266.12940057088485</c:v>
                </c:pt>
                <c:pt idx="38">
                  <c:v>279.15707502374164</c:v>
                </c:pt>
                <c:pt idx="39">
                  <c:v>305.18726591760299</c:v>
                </c:pt>
                <c:pt idx="40">
                  <c:v>229.49778597785976</c:v>
                </c:pt>
                <c:pt idx="41">
                  <c:v>263.2251824817518</c:v>
                </c:pt>
                <c:pt idx="42">
                  <c:v>222.28122109158187</c:v>
                </c:pt>
                <c:pt idx="43">
                  <c:v>360.52069917203306</c:v>
                </c:pt>
                <c:pt idx="44">
                  <c:v>274.48892955169259</c:v>
                </c:pt>
                <c:pt idx="45">
                  <c:v>321.8054545454545</c:v>
                </c:pt>
                <c:pt idx="46">
                  <c:v>255.20255474452557</c:v>
                </c:pt>
                <c:pt idx="47">
                  <c:v>264.95855855855871</c:v>
                </c:pt>
                <c:pt idx="48">
                  <c:v>242.08376963350784</c:v>
                </c:pt>
                <c:pt idx="49">
                  <c:v>274.31095280498664</c:v>
                </c:pt>
                <c:pt idx="50">
                  <c:v>255.78266309204645</c:v>
                </c:pt>
                <c:pt idx="51">
                  <c:v>297.4106571936058</c:v>
                </c:pt>
                <c:pt idx="52">
                  <c:v>240.8635879218472</c:v>
                </c:pt>
                <c:pt idx="53">
                  <c:v>305.3389770723104</c:v>
                </c:pt>
                <c:pt idx="54">
                  <c:v>215.72814159292022</c:v>
                </c:pt>
                <c:pt idx="55">
                  <c:v>216.62842105263169</c:v>
                </c:pt>
                <c:pt idx="56">
                  <c:v>212.93333333333331</c:v>
                </c:pt>
                <c:pt idx="57">
                  <c:v>200.68576388888897</c:v>
                </c:pt>
                <c:pt idx="58">
                  <c:v>201.51867940920928</c:v>
                </c:pt>
                <c:pt idx="59">
                  <c:v>185.57931034482766</c:v>
                </c:pt>
                <c:pt idx="60">
                  <c:v>195.80583190394509</c:v>
                </c:pt>
                <c:pt idx="61">
                  <c:v>226.43562340966918</c:v>
                </c:pt>
                <c:pt idx="62">
                  <c:v>215.96214833759592</c:v>
                </c:pt>
                <c:pt idx="63">
                  <c:v>183.57613445378146</c:v>
                </c:pt>
                <c:pt idx="64">
                  <c:v>215.98161702127658</c:v>
                </c:pt>
                <c:pt idx="65">
                  <c:v>206.31952662721889</c:v>
                </c:pt>
                <c:pt idx="66">
                  <c:v>196.77113752122236</c:v>
                </c:pt>
                <c:pt idx="67">
                  <c:v>179.2092715231789</c:v>
                </c:pt>
                <c:pt idx="68">
                  <c:v>199.10713699753893</c:v>
                </c:pt>
                <c:pt idx="69">
                  <c:v>234.11016393442623</c:v>
                </c:pt>
                <c:pt idx="70">
                  <c:v>229.43200649878142</c:v>
                </c:pt>
                <c:pt idx="71">
                  <c:v>327.7574979951886</c:v>
                </c:pt>
                <c:pt idx="72">
                  <c:v>258.56896</c:v>
                </c:pt>
                <c:pt idx="73">
                  <c:v>283.78265712012728</c:v>
                </c:pt>
                <c:pt idx="74">
                  <c:v>280.23030303030293</c:v>
                </c:pt>
                <c:pt idx="75">
                  <c:v>330.98135860979477</c:v>
                </c:pt>
                <c:pt idx="76">
                  <c:v>286.35555555555561</c:v>
                </c:pt>
                <c:pt idx="77">
                  <c:v>237.10287044220328</c:v>
                </c:pt>
                <c:pt idx="78">
                  <c:v>238.07605633802808</c:v>
                </c:pt>
                <c:pt idx="79">
                  <c:v>240.91472868217053</c:v>
                </c:pt>
                <c:pt idx="80">
                  <c:v>182.22273425499233</c:v>
                </c:pt>
                <c:pt idx="81">
                  <c:v>228.90442748091596</c:v>
                </c:pt>
                <c:pt idx="82">
                  <c:v>196.00216383307566</c:v>
                </c:pt>
                <c:pt idx="83">
                  <c:v>210.38531283146853</c:v>
                </c:pt>
                <c:pt idx="84">
                  <c:v>202.2918091032904</c:v>
                </c:pt>
                <c:pt idx="85">
                  <c:v>212.04137110021372</c:v>
                </c:pt>
                <c:pt idx="86">
                  <c:v>221.60257606918628</c:v>
                </c:pt>
                <c:pt idx="87">
                  <c:v>218.69141240558275</c:v>
                </c:pt>
                <c:pt idx="88">
                  <c:v>191.32125065437401</c:v>
                </c:pt>
                <c:pt idx="89">
                  <c:v>198.86050139764069</c:v>
                </c:pt>
                <c:pt idx="90">
                  <c:v>194.77326744925134</c:v>
                </c:pt>
                <c:pt idx="91">
                  <c:v>201.79760761179398</c:v>
                </c:pt>
                <c:pt idx="92">
                  <c:v>184.37890584717485</c:v>
                </c:pt>
                <c:pt idx="93">
                  <c:v>185.55865335212567</c:v>
                </c:pt>
                <c:pt idx="94">
                  <c:v>195.89801013504876</c:v>
                </c:pt>
                <c:pt idx="95">
                  <c:v>192.84863041273331</c:v>
                </c:pt>
                <c:pt idx="96">
                  <c:v>170.18821922328956</c:v>
                </c:pt>
                <c:pt idx="97">
                  <c:v>183.36733220481506</c:v>
                </c:pt>
                <c:pt idx="98">
                  <c:v>142.33603903543988</c:v>
                </c:pt>
                <c:pt idx="99">
                  <c:v>169.63625308395291</c:v>
                </c:pt>
                <c:pt idx="100">
                  <c:v>136.6131212039916</c:v>
                </c:pt>
                <c:pt idx="101">
                  <c:v>160.33535415947054</c:v>
                </c:pt>
                <c:pt idx="102">
                  <c:v>155.61890105075841</c:v>
                </c:pt>
                <c:pt idx="103">
                  <c:v>152.8035972485917</c:v>
                </c:pt>
                <c:pt idx="104">
                  <c:v>146.16316850723769</c:v>
                </c:pt>
                <c:pt idx="105">
                  <c:v>123.36390066163906</c:v>
                </c:pt>
                <c:pt idx="106">
                  <c:v>131.73659198913779</c:v>
                </c:pt>
                <c:pt idx="107">
                  <c:v>126.67385444743935</c:v>
                </c:pt>
                <c:pt idx="108">
                  <c:v>117.47227788911157</c:v>
                </c:pt>
                <c:pt idx="109">
                  <c:v>136.33722008578246</c:v>
                </c:pt>
                <c:pt idx="110">
                  <c:v>149.58061758394646</c:v>
                </c:pt>
                <c:pt idx="111">
                  <c:v>115.01476448311897</c:v>
                </c:pt>
                <c:pt idx="112">
                  <c:v>120.45280175590548</c:v>
                </c:pt>
                <c:pt idx="113">
                  <c:v>138.78905969080313</c:v>
                </c:pt>
                <c:pt idx="114">
                  <c:v>141.8854105373718</c:v>
                </c:pt>
                <c:pt idx="115">
                  <c:v>129.36033971182519</c:v>
                </c:pt>
              </c:numCache>
            </c:numRef>
          </c:val>
          <c:smooth val="0"/>
          <c:extLst>
            <c:ext xmlns:c16="http://schemas.microsoft.com/office/drawing/2014/chart" uri="{C3380CC4-5D6E-409C-BE32-E72D297353CC}">
              <c16:uniqueId val="{00000000-A9C2-44F7-A0C1-9433E210C6CC}"/>
            </c:ext>
          </c:extLst>
        </c:ser>
        <c:dLbls>
          <c:showLegendKey val="0"/>
          <c:showVal val="0"/>
          <c:showCatName val="0"/>
          <c:showSerName val="0"/>
          <c:showPercent val="0"/>
          <c:showBubbleSize val="0"/>
        </c:dLbls>
        <c:marker val="1"/>
        <c:smooth val="0"/>
        <c:axId val="270837248"/>
        <c:axId val="270838784"/>
      </c:lineChart>
      <c:lineChart>
        <c:grouping val="standard"/>
        <c:varyColors val="0"/>
        <c:ser>
          <c:idx val="1"/>
          <c:order val="1"/>
          <c:tx>
            <c:strRef>
              <c:f>'Tab2'!$L$70</c:f>
              <c:strCache>
                <c:ptCount val="1"/>
                <c:pt idx="0">
                  <c:v>Antall</c:v>
                </c:pt>
              </c:strCache>
            </c:strRef>
          </c:tx>
          <c:spPr>
            <a:ln w="25400"/>
          </c:spPr>
          <c:marker>
            <c:symbol val="none"/>
          </c:marker>
          <c:cat>
            <c:numRef>
              <c:f>'Tab2'!$K$103:$K$218</c:f>
              <c:numCache>
                <c:formatCode>General</c:formatCode>
                <c:ptCount val="116"/>
                <c:pt idx="0">
                  <c:v>1991</c:v>
                </c:pt>
                <c:pt idx="4">
                  <c:v>1992</c:v>
                </c:pt>
                <c:pt idx="8">
                  <c:v>1993</c:v>
                </c:pt>
                <c:pt idx="12">
                  <c:v>1994</c:v>
                </c:pt>
                <c:pt idx="16">
                  <c:v>1995</c:v>
                </c:pt>
                <c:pt idx="20">
                  <c:v>1996</c:v>
                </c:pt>
                <c:pt idx="24">
                  <c:v>1997</c:v>
                </c:pt>
                <c:pt idx="28">
                  <c:v>1998</c:v>
                </c:pt>
                <c:pt idx="32">
                  <c:v>1999</c:v>
                </c:pt>
                <c:pt idx="36">
                  <c:v>2000</c:v>
                </c:pt>
                <c:pt idx="40">
                  <c:v>2001</c:v>
                </c:pt>
                <c:pt idx="44">
                  <c:v>2002</c:v>
                </c:pt>
                <c:pt idx="48">
                  <c:v>2003</c:v>
                </c:pt>
                <c:pt idx="52">
                  <c:v>2004</c:v>
                </c:pt>
                <c:pt idx="56">
                  <c:v>2005</c:v>
                </c:pt>
                <c:pt idx="60">
                  <c:v>2006</c:v>
                </c:pt>
                <c:pt idx="64">
                  <c:v>2007</c:v>
                </c:pt>
                <c:pt idx="68">
                  <c:v>2008</c:v>
                </c:pt>
                <c:pt idx="72">
                  <c:v>2009</c:v>
                </c:pt>
                <c:pt idx="76">
                  <c:v>2010</c:v>
                </c:pt>
                <c:pt idx="80">
                  <c:v>2011</c:v>
                </c:pt>
                <c:pt idx="84">
                  <c:v>2012</c:v>
                </c:pt>
                <c:pt idx="88">
                  <c:v>2013</c:v>
                </c:pt>
                <c:pt idx="92">
                  <c:v>2014</c:v>
                </c:pt>
                <c:pt idx="96">
                  <c:v>2015</c:v>
                </c:pt>
                <c:pt idx="100">
                  <c:v>2016</c:v>
                </c:pt>
                <c:pt idx="104">
                  <c:v>2017</c:v>
                </c:pt>
                <c:pt idx="108">
                  <c:v>2018</c:v>
                </c:pt>
                <c:pt idx="112">
                  <c:v>2019</c:v>
                </c:pt>
              </c:numCache>
            </c:numRef>
          </c:cat>
          <c:val>
            <c:numRef>
              <c:f>'Tab2'!$R$103:$R$218</c:f>
              <c:numCache>
                <c:formatCode>#,##0</c:formatCode>
                <c:ptCount val="116"/>
                <c:pt idx="0">
                  <c:v>9077</c:v>
                </c:pt>
                <c:pt idx="1">
                  <c:v>12525</c:v>
                </c:pt>
                <c:pt idx="2">
                  <c:v>14126</c:v>
                </c:pt>
                <c:pt idx="3">
                  <c:v>13048</c:v>
                </c:pt>
                <c:pt idx="4">
                  <c:v>11030</c:v>
                </c:pt>
                <c:pt idx="5">
                  <c:v>13252</c:v>
                </c:pt>
                <c:pt idx="6">
                  <c:v>15450</c:v>
                </c:pt>
                <c:pt idx="7">
                  <c:v>12309</c:v>
                </c:pt>
                <c:pt idx="8">
                  <c:v>10571</c:v>
                </c:pt>
                <c:pt idx="9">
                  <c:v>12919</c:v>
                </c:pt>
                <c:pt idx="10">
                  <c:v>14800</c:v>
                </c:pt>
                <c:pt idx="11">
                  <c:v>11391</c:v>
                </c:pt>
                <c:pt idx="12">
                  <c:v>8795</c:v>
                </c:pt>
                <c:pt idx="13">
                  <c:v>13449</c:v>
                </c:pt>
                <c:pt idx="14">
                  <c:v>15669</c:v>
                </c:pt>
                <c:pt idx="15">
                  <c:v>14139</c:v>
                </c:pt>
                <c:pt idx="16">
                  <c:v>11007</c:v>
                </c:pt>
                <c:pt idx="17">
                  <c:v>13915</c:v>
                </c:pt>
                <c:pt idx="18">
                  <c:v>17436</c:v>
                </c:pt>
                <c:pt idx="19">
                  <c:v>15130</c:v>
                </c:pt>
                <c:pt idx="20">
                  <c:v>11785</c:v>
                </c:pt>
                <c:pt idx="21">
                  <c:v>14642</c:v>
                </c:pt>
                <c:pt idx="22">
                  <c:v>17198</c:v>
                </c:pt>
                <c:pt idx="23">
                  <c:v>13841</c:v>
                </c:pt>
                <c:pt idx="24">
                  <c:v>10571</c:v>
                </c:pt>
                <c:pt idx="25">
                  <c:v>14837</c:v>
                </c:pt>
                <c:pt idx="26">
                  <c:v>15670</c:v>
                </c:pt>
                <c:pt idx="27">
                  <c:v>13087</c:v>
                </c:pt>
                <c:pt idx="28">
                  <c:v>11958</c:v>
                </c:pt>
                <c:pt idx="29">
                  <c:v>15060</c:v>
                </c:pt>
                <c:pt idx="30">
                  <c:v>17098</c:v>
                </c:pt>
                <c:pt idx="31">
                  <c:v>14647</c:v>
                </c:pt>
                <c:pt idx="32">
                  <c:v>11175</c:v>
                </c:pt>
                <c:pt idx="33">
                  <c:v>12451</c:v>
                </c:pt>
                <c:pt idx="34">
                  <c:v>18817</c:v>
                </c:pt>
                <c:pt idx="35">
                  <c:v>13692</c:v>
                </c:pt>
                <c:pt idx="36">
                  <c:v>12421</c:v>
                </c:pt>
                <c:pt idx="37">
                  <c:v>13950</c:v>
                </c:pt>
                <c:pt idx="38">
                  <c:v>14850</c:v>
                </c:pt>
                <c:pt idx="39">
                  <c:v>13212</c:v>
                </c:pt>
                <c:pt idx="40">
                  <c:v>10538</c:v>
                </c:pt>
                <c:pt idx="41">
                  <c:v>11841</c:v>
                </c:pt>
                <c:pt idx="42">
                  <c:v>13534</c:v>
                </c:pt>
                <c:pt idx="43">
                  <c:v>12341</c:v>
                </c:pt>
                <c:pt idx="44">
                  <c:v>9371</c:v>
                </c:pt>
                <c:pt idx="45">
                  <c:v>14749</c:v>
                </c:pt>
                <c:pt idx="46">
                  <c:v>14722</c:v>
                </c:pt>
                <c:pt idx="47">
                  <c:v>14689</c:v>
                </c:pt>
                <c:pt idx="48">
                  <c:v>10626</c:v>
                </c:pt>
                <c:pt idx="49">
                  <c:v>12719</c:v>
                </c:pt>
                <c:pt idx="50">
                  <c:v>13690</c:v>
                </c:pt>
                <c:pt idx="51">
                  <c:v>11607</c:v>
                </c:pt>
                <c:pt idx="52">
                  <c:v>8913</c:v>
                </c:pt>
                <c:pt idx="53">
                  <c:v>10802</c:v>
                </c:pt>
                <c:pt idx="54">
                  <c:v>11365</c:v>
                </c:pt>
                <c:pt idx="55">
                  <c:v>9276</c:v>
                </c:pt>
                <c:pt idx="56">
                  <c:v>7498</c:v>
                </c:pt>
                <c:pt idx="57">
                  <c:v>11610</c:v>
                </c:pt>
                <c:pt idx="58">
                  <c:v>8742</c:v>
                </c:pt>
                <c:pt idx="59">
                  <c:v>11407</c:v>
                </c:pt>
                <c:pt idx="60">
                  <c:v>7106</c:v>
                </c:pt>
                <c:pt idx="61">
                  <c:v>9193</c:v>
                </c:pt>
                <c:pt idx="62">
                  <c:v>10840</c:v>
                </c:pt>
                <c:pt idx="63">
                  <c:v>9520</c:v>
                </c:pt>
                <c:pt idx="64">
                  <c:v>8112</c:v>
                </c:pt>
                <c:pt idx="65">
                  <c:v>10608</c:v>
                </c:pt>
                <c:pt idx="66">
                  <c:v>10319</c:v>
                </c:pt>
                <c:pt idx="67">
                  <c:v>8645</c:v>
                </c:pt>
                <c:pt idx="68">
                  <c:v>7939</c:v>
                </c:pt>
                <c:pt idx="69">
                  <c:v>10207</c:v>
                </c:pt>
                <c:pt idx="70">
                  <c:v>11007</c:v>
                </c:pt>
                <c:pt idx="71">
                  <c:v>10145</c:v>
                </c:pt>
                <c:pt idx="72">
                  <c:v>8619</c:v>
                </c:pt>
                <c:pt idx="73">
                  <c:v>11296</c:v>
                </c:pt>
                <c:pt idx="74">
                  <c:v>11383</c:v>
                </c:pt>
                <c:pt idx="75">
                  <c:v>10409</c:v>
                </c:pt>
                <c:pt idx="76">
                  <c:v>7227</c:v>
                </c:pt>
                <c:pt idx="77">
                  <c:v>10696</c:v>
                </c:pt>
                <c:pt idx="78">
                  <c:v>11532</c:v>
                </c:pt>
                <c:pt idx="79">
                  <c:v>9548</c:v>
                </c:pt>
                <c:pt idx="80">
                  <c:v>6732</c:v>
                </c:pt>
                <c:pt idx="81">
                  <c:v>10017</c:v>
                </c:pt>
                <c:pt idx="82">
                  <c:v>10339</c:v>
                </c:pt>
                <c:pt idx="83">
                  <c:v>9645.4866500746648</c:v>
                </c:pt>
                <c:pt idx="84">
                  <c:v>7564.3716625186662</c:v>
                </c:pt>
                <c:pt idx="85">
                  <c:v>10002.628337481334</c:v>
                </c:pt>
                <c:pt idx="86" formatCode="0">
                  <c:v>10877.781177428844</c:v>
                </c:pt>
                <c:pt idx="87" formatCode="0">
                  <c:v>8525.2188225711561</c:v>
                </c:pt>
                <c:pt idx="88" formatCode="0">
                  <c:v>5958.3970505452735</c:v>
                </c:pt>
                <c:pt idx="89" formatCode="0">
                  <c:v>10154.602949454726</c:v>
                </c:pt>
                <c:pt idx="90" formatCode="0">
                  <c:v>11786.02326086957</c:v>
                </c:pt>
                <c:pt idx="91" formatCode="0">
                  <c:v>11621.97673913043</c:v>
                </c:pt>
                <c:pt idx="92" formatCode="0">
                  <c:v>8004</c:v>
                </c:pt>
                <c:pt idx="93" formatCode="0">
                  <c:v>11579</c:v>
                </c:pt>
                <c:pt idx="94" formatCode="0">
                  <c:v>11684</c:v>
                </c:pt>
                <c:pt idx="95" formatCode="0">
                  <c:v>9690</c:v>
                </c:pt>
                <c:pt idx="96" formatCode="0">
                  <c:v>7135</c:v>
                </c:pt>
                <c:pt idx="97" formatCode="0">
                  <c:v>9988.3050621118018</c:v>
                </c:pt>
                <c:pt idx="98" formatCode="0">
                  <c:v>10649.652531055901</c:v>
                </c:pt>
                <c:pt idx="99" formatCode="0">
                  <c:v>9159.825978260902</c:v>
                </c:pt>
                <c:pt idx="100" formatCode="0">
                  <c:v>6340.7358571430004</c:v>
                </c:pt>
                <c:pt idx="101" formatCode="0">
                  <c:v>10107.700518632999</c:v>
                </c:pt>
                <c:pt idx="102" formatCode="0">
                  <c:v>10325.156290487997</c:v>
                </c:pt>
                <c:pt idx="103" formatCode="0">
                  <c:v>7957.0224983410008</c:v>
                </c:pt>
                <c:pt idx="104" formatCode="0">
                  <c:v>6121.3819215860003</c:v>
                </c:pt>
                <c:pt idx="105" formatCode="0">
                  <c:v>7194.9193664359991</c:v>
                </c:pt>
                <c:pt idx="106" formatCode="0">
                  <c:v>8727</c:v>
                </c:pt>
                <c:pt idx="107" formatCode="0">
                  <c:v>7520</c:v>
                </c:pt>
                <c:pt idx="108" formatCode="0">
                  <c:v>5433</c:v>
                </c:pt>
                <c:pt idx="109" formatCode="0">
                  <c:v>9319.6839472049996</c:v>
                </c:pt>
                <c:pt idx="110" formatCode="0">
                  <c:v>9726.2967189440697</c:v>
                </c:pt>
                <c:pt idx="111" formatCode="0">
                  <c:v>8182.2589673913026</c:v>
                </c:pt>
                <c:pt idx="112" formatCode="0">
                  <c:v>6840.1016739130437</c:v>
                </c:pt>
                <c:pt idx="113" formatCode="0">
                  <c:v>10227.612341614906</c:v>
                </c:pt>
                <c:pt idx="114" formatCode="0">
                  <c:v>10507.793672360251</c:v>
                </c:pt>
                <c:pt idx="115" formatCode="0">
                  <c:v>9597.5708897515542</c:v>
                </c:pt>
              </c:numCache>
            </c:numRef>
          </c:val>
          <c:smooth val="0"/>
          <c:extLst>
            <c:ext xmlns:c16="http://schemas.microsoft.com/office/drawing/2014/chart" uri="{C3380CC4-5D6E-409C-BE32-E72D297353CC}">
              <c16:uniqueId val="{00000001-A9C2-44F7-A0C1-9433E210C6CC}"/>
            </c:ext>
          </c:extLst>
        </c:ser>
        <c:dLbls>
          <c:showLegendKey val="0"/>
          <c:showVal val="0"/>
          <c:showCatName val="0"/>
          <c:showSerName val="0"/>
          <c:showPercent val="0"/>
          <c:showBubbleSize val="0"/>
        </c:dLbls>
        <c:upDownBars>
          <c:gapWidth val="150"/>
          <c:upBars/>
          <c:downBars/>
        </c:upDownBars>
        <c:marker val="1"/>
        <c:smooth val="0"/>
        <c:axId val="270851072"/>
        <c:axId val="270849152"/>
      </c:lineChart>
      <c:catAx>
        <c:axId val="270837248"/>
        <c:scaling>
          <c:orientation val="minMax"/>
        </c:scaling>
        <c:delete val="0"/>
        <c:axPos val="b"/>
        <c:majorGridlines>
          <c:spPr>
            <a:ln>
              <a:solidFill>
                <a:srgbClr val="4F81BD">
                  <a:alpha val="25000"/>
                </a:srgbClr>
              </a:solidFill>
            </a:ln>
          </c:spPr>
        </c:majorGridlines>
        <c:numFmt formatCode="General" sourceLinked="1"/>
        <c:majorTickMark val="out"/>
        <c:minorTickMark val="out"/>
        <c:tickLblPos val="nextTo"/>
        <c:txPr>
          <a:bodyPr rot="-3000000" vert="horz"/>
          <a:lstStyle/>
          <a:p>
            <a:pPr>
              <a:defRPr/>
            </a:pPr>
            <a:endParaRPr lang="nb-NO"/>
          </a:p>
        </c:txPr>
        <c:crossAx val="270838784"/>
        <c:crosses val="autoZero"/>
        <c:auto val="1"/>
        <c:lblAlgn val="ctr"/>
        <c:lblOffset val="100"/>
        <c:tickLblSkip val="1"/>
        <c:tickMarkSkip val="4"/>
        <c:noMultiLvlLbl val="0"/>
      </c:catAx>
      <c:valAx>
        <c:axId val="270838784"/>
        <c:scaling>
          <c:orientation val="minMax"/>
        </c:scaling>
        <c:delete val="0"/>
        <c:axPos val="l"/>
        <c:majorGridlines/>
        <c:title>
          <c:tx>
            <c:rich>
              <a:bodyPr rot="-5400000" vert="horz" anchor="ctr" anchorCtr="1"/>
              <a:lstStyle/>
              <a:p>
                <a:pPr>
                  <a:defRPr/>
                </a:pPr>
                <a:r>
                  <a:rPr lang="en-US"/>
                  <a:t>KPI-justert erstatning (millioner kroner)</a:t>
                </a:r>
              </a:p>
            </c:rich>
          </c:tx>
          <c:layout>
            <c:manualLayout>
              <c:xMode val="edge"/>
              <c:yMode val="edge"/>
              <c:x val="1.5657612176468372E-2"/>
              <c:y val="0.13385355900279908"/>
            </c:manualLayout>
          </c:layout>
          <c:overlay val="0"/>
        </c:title>
        <c:numFmt formatCode="#,##0" sourceLinked="0"/>
        <c:majorTickMark val="out"/>
        <c:minorTickMark val="none"/>
        <c:tickLblPos val="nextTo"/>
        <c:crossAx val="270837248"/>
        <c:crosses val="autoZero"/>
        <c:crossBetween val="between"/>
      </c:valAx>
      <c:valAx>
        <c:axId val="270849152"/>
        <c:scaling>
          <c:orientation val="minMax"/>
        </c:scaling>
        <c:delete val="0"/>
        <c:axPos val="r"/>
        <c:title>
          <c:tx>
            <c:rich>
              <a:bodyPr rot="-5400000" vert="horz"/>
              <a:lstStyle/>
              <a:p>
                <a:pPr>
                  <a:defRPr/>
                </a:pPr>
                <a:r>
                  <a:rPr lang="en-US"/>
                  <a:t>Antall meldte innbrudd/tyveri/ran</a:t>
                </a:r>
              </a:p>
            </c:rich>
          </c:tx>
          <c:overlay val="0"/>
        </c:title>
        <c:numFmt formatCode="#,##0" sourceLinked="1"/>
        <c:majorTickMark val="out"/>
        <c:minorTickMark val="none"/>
        <c:tickLblPos val="nextTo"/>
        <c:crossAx val="270851072"/>
        <c:crosses val="max"/>
        <c:crossBetween val="between"/>
      </c:valAx>
      <c:catAx>
        <c:axId val="270851072"/>
        <c:scaling>
          <c:orientation val="minMax"/>
        </c:scaling>
        <c:delete val="1"/>
        <c:axPos val="b"/>
        <c:numFmt formatCode="General" sourceLinked="1"/>
        <c:majorTickMark val="out"/>
        <c:minorTickMark val="none"/>
        <c:tickLblPos val="none"/>
        <c:crossAx val="270849152"/>
        <c:crosses val="autoZero"/>
        <c:auto val="0"/>
        <c:lblAlgn val="ctr"/>
        <c:lblOffset val="100"/>
        <c:noMultiLvlLbl val="0"/>
      </c:catAx>
    </c:plotArea>
    <c:legend>
      <c:legendPos val="r"/>
      <c:layout>
        <c:manualLayout>
          <c:xMode val="edge"/>
          <c:yMode val="edge"/>
          <c:x val="0.54813905737861102"/>
          <c:y val="5.4665550527114352E-2"/>
          <c:w val="0.2317650782352112"/>
          <c:h val="0.10148035666735998"/>
        </c:manualLayout>
      </c:layout>
      <c:overlay val="0"/>
    </c:legend>
    <c:plotVisOnly val="1"/>
    <c:dispBlanksAs val="gap"/>
    <c:showDLblsOverMax val="0"/>
  </c:chart>
  <c:spPr>
    <a:ln>
      <a:noFill/>
    </a:ln>
  </c:spPr>
  <c:printSettings>
    <c:headerFooter/>
    <c:pageMargins b="0.75000000000001465" l="0.70000000000000062" r="0.70000000000000062" t="0.75000000000001465" header="0.30000000000000032" footer="0.30000000000000032"/>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4114671163575038"/>
          <c:y val="0.10875331564986535"/>
          <c:w val="0.50084317032040471"/>
          <c:h val="0.78779840848810034"/>
        </c:manualLayout>
      </c:layout>
      <c:pieChart>
        <c:varyColors val="1"/>
        <c:ser>
          <c:idx val="0"/>
          <c:order val="0"/>
          <c:spPr>
            <a:solidFill>
              <a:srgbClr val="FFFFCC"/>
            </a:solidFill>
            <a:ln w="12700">
              <a:solidFill>
                <a:srgbClr val="000000"/>
              </a:solidFill>
              <a:prstDash val="solid"/>
            </a:ln>
          </c:spPr>
          <c:dPt>
            <c:idx val="0"/>
            <c:bubble3D val="0"/>
            <c:spPr>
              <a:pattFill prst="solidDmnd">
                <a:fgClr>
                  <a:srgbClr val="9999FF"/>
                </a:fgClr>
                <a:bgClr>
                  <a:srgbClr val="FFFFFF"/>
                </a:bgClr>
              </a:pattFill>
              <a:ln w="12700">
                <a:solidFill>
                  <a:srgbClr val="000000"/>
                </a:solidFill>
                <a:prstDash val="solid"/>
              </a:ln>
            </c:spPr>
            <c:extLst>
              <c:ext xmlns:c16="http://schemas.microsoft.com/office/drawing/2014/chart" uri="{C3380CC4-5D6E-409C-BE32-E72D297353CC}">
                <c16:uniqueId val="{00000000-FBFF-464F-9449-14EEA586AEC1}"/>
              </c:ext>
            </c:extLst>
          </c:dPt>
          <c:dPt>
            <c:idx val="1"/>
            <c:bubble3D val="0"/>
            <c:spPr>
              <a:solidFill>
                <a:srgbClr val="CCFFFF"/>
              </a:solidFill>
              <a:ln w="12700">
                <a:solidFill>
                  <a:srgbClr val="000000"/>
                </a:solidFill>
                <a:prstDash val="solid"/>
              </a:ln>
            </c:spPr>
            <c:extLst>
              <c:ext xmlns:c16="http://schemas.microsoft.com/office/drawing/2014/chart" uri="{C3380CC4-5D6E-409C-BE32-E72D297353CC}">
                <c16:uniqueId val="{00000001-FBFF-464F-9449-14EEA586AEC1}"/>
              </c:ext>
            </c:extLst>
          </c:dPt>
          <c:dPt>
            <c:idx val="2"/>
            <c:bubble3D val="0"/>
            <c:spPr>
              <a:solidFill>
                <a:srgbClr val="FFFFFF"/>
              </a:solidFill>
              <a:ln w="12700">
                <a:solidFill>
                  <a:srgbClr val="000000"/>
                </a:solidFill>
                <a:prstDash val="solid"/>
              </a:ln>
            </c:spPr>
            <c:extLst>
              <c:ext xmlns:c16="http://schemas.microsoft.com/office/drawing/2014/chart" uri="{C3380CC4-5D6E-409C-BE32-E72D297353CC}">
                <c16:uniqueId val="{00000002-FBFF-464F-9449-14EEA586AEC1}"/>
              </c:ext>
            </c:extLst>
          </c:dPt>
          <c:dPt>
            <c:idx val="3"/>
            <c:bubble3D val="0"/>
            <c:spPr>
              <a:pattFill prst="wdUpDiag">
                <a:fgClr>
                  <a:srgbClr val="800000"/>
                </a:fgClr>
                <a:bgClr>
                  <a:srgbClr val="FFFFFF"/>
                </a:bgClr>
              </a:pattFill>
              <a:ln w="12700">
                <a:solidFill>
                  <a:srgbClr val="000000"/>
                </a:solidFill>
                <a:prstDash val="solid"/>
              </a:ln>
            </c:spPr>
            <c:extLst>
              <c:ext xmlns:c16="http://schemas.microsoft.com/office/drawing/2014/chart" uri="{C3380CC4-5D6E-409C-BE32-E72D297353CC}">
                <c16:uniqueId val="{00000003-FBFF-464F-9449-14EEA586AEC1}"/>
              </c:ext>
            </c:extLst>
          </c:dPt>
          <c:dLbls>
            <c:dLbl>
              <c:idx val="1"/>
              <c:layout>
                <c:manualLayout>
                  <c:x val="1.3705747641758177E-2"/>
                  <c:y val="-3.6818241966454696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FBFF-464F-9449-14EEA586AEC1}"/>
                </c:ext>
              </c:extLst>
            </c:dLbl>
            <c:dLbl>
              <c:idx val="2"/>
              <c:layout>
                <c:manualLayout>
                  <c:x val="5.2092856557194103E-3"/>
                  <c:y val="9.3601521919766568E-3"/>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FBFF-464F-9449-14EEA586AEC1}"/>
                </c:ext>
              </c:extLst>
            </c:dLbl>
            <c:numFmt formatCode="0.0\ %" sourceLinked="0"/>
            <c:spPr>
              <a:noFill/>
              <a:ln w="25400">
                <a:noFill/>
              </a:ln>
            </c:spPr>
            <c:txPr>
              <a:bodyPr/>
              <a:lstStyle/>
              <a:p>
                <a:pPr>
                  <a:defRPr sz="950" b="0" i="0" u="none" strike="noStrike" baseline="0">
                    <a:solidFill>
                      <a:srgbClr val="000000"/>
                    </a:solidFill>
                    <a:latin typeface="Arial"/>
                    <a:ea typeface="Arial"/>
                    <a:cs typeface="Arial"/>
                  </a:defRPr>
                </a:pPr>
                <a:endParaRPr lang="nb-NO"/>
              </a:p>
            </c:txPr>
            <c:showLegendKey val="0"/>
            <c:showVal val="0"/>
            <c:showCatName val="1"/>
            <c:showSerName val="0"/>
            <c:showPercent val="1"/>
            <c:showBubbleSize val="0"/>
            <c:showLeaderLines val="0"/>
            <c:extLst>
              <c:ext xmlns:c15="http://schemas.microsoft.com/office/drawing/2012/chart" uri="{CE6537A1-D6FC-4f65-9D91-7224C49458BB}"/>
            </c:extLst>
          </c:dLbls>
          <c:cat>
            <c:strRef>
              <c:f>'Tab2'!$V$74:$V$78</c:f>
              <c:strCache>
                <c:ptCount val="5"/>
                <c:pt idx="0">
                  <c:v>Tyveri</c:v>
                </c:pt>
                <c:pt idx="1">
                  <c:v>Glass</c:v>
                </c:pt>
                <c:pt idx="2">
                  <c:v>Brann</c:v>
                </c:pt>
                <c:pt idx="3">
                  <c:v>Person</c:v>
                </c:pt>
                <c:pt idx="4">
                  <c:v>Materiell</c:v>
                </c:pt>
              </c:strCache>
            </c:strRef>
          </c:cat>
          <c:val>
            <c:numRef>
              <c:f>'Tab2'!$Z$74:$Z$78</c:f>
              <c:numCache>
                <c:formatCode>0.0</c:formatCode>
                <c:ptCount val="5"/>
                <c:pt idx="0">
                  <c:v>261.10541071313679</c:v>
                </c:pt>
                <c:pt idx="1">
                  <c:v>1593.2205910805935</c:v>
                </c:pt>
                <c:pt idx="2">
                  <c:v>266.32922584417429</c:v>
                </c:pt>
                <c:pt idx="3">
                  <c:v>1340.9436966263906</c:v>
                </c:pt>
                <c:pt idx="4" formatCode="0.000">
                  <c:v>12371.07812648622</c:v>
                </c:pt>
              </c:numCache>
            </c:numRef>
          </c:val>
          <c:extLst>
            <c:ext xmlns:c16="http://schemas.microsoft.com/office/drawing/2014/chart" uri="{C3380CC4-5D6E-409C-BE32-E72D297353CC}">
              <c16:uniqueId val="{00000004-FBFF-464F-9449-14EEA586AEC1}"/>
            </c:ext>
          </c:extLst>
        </c:ser>
        <c:dLbls>
          <c:showLegendKey val="0"/>
          <c:showVal val="0"/>
          <c:showCatName val="1"/>
          <c:showSerName val="0"/>
          <c:showPercent val="1"/>
          <c:showBubbleSize val="0"/>
          <c:showLeaderLines val="0"/>
        </c:dLbls>
        <c:firstSliceAng val="50"/>
      </c:pieChart>
      <c:spPr>
        <a:noFill/>
        <a:ln w="25400">
          <a:noFill/>
        </a:ln>
      </c:spPr>
    </c:plotArea>
    <c:plotVisOnly val="1"/>
    <c:dispBlanksAs val="zero"/>
    <c:showDLblsOverMax val="0"/>
  </c:chart>
  <c:spPr>
    <a:solidFill>
      <a:srgbClr val="FFFFFF"/>
    </a:solidFill>
    <a:ln w="9525">
      <a:noFill/>
    </a:ln>
  </c:spPr>
  <c:txPr>
    <a:bodyPr/>
    <a:lstStyle/>
    <a:p>
      <a:pPr>
        <a:defRPr sz="1575" b="0" i="0" u="none" strike="noStrike" baseline="0">
          <a:solidFill>
            <a:srgbClr val="000000"/>
          </a:solidFill>
          <a:latin typeface="Arial"/>
          <a:ea typeface="Arial"/>
          <a:cs typeface="Arial"/>
        </a:defRPr>
      </a:pPr>
      <a:endParaRPr lang="nb-NO"/>
    </a:p>
  </c:txPr>
  <c:printSettings>
    <c:headerFooter alignWithMargins="0"/>
    <c:pageMargins b="1" l="0.75000000000001465" r="0.75000000000001465" t="1" header="0.5" footer="0.5"/>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6774193548387247E-2"/>
          <c:y val="5.0264680123284874E-2"/>
          <c:w val="0.89081883722845134"/>
          <c:h val="0.73545163548809867"/>
        </c:manualLayout>
      </c:layout>
      <c:barChart>
        <c:barDir val="col"/>
        <c:grouping val="clustered"/>
        <c:varyColors val="0"/>
        <c:ser>
          <c:idx val="0"/>
          <c:order val="0"/>
          <c:tx>
            <c:strRef>
              <c:f>'Tab2'!$W$82</c:f>
              <c:strCache>
                <c:ptCount val="1"/>
                <c:pt idx="0">
                  <c:v>2017</c:v>
                </c:pt>
              </c:strCache>
            </c:strRef>
          </c:tx>
          <c:spPr>
            <a:pattFill prst="solidDmnd">
              <a:fgClr>
                <a:srgbClr val="9999FF"/>
              </a:fgClr>
              <a:bgClr>
                <a:srgbClr val="FFFFFF"/>
              </a:bgClr>
            </a:pattFill>
            <a:ln w="12700">
              <a:solidFill>
                <a:srgbClr val="000000"/>
              </a:solidFill>
              <a:prstDash val="solid"/>
            </a:ln>
          </c:spPr>
          <c:invertIfNegative val="0"/>
          <c:cat>
            <c:strRef>
              <c:f>'Tab2'!$V$83:$V$92</c:f>
              <c:strCache>
                <c:ptCount val="10"/>
                <c:pt idx="0">
                  <c:v>Privat</c:v>
                </c:pt>
                <c:pt idx="1">
                  <c:v>Næring</c:v>
                </c:pt>
                <c:pt idx="2">
                  <c:v>Yrkesskade</c:v>
                </c:pt>
                <c:pt idx="3">
                  <c:v>Trygghet</c:v>
                </c:pt>
                <c:pt idx="4">
                  <c:v>Ulykke</c:v>
                </c:pt>
                <c:pt idx="5">
                  <c:v>Reise</c:v>
                </c:pt>
                <c:pt idx="6">
                  <c:v>Fritidsbåt</c:v>
                </c:pt>
                <c:pt idx="7">
                  <c:v>Ansvar</c:v>
                </c:pt>
                <c:pt idx="8">
                  <c:v>Fiskeoppdrett</c:v>
                </c:pt>
                <c:pt idx="9">
                  <c:v>Andre</c:v>
                </c:pt>
              </c:strCache>
            </c:strRef>
          </c:cat>
          <c:val>
            <c:numRef>
              <c:f>'Tab2'!$W$83:$W$92</c:f>
              <c:numCache>
                <c:formatCode>0.0</c:formatCode>
                <c:ptCount val="10"/>
                <c:pt idx="0">
                  <c:v>7171.790369567203</c:v>
                </c:pt>
                <c:pt idx="1">
                  <c:v>5239.1371201696156</c:v>
                </c:pt>
                <c:pt idx="2">
                  <c:v>1881.4521582849889</c:v>
                </c:pt>
                <c:pt idx="3">
                  <c:v>1779.0988161448022</c:v>
                </c:pt>
                <c:pt idx="4">
                  <c:v>531.9762485737474</c:v>
                </c:pt>
                <c:pt idx="5">
                  <c:v>2078.8919979673683</c:v>
                </c:pt>
                <c:pt idx="6">
                  <c:v>468.76565664708272</c:v>
                </c:pt>
                <c:pt idx="7">
                  <c:v>963.64843128868392</c:v>
                </c:pt>
                <c:pt idx="8">
                  <c:v>211.04554373478513</c:v>
                </c:pt>
                <c:pt idx="9">
                  <c:v>973.92633625162387</c:v>
                </c:pt>
              </c:numCache>
            </c:numRef>
          </c:val>
          <c:extLst>
            <c:ext xmlns:c16="http://schemas.microsoft.com/office/drawing/2014/chart" uri="{C3380CC4-5D6E-409C-BE32-E72D297353CC}">
              <c16:uniqueId val="{00000000-04B5-4D36-84E2-1FB290F926FF}"/>
            </c:ext>
          </c:extLst>
        </c:ser>
        <c:ser>
          <c:idx val="1"/>
          <c:order val="1"/>
          <c:tx>
            <c:strRef>
              <c:f>'Tab2'!$X$82</c:f>
              <c:strCache>
                <c:ptCount val="1"/>
                <c:pt idx="0">
                  <c:v>2018</c:v>
                </c:pt>
              </c:strCache>
            </c:strRef>
          </c:tx>
          <c:spPr>
            <a:pattFill prst="wdUpDiag">
              <a:fgClr>
                <a:srgbClr val="000000"/>
              </a:fgClr>
              <a:bgClr>
                <a:srgbClr val="FFFFFF"/>
              </a:bgClr>
            </a:pattFill>
            <a:ln w="12700">
              <a:solidFill>
                <a:srgbClr val="000000"/>
              </a:solidFill>
              <a:prstDash val="solid"/>
            </a:ln>
          </c:spPr>
          <c:invertIfNegative val="0"/>
          <c:cat>
            <c:strRef>
              <c:f>'Tab2'!$V$83:$V$92</c:f>
              <c:strCache>
                <c:ptCount val="10"/>
                <c:pt idx="0">
                  <c:v>Privat</c:v>
                </c:pt>
                <c:pt idx="1">
                  <c:v>Næring</c:v>
                </c:pt>
                <c:pt idx="2">
                  <c:v>Yrkesskade</c:v>
                </c:pt>
                <c:pt idx="3">
                  <c:v>Trygghet</c:v>
                </c:pt>
                <c:pt idx="4">
                  <c:v>Ulykke</c:v>
                </c:pt>
                <c:pt idx="5">
                  <c:v>Reise</c:v>
                </c:pt>
                <c:pt idx="6">
                  <c:v>Fritidsbåt</c:v>
                </c:pt>
                <c:pt idx="7">
                  <c:v>Ansvar</c:v>
                </c:pt>
                <c:pt idx="8">
                  <c:v>Fiskeoppdrett</c:v>
                </c:pt>
                <c:pt idx="9">
                  <c:v>Andre</c:v>
                </c:pt>
              </c:strCache>
            </c:strRef>
          </c:cat>
          <c:val>
            <c:numRef>
              <c:f>'Tab2'!$X$83:$X$92</c:f>
              <c:numCache>
                <c:formatCode>0.0</c:formatCode>
                <c:ptCount val="10"/>
                <c:pt idx="0">
                  <c:v>8904.3769745772461</c:v>
                </c:pt>
                <c:pt idx="1">
                  <c:v>6748.8583414238074</c:v>
                </c:pt>
                <c:pt idx="2">
                  <c:v>1876.3099251303952</c:v>
                </c:pt>
                <c:pt idx="3">
                  <c:v>1723.7394637740249</c:v>
                </c:pt>
                <c:pt idx="4">
                  <c:v>573.57984776658577</c:v>
                </c:pt>
                <c:pt idx="5">
                  <c:v>2198.8611608924539</c:v>
                </c:pt>
                <c:pt idx="6">
                  <c:v>540.69659437321695</c:v>
                </c:pt>
                <c:pt idx="7">
                  <c:v>1093.9684121220591</c:v>
                </c:pt>
                <c:pt idx="8">
                  <c:v>178.36200313241494</c:v>
                </c:pt>
                <c:pt idx="9">
                  <c:v>836.59018884125203</c:v>
                </c:pt>
              </c:numCache>
            </c:numRef>
          </c:val>
          <c:extLst>
            <c:ext xmlns:c16="http://schemas.microsoft.com/office/drawing/2014/chart" uri="{C3380CC4-5D6E-409C-BE32-E72D297353CC}">
              <c16:uniqueId val="{00000001-04B5-4D36-84E2-1FB290F926FF}"/>
            </c:ext>
          </c:extLst>
        </c:ser>
        <c:ser>
          <c:idx val="2"/>
          <c:order val="2"/>
          <c:tx>
            <c:strRef>
              <c:f>'Tab2'!$Y$82</c:f>
              <c:strCache>
                <c:ptCount val="1"/>
                <c:pt idx="0">
                  <c:v>2019</c:v>
                </c:pt>
              </c:strCache>
            </c:strRef>
          </c:tx>
          <c:spPr>
            <a:solidFill>
              <a:srgbClr val="993366"/>
            </a:solidFill>
            <a:ln w="12700">
              <a:solidFill>
                <a:srgbClr val="000000"/>
              </a:solidFill>
              <a:prstDash val="solid"/>
            </a:ln>
          </c:spPr>
          <c:invertIfNegative val="0"/>
          <c:cat>
            <c:strRef>
              <c:f>'Tab2'!$V$83:$V$92</c:f>
              <c:strCache>
                <c:ptCount val="10"/>
                <c:pt idx="0">
                  <c:v>Privat</c:v>
                </c:pt>
                <c:pt idx="1">
                  <c:v>Næring</c:v>
                </c:pt>
                <c:pt idx="2">
                  <c:v>Yrkesskade</c:v>
                </c:pt>
                <c:pt idx="3">
                  <c:v>Trygghet</c:v>
                </c:pt>
                <c:pt idx="4">
                  <c:v>Ulykke</c:v>
                </c:pt>
                <c:pt idx="5">
                  <c:v>Reise</c:v>
                </c:pt>
                <c:pt idx="6">
                  <c:v>Fritidsbåt</c:v>
                </c:pt>
                <c:pt idx="7">
                  <c:v>Ansvar</c:v>
                </c:pt>
                <c:pt idx="8">
                  <c:v>Fiskeoppdrett</c:v>
                </c:pt>
                <c:pt idx="9">
                  <c:v>Andre</c:v>
                </c:pt>
              </c:strCache>
            </c:strRef>
          </c:cat>
          <c:val>
            <c:numRef>
              <c:f>'Tab2'!$Y$83:$Y$92</c:f>
              <c:numCache>
                <c:formatCode>0.0</c:formatCode>
                <c:ptCount val="10"/>
                <c:pt idx="0">
                  <c:v>8866.8966085764332</c:v>
                </c:pt>
                <c:pt idx="1">
                  <c:v>5905.4067986511109</c:v>
                </c:pt>
                <c:pt idx="2">
                  <c:v>2097.286501513945</c:v>
                </c:pt>
                <c:pt idx="3">
                  <c:v>1715.0155545624007</c:v>
                </c:pt>
                <c:pt idx="4">
                  <c:v>750.93103671113693</c:v>
                </c:pt>
                <c:pt idx="5">
                  <c:v>2298.9281077959999</c:v>
                </c:pt>
                <c:pt idx="6">
                  <c:v>506.53855755591928</c:v>
                </c:pt>
                <c:pt idx="7">
                  <c:v>1202.7935045741633</c:v>
                </c:pt>
                <c:pt idx="8">
                  <c:v>271.74329495989718</c:v>
                </c:pt>
                <c:pt idx="9">
                  <c:v>1036.4614203232363</c:v>
                </c:pt>
              </c:numCache>
            </c:numRef>
          </c:val>
          <c:extLst>
            <c:ext xmlns:c16="http://schemas.microsoft.com/office/drawing/2014/chart" uri="{C3380CC4-5D6E-409C-BE32-E72D297353CC}">
              <c16:uniqueId val="{00000002-04B5-4D36-84E2-1FB290F926FF}"/>
            </c:ext>
          </c:extLst>
        </c:ser>
        <c:dLbls>
          <c:showLegendKey val="0"/>
          <c:showVal val="0"/>
          <c:showCatName val="0"/>
          <c:showSerName val="0"/>
          <c:showPercent val="0"/>
          <c:showBubbleSize val="0"/>
        </c:dLbls>
        <c:gapWidth val="150"/>
        <c:axId val="270552448"/>
        <c:axId val="270562432"/>
      </c:barChart>
      <c:catAx>
        <c:axId val="270552448"/>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800" b="0" i="0" u="none" strike="noStrike" baseline="0">
                <a:solidFill>
                  <a:srgbClr val="000000"/>
                </a:solidFill>
                <a:latin typeface="Arial"/>
                <a:ea typeface="Arial"/>
                <a:cs typeface="Arial"/>
              </a:defRPr>
            </a:pPr>
            <a:endParaRPr lang="nb-NO"/>
          </a:p>
        </c:txPr>
        <c:crossAx val="270562432"/>
        <c:crosses val="autoZero"/>
        <c:auto val="1"/>
        <c:lblAlgn val="ctr"/>
        <c:lblOffset val="100"/>
        <c:tickLblSkip val="1"/>
        <c:tickMarkSkip val="1"/>
        <c:noMultiLvlLbl val="0"/>
      </c:catAx>
      <c:valAx>
        <c:axId val="270562432"/>
        <c:scaling>
          <c:orientation val="minMax"/>
        </c:scaling>
        <c:delete val="0"/>
        <c:axPos val="l"/>
        <c:majorGridlines>
          <c:spPr>
            <a:ln w="3175">
              <a:solidFill>
                <a:srgbClr val="000000"/>
              </a:solidFill>
              <a:prstDash val="sysDash"/>
            </a:ln>
          </c:spPr>
        </c:majorGridlines>
        <c:title>
          <c:tx>
            <c:rich>
              <a:bodyPr/>
              <a:lstStyle/>
              <a:p>
                <a:pPr>
                  <a:defRPr sz="800" b="0" i="0" u="none" strike="noStrike" baseline="0">
                    <a:solidFill>
                      <a:srgbClr val="000000"/>
                    </a:solidFill>
                    <a:latin typeface="Arial"/>
                    <a:ea typeface="Arial"/>
                    <a:cs typeface="Arial"/>
                  </a:defRPr>
                </a:pPr>
                <a:r>
                  <a:rPr lang="nb-NO"/>
                  <a:t>Millioner kroner</a:t>
                </a:r>
              </a:p>
            </c:rich>
          </c:tx>
          <c:layout>
            <c:manualLayout>
              <c:xMode val="edge"/>
              <c:yMode val="edge"/>
              <c:x val="9.4876660341558748E-3"/>
              <c:y val="0.3174611506894973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270552448"/>
        <c:crosses val="autoZero"/>
        <c:crossBetween val="between"/>
      </c:valAx>
      <c:spPr>
        <a:noFill/>
        <a:ln w="12700">
          <a:solidFill>
            <a:srgbClr val="808080"/>
          </a:solidFill>
          <a:prstDash val="solid"/>
        </a:ln>
      </c:spPr>
    </c:plotArea>
    <c:legend>
      <c:legendPos val="r"/>
      <c:layout>
        <c:manualLayout>
          <c:xMode val="edge"/>
          <c:yMode val="edge"/>
          <c:x val="0.62998102466793171"/>
          <c:y val="0.14021191795470009"/>
          <c:w val="0.27893738140417457"/>
          <c:h val="0.13756641530919791"/>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nb-NO"/>
        </a:p>
      </c:txPr>
    </c:legend>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Arial"/>
          <a:ea typeface="Arial"/>
          <a:cs typeface="Arial"/>
        </a:defRPr>
      </a:pPr>
      <a:endParaRPr lang="nb-NO"/>
    </a:p>
  </c:txPr>
  <c:printSettings>
    <c:headerFooter alignWithMargins="0"/>
    <c:pageMargins b="1" l="0.75000000000001465" r="0.75000000000001465" t="1" header="0.5" footer="0.5"/>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49552276098459"/>
          <c:y val="5.956121969475487E-2"/>
          <c:w val="0.83783931207652318"/>
          <c:h val="0.81504826950719256"/>
        </c:manualLayout>
      </c:layout>
      <c:barChart>
        <c:barDir val="col"/>
        <c:grouping val="clustered"/>
        <c:varyColors val="0"/>
        <c:ser>
          <c:idx val="0"/>
          <c:order val="0"/>
          <c:tx>
            <c:strRef>
              <c:f>'Tab2'!$W$100</c:f>
              <c:strCache>
                <c:ptCount val="1"/>
                <c:pt idx="0">
                  <c:v>2017</c:v>
                </c:pt>
              </c:strCache>
            </c:strRef>
          </c:tx>
          <c:spPr>
            <a:pattFill prst="solidDmnd">
              <a:fgClr>
                <a:srgbClr val="9999FF"/>
              </a:fgClr>
              <a:bgClr>
                <a:srgbClr val="FFFFFF"/>
              </a:bgClr>
            </a:pattFill>
            <a:ln w="12700">
              <a:solidFill>
                <a:srgbClr val="000000"/>
              </a:solidFill>
              <a:prstDash val="solid"/>
            </a:ln>
          </c:spPr>
          <c:invertIfNegative val="0"/>
          <c:cat>
            <c:strRef>
              <c:f>'Tab2'!$V$101:$V$104</c:f>
              <c:strCache>
                <c:ptCount val="4"/>
                <c:pt idx="0">
                  <c:v>Brann</c:v>
                </c:pt>
                <c:pt idx="1">
                  <c:v>Vann</c:v>
                </c:pt>
                <c:pt idx="2">
                  <c:v>Tyveri</c:v>
                </c:pt>
                <c:pt idx="3">
                  <c:v>Andre</c:v>
                </c:pt>
              </c:strCache>
            </c:strRef>
          </c:cat>
          <c:val>
            <c:numRef>
              <c:f>'Tab2'!$W$101:$W$104</c:f>
              <c:numCache>
                <c:formatCode>#,##0</c:formatCode>
                <c:ptCount val="4"/>
                <c:pt idx="0">
                  <c:v>27370.062550175651</c:v>
                </c:pt>
                <c:pt idx="1">
                  <c:v>79211.786661580234</c:v>
                </c:pt>
                <c:pt idx="2">
                  <c:v>29554.493994388202</c:v>
                </c:pt>
                <c:pt idx="3" formatCode="_ * #\ ##0_ ;_ * \-#\ ##0_ ;_ * &quot;-&quot;??_ ;_ @_ ">
                  <c:v>215684.23270071615</c:v>
                </c:pt>
              </c:numCache>
            </c:numRef>
          </c:val>
          <c:extLst>
            <c:ext xmlns:c16="http://schemas.microsoft.com/office/drawing/2014/chart" uri="{C3380CC4-5D6E-409C-BE32-E72D297353CC}">
              <c16:uniqueId val="{00000000-08CC-4A25-8D7C-9031449DBD0D}"/>
            </c:ext>
          </c:extLst>
        </c:ser>
        <c:ser>
          <c:idx val="1"/>
          <c:order val="1"/>
          <c:tx>
            <c:strRef>
              <c:f>'Tab2'!$X$100</c:f>
              <c:strCache>
                <c:ptCount val="1"/>
                <c:pt idx="0">
                  <c:v>2018</c:v>
                </c:pt>
              </c:strCache>
            </c:strRef>
          </c:tx>
          <c:spPr>
            <a:pattFill prst="wdUpDiag">
              <a:fgClr>
                <a:srgbClr val="000000"/>
              </a:fgClr>
              <a:bgClr>
                <a:srgbClr val="FFFFFF"/>
              </a:bgClr>
            </a:pattFill>
            <a:ln w="12700">
              <a:solidFill>
                <a:srgbClr val="000000"/>
              </a:solidFill>
              <a:prstDash val="solid"/>
            </a:ln>
          </c:spPr>
          <c:invertIfNegative val="0"/>
          <c:cat>
            <c:strRef>
              <c:f>'Tab2'!$V$101:$V$104</c:f>
              <c:strCache>
                <c:ptCount val="4"/>
                <c:pt idx="0">
                  <c:v>Brann</c:v>
                </c:pt>
                <c:pt idx="1">
                  <c:v>Vann</c:v>
                </c:pt>
                <c:pt idx="2">
                  <c:v>Tyveri</c:v>
                </c:pt>
                <c:pt idx="3">
                  <c:v>Andre</c:v>
                </c:pt>
              </c:strCache>
            </c:strRef>
          </c:cat>
          <c:val>
            <c:numRef>
              <c:f>'Tab2'!$X$101:$X$104</c:f>
              <c:numCache>
                <c:formatCode>#,##0</c:formatCode>
                <c:ptCount val="4"/>
                <c:pt idx="0">
                  <c:v>29861.201098550726</c:v>
                </c:pt>
                <c:pt idx="1">
                  <c:v>90583.531272727269</c:v>
                </c:pt>
                <c:pt idx="2">
                  <c:v>32604.239633540372</c:v>
                </c:pt>
                <c:pt idx="3" formatCode="_ * #\ ##0_ ;_ * \-#\ ##0_ ;_ * &quot;-&quot;??_ ;_ @_ ">
                  <c:v>295967.06376566866</c:v>
                </c:pt>
              </c:numCache>
            </c:numRef>
          </c:val>
          <c:extLst>
            <c:ext xmlns:c16="http://schemas.microsoft.com/office/drawing/2014/chart" uri="{C3380CC4-5D6E-409C-BE32-E72D297353CC}">
              <c16:uniqueId val="{00000001-08CC-4A25-8D7C-9031449DBD0D}"/>
            </c:ext>
          </c:extLst>
        </c:ser>
        <c:ser>
          <c:idx val="2"/>
          <c:order val="2"/>
          <c:tx>
            <c:strRef>
              <c:f>'Tab2'!$Y$100</c:f>
              <c:strCache>
                <c:ptCount val="1"/>
                <c:pt idx="0">
                  <c:v>2019</c:v>
                </c:pt>
              </c:strCache>
            </c:strRef>
          </c:tx>
          <c:spPr>
            <a:solidFill>
              <a:srgbClr val="993366"/>
            </a:solidFill>
            <a:ln w="12700">
              <a:solidFill>
                <a:srgbClr val="000000"/>
              </a:solidFill>
              <a:prstDash val="solid"/>
            </a:ln>
          </c:spPr>
          <c:invertIfNegative val="0"/>
          <c:cat>
            <c:strRef>
              <c:f>'Tab2'!$V$101:$V$104</c:f>
              <c:strCache>
                <c:ptCount val="4"/>
                <c:pt idx="0">
                  <c:v>Brann</c:v>
                </c:pt>
                <c:pt idx="1">
                  <c:v>Vann</c:v>
                </c:pt>
                <c:pt idx="2">
                  <c:v>Tyveri</c:v>
                </c:pt>
                <c:pt idx="3">
                  <c:v>Andre</c:v>
                </c:pt>
              </c:strCache>
            </c:strRef>
          </c:cat>
          <c:val>
            <c:numRef>
              <c:f>'Tab2'!$Y$101:$Y$104</c:f>
              <c:numCache>
                <c:formatCode>#,##0</c:formatCode>
                <c:ptCount val="4"/>
                <c:pt idx="0">
                  <c:v>36333.151440579713</c:v>
                </c:pt>
                <c:pt idx="1">
                  <c:v>90885.235003952577</c:v>
                </c:pt>
                <c:pt idx="2">
                  <c:v>37173.078577639753</c:v>
                </c:pt>
                <c:pt idx="3" formatCode="_ * #\ ##0_ ;_ * \-#\ ##0_ ;_ * &quot;-&quot;??_ ;_ @_ ">
                  <c:v>318893.27676203824</c:v>
                </c:pt>
              </c:numCache>
            </c:numRef>
          </c:val>
          <c:extLst>
            <c:ext xmlns:c16="http://schemas.microsoft.com/office/drawing/2014/chart" uri="{C3380CC4-5D6E-409C-BE32-E72D297353CC}">
              <c16:uniqueId val="{00000002-08CC-4A25-8D7C-9031449DBD0D}"/>
            </c:ext>
          </c:extLst>
        </c:ser>
        <c:dLbls>
          <c:showLegendKey val="0"/>
          <c:showVal val="0"/>
          <c:showCatName val="0"/>
          <c:showSerName val="0"/>
          <c:showPercent val="0"/>
          <c:showBubbleSize val="0"/>
        </c:dLbls>
        <c:gapWidth val="150"/>
        <c:axId val="269555968"/>
        <c:axId val="269565952"/>
      </c:barChart>
      <c:catAx>
        <c:axId val="26955596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269565952"/>
        <c:crosses val="autoZero"/>
        <c:auto val="1"/>
        <c:lblAlgn val="ctr"/>
        <c:lblOffset val="100"/>
        <c:tickLblSkip val="1"/>
        <c:tickMarkSkip val="1"/>
        <c:noMultiLvlLbl val="0"/>
      </c:catAx>
      <c:valAx>
        <c:axId val="269565952"/>
        <c:scaling>
          <c:orientation val="minMax"/>
        </c:scaling>
        <c:delete val="0"/>
        <c:axPos val="l"/>
        <c:majorGridlines>
          <c:spPr>
            <a:ln w="3175">
              <a:solidFill>
                <a:srgbClr val="000000"/>
              </a:solidFill>
              <a:prstDash val="sysDash"/>
            </a:ln>
          </c:spPr>
        </c:majorGridlines>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269555968"/>
        <c:crosses val="autoZero"/>
        <c:crossBetween val="between"/>
      </c:valAx>
      <c:spPr>
        <a:noFill/>
        <a:ln w="12700">
          <a:solidFill>
            <a:srgbClr val="808080"/>
          </a:solidFill>
          <a:prstDash val="solid"/>
        </a:ln>
      </c:spPr>
    </c:plotArea>
    <c:legend>
      <c:legendPos val="r"/>
      <c:layout>
        <c:manualLayout>
          <c:xMode val="edge"/>
          <c:yMode val="edge"/>
          <c:x val="0.51411505994183149"/>
          <c:y val="7.3111766103988021E-2"/>
          <c:w val="0.26486524319596133"/>
          <c:h val="0.16300973350118494"/>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nb-NO"/>
        </a:p>
      </c:txPr>
    </c:legend>
    <c:plotVisOnly val="1"/>
    <c:dispBlanksAs val="gap"/>
    <c:showDLblsOverMax val="0"/>
  </c:chart>
  <c:spPr>
    <a:solidFill>
      <a:srgbClr val="FFFFFF"/>
    </a:solidFill>
    <a:ln w="9525">
      <a:noFill/>
    </a:ln>
  </c:spPr>
  <c:txPr>
    <a:bodyPr/>
    <a:lstStyle/>
    <a:p>
      <a:pPr>
        <a:defRPr sz="1475" b="0" i="0" u="none" strike="noStrike" baseline="0">
          <a:solidFill>
            <a:srgbClr val="000000"/>
          </a:solidFill>
          <a:latin typeface="Arial"/>
          <a:ea typeface="Arial"/>
          <a:cs typeface="Arial"/>
        </a:defRPr>
      </a:pPr>
      <a:endParaRPr lang="nb-NO"/>
    </a:p>
  </c:txPr>
  <c:printSettings>
    <c:headerFooter alignWithMargins="0"/>
    <c:pageMargins b="1" l="0.75000000000001465" r="0.75000000000001465"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097690941385436"/>
          <c:y val="5.0131990708472525E-2"/>
          <c:w val="0.83303730017761957"/>
          <c:h val="0.80211185133556062"/>
        </c:manualLayout>
      </c:layout>
      <c:barChart>
        <c:barDir val="col"/>
        <c:grouping val="clustered"/>
        <c:varyColors val="0"/>
        <c:ser>
          <c:idx val="0"/>
          <c:order val="0"/>
          <c:tx>
            <c:strRef>
              <c:f>'Tab2'!$W$111</c:f>
              <c:strCache>
                <c:ptCount val="1"/>
                <c:pt idx="0">
                  <c:v>2017</c:v>
                </c:pt>
              </c:strCache>
            </c:strRef>
          </c:tx>
          <c:spPr>
            <a:pattFill prst="solidDmnd">
              <a:fgClr>
                <a:srgbClr val="9999FF"/>
              </a:fgClr>
              <a:bgClr>
                <a:srgbClr val="FFFFFF"/>
              </a:bgClr>
            </a:pattFill>
            <a:ln w="12700">
              <a:solidFill>
                <a:srgbClr val="000000"/>
              </a:solidFill>
              <a:prstDash val="solid"/>
            </a:ln>
          </c:spPr>
          <c:invertIfNegative val="0"/>
          <c:cat>
            <c:strRef>
              <c:f>'Tab2'!$V$112:$V$115</c:f>
              <c:strCache>
                <c:ptCount val="4"/>
                <c:pt idx="0">
                  <c:v>Brann                                                       (inkl avbrudd)</c:v>
                </c:pt>
                <c:pt idx="1">
                  <c:v>Vann</c:v>
                </c:pt>
                <c:pt idx="2">
                  <c:v>Tyveri</c:v>
                </c:pt>
                <c:pt idx="3">
                  <c:v>Andre</c:v>
                </c:pt>
              </c:strCache>
            </c:strRef>
          </c:cat>
          <c:val>
            <c:numRef>
              <c:f>'Tab2'!$W$112:$W$115</c:f>
              <c:numCache>
                <c:formatCode>#\ ##0.0</c:formatCode>
                <c:ptCount val="4"/>
                <c:pt idx="0">
                  <c:v>5130.9702485046837</c:v>
                </c:pt>
                <c:pt idx="1">
                  <c:v>3842.2456206754332</c:v>
                </c:pt>
                <c:pt idx="2">
                  <c:v>513.09823303465407</c:v>
                </c:pt>
                <c:pt idx="3">
                  <c:v>2924.6133875220494</c:v>
                </c:pt>
              </c:numCache>
            </c:numRef>
          </c:val>
          <c:extLst>
            <c:ext xmlns:c16="http://schemas.microsoft.com/office/drawing/2014/chart" uri="{C3380CC4-5D6E-409C-BE32-E72D297353CC}">
              <c16:uniqueId val="{00000000-3F4B-49F0-880E-8FA78B3D72F2}"/>
            </c:ext>
          </c:extLst>
        </c:ser>
        <c:ser>
          <c:idx val="1"/>
          <c:order val="1"/>
          <c:tx>
            <c:strRef>
              <c:f>'Tab2'!$X$111</c:f>
              <c:strCache>
                <c:ptCount val="1"/>
                <c:pt idx="0">
                  <c:v>2018</c:v>
                </c:pt>
              </c:strCache>
            </c:strRef>
          </c:tx>
          <c:spPr>
            <a:pattFill prst="wdUpDiag">
              <a:fgClr>
                <a:srgbClr val="000000"/>
              </a:fgClr>
              <a:bgClr>
                <a:srgbClr val="FFFFFF"/>
              </a:bgClr>
            </a:pattFill>
            <a:ln w="12700">
              <a:solidFill>
                <a:srgbClr val="000000"/>
              </a:solidFill>
              <a:prstDash val="solid"/>
            </a:ln>
          </c:spPr>
          <c:invertIfNegative val="0"/>
          <c:cat>
            <c:strRef>
              <c:f>'Tab2'!$V$112:$V$115</c:f>
              <c:strCache>
                <c:ptCount val="4"/>
                <c:pt idx="0">
                  <c:v>Brann                                                       (inkl avbrudd)</c:v>
                </c:pt>
                <c:pt idx="1">
                  <c:v>Vann</c:v>
                </c:pt>
                <c:pt idx="2">
                  <c:v>Tyveri</c:v>
                </c:pt>
                <c:pt idx="3">
                  <c:v>Andre</c:v>
                </c:pt>
              </c:strCache>
            </c:strRef>
          </c:cat>
          <c:val>
            <c:numRef>
              <c:f>'Tab2'!$X$112:$X$115</c:f>
              <c:numCache>
                <c:formatCode>#\ ##0.0</c:formatCode>
                <c:ptCount val="4"/>
                <c:pt idx="0">
                  <c:v>6008.5193230381965</c:v>
                </c:pt>
                <c:pt idx="1">
                  <c:v>4542.7900681448755</c:v>
                </c:pt>
                <c:pt idx="2">
                  <c:v>518.48416537980279</c:v>
                </c:pt>
                <c:pt idx="3">
                  <c:v>4583.4417594381794</c:v>
                </c:pt>
              </c:numCache>
            </c:numRef>
          </c:val>
          <c:extLst>
            <c:ext xmlns:c16="http://schemas.microsoft.com/office/drawing/2014/chart" uri="{C3380CC4-5D6E-409C-BE32-E72D297353CC}">
              <c16:uniqueId val="{00000001-3F4B-49F0-880E-8FA78B3D72F2}"/>
            </c:ext>
          </c:extLst>
        </c:ser>
        <c:ser>
          <c:idx val="2"/>
          <c:order val="2"/>
          <c:tx>
            <c:strRef>
              <c:f>'Tab2'!$Y$111</c:f>
              <c:strCache>
                <c:ptCount val="1"/>
                <c:pt idx="0">
                  <c:v>2019</c:v>
                </c:pt>
              </c:strCache>
            </c:strRef>
          </c:tx>
          <c:spPr>
            <a:solidFill>
              <a:srgbClr val="993366"/>
            </a:solidFill>
            <a:ln w="12700">
              <a:solidFill>
                <a:srgbClr val="000000"/>
              </a:solidFill>
              <a:prstDash val="solid"/>
            </a:ln>
          </c:spPr>
          <c:invertIfNegative val="0"/>
          <c:cat>
            <c:strRef>
              <c:f>'Tab2'!$V$112:$V$115</c:f>
              <c:strCache>
                <c:ptCount val="4"/>
                <c:pt idx="0">
                  <c:v>Brann                                                       (inkl avbrudd)</c:v>
                </c:pt>
                <c:pt idx="1">
                  <c:v>Vann</c:v>
                </c:pt>
                <c:pt idx="2">
                  <c:v>Tyveri</c:v>
                </c:pt>
                <c:pt idx="3">
                  <c:v>Andre</c:v>
                </c:pt>
              </c:strCache>
            </c:strRef>
          </c:cat>
          <c:val>
            <c:numRef>
              <c:f>'Tab2'!$Y$112:$Y$115</c:f>
              <c:numCache>
                <c:formatCode>#\ ##0.0</c:formatCode>
                <c:ptCount val="4"/>
                <c:pt idx="0">
                  <c:v>5443.96352332889</c:v>
                </c:pt>
                <c:pt idx="1">
                  <c:v>4878.2040030121243</c:v>
                </c:pt>
                <c:pt idx="2">
                  <c:v>541.96165842962091</c:v>
                </c:pt>
                <c:pt idx="3">
                  <c:v>3908.1742224569098</c:v>
                </c:pt>
              </c:numCache>
            </c:numRef>
          </c:val>
          <c:extLst>
            <c:ext xmlns:c16="http://schemas.microsoft.com/office/drawing/2014/chart" uri="{C3380CC4-5D6E-409C-BE32-E72D297353CC}">
              <c16:uniqueId val="{00000002-3F4B-49F0-880E-8FA78B3D72F2}"/>
            </c:ext>
          </c:extLst>
        </c:ser>
        <c:dLbls>
          <c:showLegendKey val="0"/>
          <c:showVal val="0"/>
          <c:showCatName val="0"/>
          <c:showSerName val="0"/>
          <c:showPercent val="0"/>
          <c:showBubbleSize val="0"/>
        </c:dLbls>
        <c:gapWidth val="150"/>
        <c:axId val="269611392"/>
        <c:axId val="269612928"/>
      </c:barChart>
      <c:catAx>
        <c:axId val="26961139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269612928"/>
        <c:crosses val="autoZero"/>
        <c:auto val="1"/>
        <c:lblAlgn val="ctr"/>
        <c:lblOffset val="100"/>
        <c:tickLblSkip val="1"/>
        <c:tickMarkSkip val="1"/>
        <c:noMultiLvlLbl val="0"/>
      </c:catAx>
      <c:valAx>
        <c:axId val="269612928"/>
        <c:scaling>
          <c:orientation val="minMax"/>
        </c:scaling>
        <c:delete val="0"/>
        <c:axPos val="l"/>
        <c:majorGridlines>
          <c:spPr>
            <a:ln w="3175">
              <a:solidFill>
                <a:srgbClr val="000000"/>
              </a:solidFill>
              <a:prstDash val="sysDash"/>
            </a:ln>
          </c:spPr>
        </c:majorGridlines>
        <c:title>
          <c:tx>
            <c:rich>
              <a:bodyPr/>
              <a:lstStyle/>
              <a:p>
                <a:pPr>
                  <a:defRPr sz="800" b="0" i="0" u="none" strike="noStrike" baseline="0">
                    <a:solidFill>
                      <a:srgbClr val="000000"/>
                    </a:solidFill>
                    <a:latin typeface="Arial"/>
                    <a:ea typeface="Arial"/>
                    <a:cs typeface="Arial"/>
                  </a:defRPr>
                </a:pPr>
                <a:r>
                  <a:rPr lang="nb-NO"/>
                  <a:t>Millioner kroner</a:t>
                </a:r>
              </a:p>
            </c:rich>
          </c:tx>
          <c:layout>
            <c:manualLayout>
              <c:xMode val="edge"/>
              <c:yMode val="edge"/>
              <c:x val="4.7957371225577312E-2"/>
              <c:y val="0.3509240368700724"/>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269611392"/>
        <c:crosses val="autoZero"/>
        <c:crossBetween val="between"/>
      </c:valAx>
      <c:spPr>
        <a:noFill/>
        <a:ln w="12700">
          <a:solidFill>
            <a:srgbClr val="808080"/>
          </a:solidFill>
          <a:prstDash val="solid"/>
        </a:ln>
      </c:spPr>
    </c:plotArea>
    <c:legend>
      <c:legendPos val="r"/>
      <c:layout>
        <c:manualLayout>
          <c:xMode val="edge"/>
          <c:yMode val="edge"/>
          <c:x val="0.58436944937832958"/>
          <c:y val="8.4432717678099983E-2"/>
          <c:w val="0.26110124333925488"/>
          <c:h val="0.13720344323714703"/>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nb-NO"/>
        </a:p>
      </c:txPr>
    </c:legend>
    <c:plotVisOnly val="1"/>
    <c:dispBlanksAs val="gap"/>
    <c:showDLblsOverMax val="0"/>
  </c:chart>
  <c:spPr>
    <a:solidFill>
      <a:srgbClr val="FFFFFF"/>
    </a:solidFill>
    <a:ln w="9525">
      <a:noFill/>
    </a:ln>
  </c:spPr>
  <c:txPr>
    <a:bodyPr/>
    <a:lstStyle/>
    <a:p>
      <a:pPr>
        <a:defRPr sz="1500" b="0" i="0" u="none" strike="noStrike" baseline="0">
          <a:solidFill>
            <a:srgbClr val="000000"/>
          </a:solidFill>
          <a:latin typeface="Arial"/>
          <a:ea typeface="Arial"/>
          <a:cs typeface="Arial"/>
        </a:defRPr>
      </a:pPr>
      <a:endParaRPr lang="nb-NO"/>
    </a:p>
  </c:txPr>
  <c:printSettings>
    <c:headerFooter alignWithMargins="0"/>
    <c:pageMargins b="1" l="0.75000000000001465" r="0.75000000000001465" t="1" header="0.5" footer="0.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hPercent val="162"/>
      <c:rotY val="20"/>
      <c:depthPercent val="100"/>
      <c:rAngAx val="1"/>
    </c:view3D>
    <c:floor>
      <c:thickness val="0"/>
      <c:spPr>
        <a:solidFill>
          <a:srgbClr val="C0C0C0"/>
        </a:solidFill>
        <a:ln w="3175">
          <a:solidFill>
            <a:srgbClr val="000000"/>
          </a:solidFill>
          <a:prstDash val="solid"/>
        </a:ln>
      </c:spPr>
    </c:floor>
    <c:sideWall>
      <c:thickness val="0"/>
      <c:spPr>
        <a:solidFill>
          <a:srgbClr val="FFFFFF"/>
        </a:solidFill>
        <a:ln w="12700">
          <a:solidFill>
            <a:srgbClr val="808080"/>
          </a:solidFill>
          <a:prstDash val="solid"/>
        </a:ln>
      </c:spPr>
    </c:sideWall>
    <c:backWall>
      <c:thickness val="0"/>
      <c:spPr>
        <a:solidFill>
          <a:srgbClr val="FFFFFF"/>
        </a:solidFill>
        <a:ln w="12700">
          <a:solidFill>
            <a:srgbClr val="808080"/>
          </a:solidFill>
          <a:prstDash val="solid"/>
        </a:ln>
      </c:spPr>
    </c:backWall>
    <c:plotArea>
      <c:layout>
        <c:manualLayout>
          <c:layoutTarget val="inner"/>
          <c:xMode val="edge"/>
          <c:yMode val="edge"/>
          <c:x val="0.14849637689473844"/>
          <c:y val="1.0723874628062159E-2"/>
          <c:w val="0.81766992340769262"/>
          <c:h val="0.80965253441863694"/>
        </c:manualLayout>
      </c:layout>
      <c:bar3DChart>
        <c:barDir val="bar"/>
        <c:grouping val="clustered"/>
        <c:varyColors val="0"/>
        <c:ser>
          <c:idx val="0"/>
          <c:order val="0"/>
          <c:tx>
            <c:strRef>
              <c:f>'Tab2'!$W$121</c:f>
              <c:strCache>
                <c:ptCount val="1"/>
                <c:pt idx="0">
                  <c:v>2017</c:v>
                </c:pt>
              </c:strCache>
            </c:strRef>
          </c:tx>
          <c:spPr>
            <a:pattFill prst="narVert">
              <a:fgClr>
                <a:srgbClr val="3366FF"/>
              </a:fgClr>
              <a:bgClr>
                <a:srgbClr val="FFFFFF"/>
              </a:bgClr>
            </a:pattFill>
            <a:ln w="12700">
              <a:solidFill>
                <a:srgbClr val="000000"/>
              </a:solidFill>
              <a:prstDash val="solid"/>
            </a:ln>
          </c:spPr>
          <c:invertIfNegative val="0"/>
          <c:cat>
            <c:strRef>
              <c:f>'Tab2'!$V$122:$V$125</c:f>
              <c:strCache>
                <c:ptCount val="4"/>
                <c:pt idx="0">
                  <c:v>Reise</c:v>
                </c:pt>
                <c:pt idx="1">
                  <c:v>Villa</c:v>
                </c:pt>
                <c:pt idx="2">
                  <c:v>Hjem</c:v>
                </c:pt>
                <c:pt idx="3">
                  <c:v>Næring</c:v>
                </c:pt>
              </c:strCache>
            </c:strRef>
          </c:cat>
          <c:val>
            <c:numRef>
              <c:f>'Tab2'!$W$122:$W$125</c:f>
              <c:numCache>
                <c:formatCode>0</c:formatCode>
                <c:ptCount val="4"/>
                <c:pt idx="0">
                  <c:v>320312</c:v>
                </c:pt>
                <c:pt idx="1">
                  <c:v>110274.26144282252</c:v>
                </c:pt>
                <c:pt idx="2">
                  <c:v>154164.24328634961</c:v>
                </c:pt>
                <c:pt idx="3">
                  <c:v>39410.456254180601</c:v>
                </c:pt>
              </c:numCache>
            </c:numRef>
          </c:val>
          <c:extLst>
            <c:ext xmlns:c16="http://schemas.microsoft.com/office/drawing/2014/chart" uri="{C3380CC4-5D6E-409C-BE32-E72D297353CC}">
              <c16:uniqueId val="{00000000-D0D5-4F54-A685-BCAE46FDAC00}"/>
            </c:ext>
          </c:extLst>
        </c:ser>
        <c:ser>
          <c:idx val="1"/>
          <c:order val="1"/>
          <c:tx>
            <c:strRef>
              <c:f>'Tab2'!$X$121</c:f>
              <c:strCache>
                <c:ptCount val="1"/>
                <c:pt idx="0">
                  <c:v>2018</c:v>
                </c:pt>
              </c:strCache>
            </c:strRef>
          </c:tx>
          <c:spPr>
            <a:solidFill>
              <a:srgbClr val="FFFFCC"/>
            </a:solidFill>
            <a:ln w="12700">
              <a:solidFill>
                <a:srgbClr val="000000"/>
              </a:solidFill>
              <a:prstDash val="solid"/>
            </a:ln>
          </c:spPr>
          <c:invertIfNegative val="0"/>
          <c:cat>
            <c:strRef>
              <c:f>'Tab2'!$V$122:$V$125</c:f>
              <c:strCache>
                <c:ptCount val="4"/>
                <c:pt idx="0">
                  <c:v>Reise</c:v>
                </c:pt>
                <c:pt idx="1">
                  <c:v>Villa</c:v>
                </c:pt>
                <c:pt idx="2">
                  <c:v>Hjem</c:v>
                </c:pt>
                <c:pt idx="3">
                  <c:v>Næring</c:v>
                </c:pt>
              </c:strCache>
            </c:strRef>
          </c:cat>
          <c:val>
            <c:numRef>
              <c:f>'Tab2'!$X$122:$X$125</c:f>
              <c:numCache>
                <c:formatCode>0</c:formatCode>
                <c:ptCount val="4"/>
                <c:pt idx="0">
                  <c:v>333492</c:v>
                </c:pt>
                <c:pt idx="1">
                  <c:v>130489.07753884791</c:v>
                </c:pt>
                <c:pt idx="2">
                  <c:v>177509.24782434295</c:v>
                </c:pt>
                <c:pt idx="3">
                  <c:v>47104.096671444495</c:v>
                </c:pt>
              </c:numCache>
            </c:numRef>
          </c:val>
          <c:extLst>
            <c:ext xmlns:c16="http://schemas.microsoft.com/office/drawing/2014/chart" uri="{C3380CC4-5D6E-409C-BE32-E72D297353CC}">
              <c16:uniqueId val="{00000001-D0D5-4F54-A685-BCAE46FDAC00}"/>
            </c:ext>
          </c:extLst>
        </c:ser>
        <c:ser>
          <c:idx val="2"/>
          <c:order val="2"/>
          <c:tx>
            <c:strRef>
              <c:f>'Tab2'!$Y$121</c:f>
              <c:strCache>
                <c:ptCount val="1"/>
                <c:pt idx="0">
                  <c:v>2019</c:v>
                </c:pt>
              </c:strCache>
            </c:strRef>
          </c:tx>
          <c:spPr>
            <a:solidFill>
              <a:srgbClr val="993366"/>
            </a:solidFill>
            <a:ln w="12700">
              <a:solidFill>
                <a:srgbClr val="000000"/>
              </a:solidFill>
              <a:prstDash val="solid"/>
            </a:ln>
          </c:spPr>
          <c:invertIfNegative val="0"/>
          <c:cat>
            <c:strRef>
              <c:f>'Tab2'!$V$122:$V$125</c:f>
              <c:strCache>
                <c:ptCount val="4"/>
                <c:pt idx="0">
                  <c:v>Reise</c:v>
                </c:pt>
                <c:pt idx="1">
                  <c:v>Villa</c:v>
                </c:pt>
                <c:pt idx="2">
                  <c:v>Hjem</c:v>
                </c:pt>
                <c:pt idx="3">
                  <c:v>Næring</c:v>
                </c:pt>
              </c:strCache>
            </c:strRef>
          </c:cat>
          <c:val>
            <c:numRef>
              <c:f>'Tab2'!$Y$122:$Y$125</c:f>
              <c:numCache>
                <c:formatCode>0</c:formatCode>
                <c:ptCount val="4"/>
                <c:pt idx="0">
                  <c:v>351332</c:v>
                </c:pt>
                <c:pt idx="1">
                  <c:v>131285.51443171315</c:v>
                </c:pt>
                <c:pt idx="2">
                  <c:v>214593.35876105269</c:v>
                </c:pt>
                <c:pt idx="3">
                  <c:v>46862.684981684986</c:v>
                </c:pt>
              </c:numCache>
            </c:numRef>
          </c:val>
          <c:extLst>
            <c:ext xmlns:c16="http://schemas.microsoft.com/office/drawing/2014/chart" uri="{C3380CC4-5D6E-409C-BE32-E72D297353CC}">
              <c16:uniqueId val="{00000002-D0D5-4F54-A685-BCAE46FDAC00}"/>
            </c:ext>
          </c:extLst>
        </c:ser>
        <c:dLbls>
          <c:showLegendKey val="0"/>
          <c:showVal val="0"/>
          <c:showCatName val="0"/>
          <c:showSerName val="0"/>
          <c:showPercent val="0"/>
          <c:showBubbleSize val="0"/>
        </c:dLbls>
        <c:gapWidth val="150"/>
        <c:shape val="cylinder"/>
        <c:axId val="270634368"/>
        <c:axId val="270640256"/>
        <c:axId val="0"/>
      </c:bar3DChart>
      <c:catAx>
        <c:axId val="270634368"/>
        <c:scaling>
          <c:orientation val="minMax"/>
        </c:scaling>
        <c:delete val="0"/>
        <c:axPos val="l"/>
        <c:numFmt formatCode="General"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270640256"/>
        <c:crosses val="autoZero"/>
        <c:auto val="1"/>
        <c:lblAlgn val="ctr"/>
        <c:lblOffset val="100"/>
        <c:tickLblSkip val="1"/>
        <c:tickMarkSkip val="1"/>
        <c:noMultiLvlLbl val="0"/>
      </c:catAx>
      <c:valAx>
        <c:axId val="270640256"/>
        <c:scaling>
          <c:orientation val="minMax"/>
        </c:scaling>
        <c:delete val="0"/>
        <c:axPos val="b"/>
        <c:majorGridlines>
          <c:spPr>
            <a:ln w="3175">
              <a:solidFill>
                <a:srgbClr val="000000"/>
              </a:solidFill>
              <a:prstDash val="sysDash"/>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270634368"/>
        <c:crosses val="autoZero"/>
        <c:crossBetween val="between"/>
      </c:valAx>
      <c:spPr>
        <a:noFill/>
        <a:ln w="25400">
          <a:noFill/>
        </a:ln>
      </c:spPr>
    </c:plotArea>
    <c:legend>
      <c:legendPos val="r"/>
      <c:layout>
        <c:manualLayout>
          <c:xMode val="edge"/>
          <c:yMode val="edge"/>
          <c:x val="0.82142936080358375"/>
          <c:y val="0.11796274795409577"/>
          <c:w val="9.774436090226106E-2"/>
          <c:h val="0.23056328414713312"/>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nb-NO"/>
        </a:p>
      </c:txPr>
    </c:legend>
    <c:plotVisOnly val="1"/>
    <c:dispBlanksAs val="gap"/>
    <c:showDLblsOverMax val="0"/>
  </c:chart>
  <c:spPr>
    <a:solidFill>
      <a:srgbClr val="FFFFFF"/>
    </a:solidFill>
    <a:ln w="9525">
      <a:noFill/>
    </a:ln>
  </c:spPr>
  <c:txPr>
    <a:bodyPr/>
    <a:lstStyle/>
    <a:p>
      <a:pPr>
        <a:defRPr sz="1425" b="0" i="0" u="none" strike="noStrike" baseline="0">
          <a:solidFill>
            <a:srgbClr val="000000"/>
          </a:solidFill>
          <a:latin typeface="Arial"/>
          <a:ea typeface="Arial"/>
          <a:cs typeface="Arial"/>
        </a:defRPr>
      </a:pPr>
      <a:endParaRPr lang="nb-NO"/>
    </a:p>
  </c:txPr>
  <c:printSettings>
    <c:headerFooter alignWithMargins="0"/>
    <c:pageMargins b="1" l="0.75000000000001465" r="0.75000000000001465" t="1"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hPercent val="136"/>
      <c:rotY val="20"/>
      <c:depthPercent val="100"/>
      <c:rAngAx val="1"/>
    </c:view3D>
    <c:floor>
      <c:thickness val="0"/>
      <c:spPr>
        <a:solidFill>
          <a:srgbClr val="C0C0C0"/>
        </a:solidFill>
        <a:ln w="3175">
          <a:solidFill>
            <a:srgbClr val="000000"/>
          </a:solidFill>
          <a:prstDash val="solid"/>
        </a:ln>
      </c:spPr>
    </c:floor>
    <c:sideWall>
      <c:thickness val="0"/>
      <c:spPr>
        <a:solidFill>
          <a:srgbClr val="FFFFFF"/>
        </a:solidFill>
        <a:ln w="12700">
          <a:solidFill>
            <a:srgbClr val="808080"/>
          </a:solidFill>
          <a:prstDash val="solid"/>
        </a:ln>
      </c:spPr>
    </c:sideWall>
    <c:backWall>
      <c:thickness val="0"/>
      <c:spPr>
        <a:solidFill>
          <a:srgbClr val="FFFFFF"/>
        </a:solidFill>
        <a:ln w="12700">
          <a:solidFill>
            <a:srgbClr val="808080"/>
          </a:solidFill>
          <a:prstDash val="solid"/>
        </a:ln>
      </c:spPr>
    </c:backWall>
    <c:plotArea>
      <c:layout>
        <c:manualLayout>
          <c:layoutTarget val="inner"/>
          <c:xMode val="edge"/>
          <c:yMode val="edge"/>
          <c:x val="0.17041229666341193"/>
          <c:y val="3.8990869354381667E-2"/>
          <c:w val="0.79213628009473036"/>
          <c:h val="0.80045961203995464"/>
        </c:manualLayout>
      </c:layout>
      <c:bar3DChart>
        <c:barDir val="bar"/>
        <c:grouping val="clustered"/>
        <c:varyColors val="0"/>
        <c:ser>
          <c:idx val="0"/>
          <c:order val="0"/>
          <c:tx>
            <c:strRef>
              <c:f>'Tab2'!$W$128</c:f>
              <c:strCache>
                <c:ptCount val="1"/>
                <c:pt idx="0">
                  <c:v>2017</c:v>
                </c:pt>
              </c:strCache>
            </c:strRef>
          </c:tx>
          <c:spPr>
            <a:pattFill prst="narVert">
              <a:fgClr>
                <a:srgbClr val="3366FF"/>
              </a:fgClr>
              <a:bgClr>
                <a:srgbClr val="FFFFFF"/>
              </a:bgClr>
            </a:pattFill>
            <a:ln w="12700">
              <a:solidFill>
                <a:srgbClr val="000000"/>
              </a:solidFill>
              <a:prstDash val="solid"/>
            </a:ln>
          </c:spPr>
          <c:invertIfNegative val="0"/>
          <c:cat>
            <c:strRef>
              <c:f>'Tab2'!$V$129:$V$133</c:f>
              <c:strCache>
                <c:ptCount val="5"/>
                <c:pt idx="0">
                  <c:v>Fritidsbåt</c:v>
                </c:pt>
                <c:pt idx="1">
                  <c:v>Ansvar</c:v>
                </c:pt>
                <c:pt idx="2">
                  <c:v>Yrkesskade</c:v>
                </c:pt>
                <c:pt idx="3">
                  <c:v>Hytte</c:v>
                </c:pt>
                <c:pt idx="4">
                  <c:v>Ulykke</c:v>
                </c:pt>
              </c:strCache>
            </c:strRef>
          </c:cat>
          <c:val>
            <c:numRef>
              <c:f>'Tab2'!$W$129:$W$133</c:f>
              <c:numCache>
                <c:formatCode>0</c:formatCode>
                <c:ptCount val="5"/>
                <c:pt idx="0">
                  <c:v>9835.3017456359103</c:v>
                </c:pt>
                <c:pt idx="1">
                  <c:v>9480.0519999999997</c:v>
                </c:pt>
                <c:pt idx="2">
                  <c:v>10163.02716734694</c:v>
                </c:pt>
                <c:pt idx="3">
                  <c:v>14731.573261968293</c:v>
                </c:pt>
                <c:pt idx="4">
                  <c:v>23196.560000000001</c:v>
                </c:pt>
              </c:numCache>
            </c:numRef>
          </c:val>
          <c:extLst>
            <c:ext xmlns:c16="http://schemas.microsoft.com/office/drawing/2014/chart" uri="{C3380CC4-5D6E-409C-BE32-E72D297353CC}">
              <c16:uniqueId val="{00000000-5C52-4D4B-8DAE-66DEFB61BB20}"/>
            </c:ext>
          </c:extLst>
        </c:ser>
        <c:ser>
          <c:idx val="1"/>
          <c:order val="1"/>
          <c:tx>
            <c:strRef>
              <c:f>'Tab2'!$X$128</c:f>
              <c:strCache>
                <c:ptCount val="1"/>
                <c:pt idx="0">
                  <c:v>2018</c:v>
                </c:pt>
              </c:strCache>
            </c:strRef>
          </c:tx>
          <c:spPr>
            <a:solidFill>
              <a:srgbClr val="FFFFCC"/>
            </a:solidFill>
            <a:ln w="12700">
              <a:solidFill>
                <a:srgbClr val="000000"/>
              </a:solidFill>
              <a:prstDash val="solid"/>
            </a:ln>
          </c:spPr>
          <c:invertIfNegative val="0"/>
          <c:cat>
            <c:strRef>
              <c:f>'Tab2'!$V$129:$V$133</c:f>
              <c:strCache>
                <c:ptCount val="5"/>
                <c:pt idx="0">
                  <c:v>Fritidsbåt</c:v>
                </c:pt>
                <c:pt idx="1">
                  <c:v>Ansvar</c:v>
                </c:pt>
                <c:pt idx="2">
                  <c:v>Yrkesskade</c:v>
                </c:pt>
                <c:pt idx="3">
                  <c:v>Hytte</c:v>
                </c:pt>
                <c:pt idx="4">
                  <c:v>Ulykke</c:v>
                </c:pt>
              </c:strCache>
            </c:strRef>
          </c:cat>
          <c:val>
            <c:numRef>
              <c:f>'Tab2'!$X$129:$X$133</c:f>
              <c:numCache>
                <c:formatCode>0</c:formatCode>
                <c:ptCount val="5"/>
                <c:pt idx="0">
                  <c:v>12077.194513715711</c:v>
                </c:pt>
                <c:pt idx="1">
                  <c:v>11145.096</c:v>
                </c:pt>
                <c:pt idx="2">
                  <c:v>10868.335804081633</c:v>
                </c:pt>
                <c:pt idx="3">
                  <c:v>18679.167529953433</c:v>
                </c:pt>
                <c:pt idx="4">
                  <c:v>24026.283333333333</c:v>
                </c:pt>
              </c:numCache>
            </c:numRef>
          </c:val>
          <c:extLst>
            <c:ext xmlns:c16="http://schemas.microsoft.com/office/drawing/2014/chart" uri="{C3380CC4-5D6E-409C-BE32-E72D297353CC}">
              <c16:uniqueId val="{00000001-5C52-4D4B-8DAE-66DEFB61BB20}"/>
            </c:ext>
          </c:extLst>
        </c:ser>
        <c:ser>
          <c:idx val="2"/>
          <c:order val="2"/>
          <c:tx>
            <c:strRef>
              <c:f>'Tab2'!$Y$128</c:f>
              <c:strCache>
                <c:ptCount val="1"/>
                <c:pt idx="0">
                  <c:v>2019</c:v>
                </c:pt>
              </c:strCache>
            </c:strRef>
          </c:tx>
          <c:spPr>
            <a:solidFill>
              <a:srgbClr val="993366"/>
            </a:solidFill>
            <a:ln w="12700">
              <a:solidFill>
                <a:srgbClr val="000000"/>
              </a:solidFill>
              <a:prstDash val="solid"/>
            </a:ln>
          </c:spPr>
          <c:invertIfNegative val="0"/>
          <c:cat>
            <c:strRef>
              <c:f>'Tab2'!$V$129:$V$133</c:f>
              <c:strCache>
                <c:ptCount val="5"/>
                <c:pt idx="0">
                  <c:v>Fritidsbåt</c:v>
                </c:pt>
                <c:pt idx="1">
                  <c:v>Ansvar</c:v>
                </c:pt>
                <c:pt idx="2">
                  <c:v>Yrkesskade</c:v>
                </c:pt>
                <c:pt idx="3">
                  <c:v>Hytte</c:v>
                </c:pt>
                <c:pt idx="4">
                  <c:v>Ulykke</c:v>
                </c:pt>
              </c:strCache>
            </c:strRef>
          </c:cat>
          <c:val>
            <c:numRef>
              <c:f>'Tab2'!$Y$129:$Y$133</c:f>
              <c:numCache>
                <c:formatCode>0</c:formatCode>
                <c:ptCount val="5"/>
                <c:pt idx="0">
                  <c:v>10785.192019950126</c:v>
                </c:pt>
                <c:pt idx="1">
                  <c:v>11204.776</c:v>
                </c:pt>
                <c:pt idx="2">
                  <c:v>9550.4275265306132</c:v>
                </c:pt>
                <c:pt idx="3">
                  <c:v>16571.543347459843</c:v>
                </c:pt>
                <c:pt idx="4">
                  <c:v>27254.799999999999</c:v>
                </c:pt>
              </c:numCache>
            </c:numRef>
          </c:val>
          <c:extLst>
            <c:ext xmlns:c16="http://schemas.microsoft.com/office/drawing/2014/chart" uri="{C3380CC4-5D6E-409C-BE32-E72D297353CC}">
              <c16:uniqueId val="{00000002-5C52-4D4B-8DAE-66DEFB61BB20}"/>
            </c:ext>
          </c:extLst>
        </c:ser>
        <c:dLbls>
          <c:showLegendKey val="0"/>
          <c:showVal val="0"/>
          <c:showCatName val="0"/>
          <c:showSerName val="0"/>
          <c:showPercent val="0"/>
          <c:showBubbleSize val="0"/>
        </c:dLbls>
        <c:gapWidth val="150"/>
        <c:shape val="cylinder"/>
        <c:axId val="270747904"/>
        <c:axId val="270757888"/>
        <c:axId val="0"/>
      </c:bar3DChart>
      <c:catAx>
        <c:axId val="270747904"/>
        <c:scaling>
          <c:orientation val="minMax"/>
        </c:scaling>
        <c:delete val="0"/>
        <c:axPos val="l"/>
        <c:numFmt formatCode="General"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270757888"/>
        <c:crosses val="autoZero"/>
        <c:auto val="1"/>
        <c:lblAlgn val="ctr"/>
        <c:lblOffset val="100"/>
        <c:tickLblSkip val="1"/>
        <c:tickMarkSkip val="1"/>
        <c:noMultiLvlLbl val="0"/>
      </c:catAx>
      <c:valAx>
        <c:axId val="270757888"/>
        <c:scaling>
          <c:orientation val="minMax"/>
        </c:scaling>
        <c:delete val="0"/>
        <c:axPos val="b"/>
        <c:majorGridlines>
          <c:spPr>
            <a:ln w="3175">
              <a:solidFill>
                <a:srgbClr val="000000"/>
              </a:solidFill>
              <a:prstDash val="sysDash"/>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270747904"/>
        <c:crosses val="autoZero"/>
        <c:crossBetween val="between"/>
      </c:valAx>
      <c:spPr>
        <a:noFill/>
        <a:ln w="25400">
          <a:noFill/>
        </a:ln>
      </c:spPr>
    </c:plotArea>
    <c:legend>
      <c:legendPos val="r"/>
      <c:layout>
        <c:manualLayout>
          <c:xMode val="edge"/>
          <c:yMode val="edge"/>
          <c:x val="0.80711767770601706"/>
          <c:y val="0.56422090587300433"/>
          <c:w val="0.10299645128629202"/>
          <c:h val="0.15825712152953444"/>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nb-NO"/>
        </a:p>
      </c:txPr>
    </c:legend>
    <c:plotVisOnly val="1"/>
    <c:dispBlanksAs val="gap"/>
    <c:showDLblsOverMax val="0"/>
  </c:chart>
  <c:spPr>
    <a:solidFill>
      <a:srgbClr val="FFFFFF"/>
    </a:solidFill>
    <a:ln w="9525">
      <a:noFill/>
    </a:ln>
  </c:spPr>
  <c:txPr>
    <a:bodyPr/>
    <a:lstStyle/>
    <a:p>
      <a:pPr>
        <a:defRPr sz="1425" b="0" i="0" u="none" strike="noStrike" baseline="0">
          <a:solidFill>
            <a:srgbClr val="000000"/>
          </a:solidFill>
          <a:latin typeface="Arial"/>
          <a:ea typeface="Arial"/>
          <a:cs typeface="Arial"/>
        </a:defRPr>
      </a:pPr>
      <a:endParaRPr lang="nb-NO"/>
    </a:p>
  </c:txPr>
  <c:printSettings>
    <c:headerFooter alignWithMargins="0"/>
    <c:pageMargins b="1" l="0.75000000000001465" r="0.75000000000001465" t="1" header="0.5" footer="0.5"/>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272566614958665"/>
          <c:y val="4.7126376644779866E-2"/>
          <c:w val="0.72887760912680699"/>
          <c:h val="0.75545138253069033"/>
        </c:manualLayout>
      </c:layout>
      <c:lineChart>
        <c:grouping val="standard"/>
        <c:varyColors val="0"/>
        <c:ser>
          <c:idx val="0"/>
          <c:order val="0"/>
          <c:tx>
            <c:strRef>
              <c:f>'Tab2'!$M$70</c:f>
              <c:strCache>
                <c:ptCount val="1"/>
                <c:pt idx="0">
                  <c:v>Erstatning</c:v>
                </c:pt>
              </c:strCache>
            </c:strRef>
          </c:tx>
          <c:spPr>
            <a:ln w="25400"/>
          </c:spPr>
          <c:marker>
            <c:symbol val="none"/>
          </c:marker>
          <c:cat>
            <c:numRef>
              <c:f>'Tab2'!$K$71:$K$218</c:f>
              <c:numCache>
                <c:formatCode>General</c:formatCode>
                <c:ptCount val="148"/>
                <c:pt idx="0">
                  <c:v>1983</c:v>
                </c:pt>
                <c:pt idx="4">
                  <c:v>1984</c:v>
                </c:pt>
                <c:pt idx="8">
                  <c:v>1985</c:v>
                </c:pt>
                <c:pt idx="12">
                  <c:v>1986</c:v>
                </c:pt>
                <c:pt idx="16">
                  <c:v>1987</c:v>
                </c:pt>
                <c:pt idx="20">
                  <c:v>1988</c:v>
                </c:pt>
                <c:pt idx="24">
                  <c:v>1989</c:v>
                </c:pt>
                <c:pt idx="28">
                  <c:v>1990</c:v>
                </c:pt>
                <c:pt idx="32">
                  <c:v>1991</c:v>
                </c:pt>
                <c:pt idx="36">
                  <c:v>1992</c:v>
                </c:pt>
                <c:pt idx="40">
                  <c:v>1993</c:v>
                </c:pt>
                <c:pt idx="44">
                  <c:v>1994</c:v>
                </c:pt>
                <c:pt idx="48">
                  <c:v>1995</c:v>
                </c:pt>
                <c:pt idx="52">
                  <c:v>1996</c:v>
                </c:pt>
                <c:pt idx="56">
                  <c:v>1997</c:v>
                </c:pt>
                <c:pt idx="60">
                  <c:v>1998</c:v>
                </c:pt>
                <c:pt idx="64">
                  <c:v>1999</c:v>
                </c:pt>
                <c:pt idx="68">
                  <c:v>2000</c:v>
                </c:pt>
                <c:pt idx="72">
                  <c:v>2001</c:v>
                </c:pt>
                <c:pt idx="76">
                  <c:v>2002</c:v>
                </c:pt>
                <c:pt idx="80">
                  <c:v>2003</c:v>
                </c:pt>
                <c:pt idx="84">
                  <c:v>2004</c:v>
                </c:pt>
                <c:pt idx="88">
                  <c:v>2005</c:v>
                </c:pt>
                <c:pt idx="92">
                  <c:v>2006</c:v>
                </c:pt>
                <c:pt idx="96">
                  <c:v>2007</c:v>
                </c:pt>
                <c:pt idx="100">
                  <c:v>2008</c:v>
                </c:pt>
                <c:pt idx="104">
                  <c:v>2009</c:v>
                </c:pt>
                <c:pt idx="108">
                  <c:v>2010</c:v>
                </c:pt>
                <c:pt idx="112">
                  <c:v>2011</c:v>
                </c:pt>
                <c:pt idx="116">
                  <c:v>2012</c:v>
                </c:pt>
                <c:pt idx="120">
                  <c:v>2013</c:v>
                </c:pt>
                <c:pt idx="124">
                  <c:v>2014</c:v>
                </c:pt>
                <c:pt idx="128">
                  <c:v>2015</c:v>
                </c:pt>
                <c:pt idx="132">
                  <c:v>2016</c:v>
                </c:pt>
                <c:pt idx="136">
                  <c:v>2017</c:v>
                </c:pt>
                <c:pt idx="140">
                  <c:v>2018</c:v>
                </c:pt>
                <c:pt idx="144">
                  <c:v>2019</c:v>
                </c:pt>
              </c:numCache>
            </c:numRef>
          </c:cat>
          <c:val>
            <c:numRef>
              <c:f>'Tab2'!$N$71:$N$218</c:f>
              <c:numCache>
                <c:formatCode>#\ ##0.0</c:formatCode>
                <c:ptCount val="148"/>
                <c:pt idx="0">
                  <c:v>227.96356877323421</c:v>
                </c:pt>
                <c:pt idx="1">
                  <c:v>190.95502742230349</c:v>
                </c:pt>
                <c:pt idx="2">
                  <c:v>174.62784810126584</c:v>
                </c:pt>
                <c:pt idx="3">
                  <c:v>213.91245551601423</c:v>
                </c:pt>
                <c:pt idx="4">
                  <c:v>229.3842931937173</c:v>
                </c:pt>
                <c:pt idx="5">
                  <c:v>216.98075601374566</c:v>
                </c:pt>
                <c:pt idx="6">
                  <c:v>215.13253833049401</c:v>
                </c:pt>
                <c:pt idx="7">
                  <c:v>240.62684563758384</c:v>
                </c:pt>
                <c:pt idx="8">
                  <c:v>260.02913907284767</c:v>
                </c:pt>
                <c:pt idx="9">
                  <c:v>284.21918699186989</c:v>
                </c:pt>
                <c:pt idx="10">
                  <c:v>251.8516129032258</c:v>
                </c:pt>
                <c:pt idx="11">
                  <c:v>285.63365079365076</c:v>
                </c:pt>
                <c:pt idx="12">
                  <c:v>264.82624999999996</c:v>
                </c:pt>
                <c:pt idx="13">
                  <c:v>283.37538461538463</c:v>
                </c:pt>
                <c:pt idx="14">
                  <c:v>228.07880597014923</c:v>
                </c:pt>
                <c:pt idx="15">
                  <c:v>266.90452554744525</c:v>
                </c:pt>
                <c:pt idx="16">
                  <c:v>291.58808510638295</c:v>
                </c:pt>
                <c:pt idx="17">
                  <c:v>287.74357541899445</c:v>
                </c:pt>
                <c:pt idx="18">
                  <c:v>235.47275242047027</c:v>
                </c:pt>
                <c:pt idx="19">
                  <c:v>277.04076086956519</c:v>
                </c:pt>
                <c:pt idx="20">
                  <c:v>263.6872340425532</c:v>
                </c:pt>
                <c:pt idx="21">
                  <c:v>187.96818774445893</c:v>
                </c:pt>
                <c:pt idx="22">
                  <c:v>292.76519480519477</c:v>
                </c:pt>
                <c:pt idx="23">
                  <c:v>387.83201024327792</c:v>
                </c:pt>
                <c:pt idx="24">
                  <c:v>273.99442332065905</c:v>
                </c:pt>
                <c:pt idx="25">
                  <c:v>221.45305105853052</c:v>
                </c:pt>
                <c:pt idx="26">
                  <c:v>194.86054590570717</c:v>
                </c:pt>
                <c:pt idx="27">
                  <c:v>245.83783783783781</c:v>
                </c:pt>
                <c:pt idx="28">
                  <c:v>263.22770352369383</c:v>
                </c:pt>
                <c:pt idx="29">
                  <c:v>211.76738609112709</c:v>
                </c:pt>
                <c:pt idx="30">
                  <c:v>183.65878136200718</c:v>
                </c:pt>
                <c:pt idx="31">
                  <c:v>213.77203290246769</c:v>
                </c:pt>
                <c:pt idx="32">
                  <c:v>230.68023391812869</c:v>
                </c:pt>
                <c:pt idx="33">
                  <c:v>221.79815242494217</c:v>
                </c:pt>
                <c:pt idx="34">
                  <c:v>232.12655889145501</c:v>
                </c:pt>
                <c:pt idx="35">
                  <c:v>239.98991981672401</c:v>
                </c:pt>
                <c:pt idx="36">
                  <c:v>224.19474285714284</c:v>
                </c:pt>
                <c:pt idx="37">
                  <c:v>193.17878103837475</c:v>
                </c:pt>
                <c:pt idx="38">
                  <c:v>223.21262683201795</c:v>
                </c:pt>
                <c:pt idx="39">
                  <c:v>184.19484882418823</c:v>
                </c:pt>
                <c:pt idx="40">
                  <c:v>231.11403118040084</c:v>
                </c:pt>
                <c:pt idx="41">
                  <c:v>192.33832599118946</c:v>
                </c:pt>
                <c:pt idx="42">
                  <c:v>222.21280353200882</c:v>
                </c:pt>
                <c:pt idx="43">
                  <c:v>262.88439560439548</c:v>
                </c:pt>
                <c:pt idx="44">
                  <c:v>314.86153846153849</c:v>
                </c:pt>
                <c:pt idx="45">
                  <c:v>275.26063249727372</c:v>
                </c:pt>
                <c:pt idx="46">
                  <c:v>279.66167209554828</c:v>
                </c:pt>
                <c:pt idx="47">
                  <c:v>230.51058315334782</c:v>
                </c:pt>
                <c:pt idx="48">
                  <c:v>277.71691648822264</c:v>
                </c:pt>
                <c:pt idx="49">
                  <c:v>238.91902231668445</c:v>
                </c:pt>
                <c:pt idx="50">
                  <c:v>290.3115834218915</c:v>
                </c:pt>
                <c:pt idx="51">
                  <c:v>275.63636363636374</c:v>
                </c:pt>
                <c:pt idx="52">
                  <c:v>604.46878980891711</c:v>
                </c:pt>
                <c:pt idx="53">
                  <c:v>374.29737118822294</c:v>
                </c:pt>
                <c:pt idx="54">
                  <c:v>380.98429319371746</c:v>
                </c:pt>
                <c:pt idx="55">
                  <c:v>367.42928348909669</c:v>
                </c:pt>
                <c:pt idx="56">
                  <c:v>397.77471736896194</c:v>
                </c:pt>
                <c:pt idx="57">
                  <c:v>436.49007164790186</c:v>
                </c:pt>
                <c:pt idx="58">
                  <c:v>462.24810644831109</c:v>
                </c:pt>
                <c:pt idx="59">
                  <c:v>412.43211382113822</c:v>
                </c:pt>
                <c:pt idx="60">
                  <c:v>435.10574018126886</c:v>
                </c:pt>
                <c:pt idx="61">
                  <c:v>385.46238716148446</c:v>
                </c:pt>
                <c:pt idx="62">
                  <c:v>391.7599198396793</c:v>
                </c:pt>
                <c:pt idx="63">
                  <c:v>450.28361469712013</c:v>
                </c:pt>
                <c:pt idx="64">
                  <c:v>491.13017751479293</c:v>
                </c:pt>
                <c:pt idx="65">
                  <c:v>493.5158512720156</c:v>
                </c:pt>
                <c:pt idx="66">
                  <c:v>664.08849557522115</c:v>
                </c:pt>
                <c:pt idx="67">
                  <c:v>601.41990338164203</c:v>
                </c:pt>
                <c:pt idx="68">
                  <c:v>501.32351816443594</c:v>
                </c:pt>
                <c:pt idx="69">
                  <c:v>364.07078972407231</c:v>
                </c:pt>
                <c:pt idx="70">
                  <c:v>451.34472934472933</c:v>
                </c:pt>
                <c:pt idx="71">
                  <c:v>688.16179775280887</c:v>
                </c:pt>
                <c:pt idx="72">
                  <c:v>944.42324723247214</c:v>
                </c:pt>
                <c:pt idx="73">
                  <c:v>625.21167883211683</c:v>
                </c:pt>
                <c:pt idx="74">
                  <c:v>561.52303422756722</c:v>
                </c:pt>
                <c:pt idx="75">
                  <c:v>710.44195032198684</c:v>
                </c:pt>
                <c:pt idx="76">
                  <c:v>647.03934126258002</c:v>
                </c:pt>
                <c:pt idx="77">
                  <c:v>562.98727272727274</c:v>
                </c:pt>
                <c:pt idx="78">
                  <c:v>695.75547445255472</c:v>
                </c:pt>
                <c:pt idx="79">
                  <c:v>633.98846846846845</c:v>
                </c:pt>
                <c:pt idx="80">
                  <c:v>829.16998254799296</c:v>
                </c:pt>
                <c:pt idx="81">
                  <c:v>548.21691896705272</c:v>
                </c:pt>
                <c:pt idx="82">
                  <c:v>583.23324396782834</c:v>
                </c:pt>
                <c:pt idx="83">
                  <c:v>635.34671403197137</c:v>
                </c:pt>
                <c:pt idx="84">
                  <c:v>697.0099467140318</c:v>
                </c:pt>
                <c:pt idx="85">
                  <c:v>460.81587301587291</c:v>
                </c:pt>
                <c:pt idx="86">
                  <c:v>609.21734513274316</c:v>
                </c:pt>
                <c:pt idx="87">
                  <c:v>569.43087719298285</c:v>
                </c:pt>
                <c:pt idx="88">
                  <c:v>557.33333333333326</c:v>
                </c:pt>
                <c:pt idx="89">
                  <c:v>425.32222222222225</c:v>
                </c:pt>
                <c:pt idx="90">
                  <c:v>590.46290182450036</c:v>
                </c:pt>
                <c:pt idx="91">
                  <c:v>625.74206896551721</c:v>
                </c:pt>
                <c:pt idx="92">
                  <c:v>760.60034305317333</c:v>
                </c:pt>
                <c:pt idx="93">
                  <c:v>557.79541984732816</c:v>
                </c:pt>
                <c:pt idx="94">
                  <c:v>641.81210571184977</c:v>
                </c:pt>
                <c:pt idx="95">
                  <c:v>669.58789915966406</c:v>
                </c:pt>
                <c:pt idx="96">
                  <c:v>838.12221276595744</c:v>
                </c:pt>
                <c:pt idx="97">
                  <c:v>658.94099746407437</c:v>
                </c:pt>
                <c:pt idx="98">
                  <c:v>841.9076400679121</c:v>
                </c:pt>
                <c:pt idx="99">
                  <c:v>711.8172185430459</c:v>
                </c:pt>
                <c:pt idx="100">
                  <c:v>736.11189499589818</c:v>
                </c:pt>
                <c:pt idx="101">
                  <c:v>681.45442622950816</c:v>
                </c:pt>
                <c:pt idx="102">
                  <c:v>890.01884646628798</c:v>
                </c:pt>
                <c:pt idx="103">
                  <c:v>854.77113071371309</c:v>
                </c:pt>
                <c:pt idx="104">
                  <c:v>896.98687999999993</c:v>
                </c:pt>
                <c:pt idx="105">
                  <c:v>728.21066030230725</c:v>
                </c:pt>
                <c:pt idx="106">
                  <c:v>961.94673046251967</c:v>
                </c:pt>
                <c:pt idx="107">
                  <c:v>909.24075829383912</c:v>
                </c:pt>
                <c:pt idx="108">
                  <c:v>1994.5060402284951</c:v>
                </c:pt>
                <c:pt idx="109">
                  <c:v>1017.2971443812288</c:v>
                </c:pt>
                <c:pt idx="110">
                  <c:v>1022.191073302803</c:v>
                </c:pt>
                <c:pt idx="111">
                  <c:v>1045.7449664848373</c:v>
                </c:pt>
                <c:pt idx="112">
                  <c:v>1235.878773320492</c:v>
                </c:pt>
                <c:pt idx="113">
                  <c:v>898.70226084968363</c:v>
                </c:pt>
                <c:pt idx="114">
                  <c:v>1071.5644469367323</c:v>
                </c:pt>
                <c:pt idx="115">
                  <c:v>903.07620168750611</c:v>
                </c:pt>
                <c:pt idx="116">
                  <c:v>1000.4847383630605</c:v>
                </c:pt>
                <c:pt idx="117">
                  <c:v>731.4458545290413</c:v>
                </c:pt>
                <c:pt idx="118">
                  <c:v>1008.4591433572687</c:v>
                </c:pt>
                <c:pt idx="119">
                  <c:v>949.55978203088546</c:v>
                </c:pt>
                <c:pt idx="120">
                  <c:v>1166.1587357297437</c:v>
                </c:pt>
                <c:pt idx="121">
                  <c:v>1141.8895351120352</c:v>
                </c:pt>
                <c:pt idx="122">
                  <c:v>830.89145452397634</c:v>
                </c:pt>
                <c:pt idx="123">
                  <c:v>1003.6199053647696</c:v>
                </c:pt>
                <c:pt idx="124">
                  <c:v>989.83913070939548</c:v>
                </c:pt>
                <c:pt idx="125">
                  <c:v>812.85332635541624</c:v>
                </c:pt>
                <c:pt idx="126">
                  <c:v>1195.7503336298635</c:v>
                </c:pt>
                <c:pt idx="127">
                  <c:v>956.0741004129917</c:v>
                </c:pt>
                <c:pt idx="128">
                  <c:v>1048.937494984307</c:v>
                </c:pt>
                <c:pt idx="129">
                  <c:v>803.30171660724977</c:v>
                </c:pt>
                <c:pt idx="130">
                  <c:v>1063.3428638239811</c:v>
                </c:pt>
                <c:pt idx="131">
                  <c:v>944.1266041573607</c:v>
                </c:pt>
                <c:pt idx="132">
                  <c:v>1085.3476728931018</c:v>
                </c:pt>
                <c:pt idx="133">
                  <c:v>835.43253491999963</c:v>
                </c:pt>
                <c:pt idx="134">
                  <c:v>1465.2000679120049</c:v>
                </c:pt>
                <c:pt idx="135">
                  <c:v>994.13885787297954</c:v>
                </c:pt>
                <c:pt idx="136">
                  <c:v>1065.7029542625492</c:v>
                </c:pt>
                <c:pt idx="137">
                  <c:v>790.40554802396468</c:v>
                </c:pt>
                <c:pt idx="138">
                  <c:v>933.47725729803108</c:v>
                </c:pt>
                <c:pt idx="139">
                  <c:v>1165.6037735849056</c:v>
                </c:pt>
                <c:pt idx="140">
                  <c:v>1189.9131596526386</c:v>
                </c:pt>
                <c:pt idx="141">
                  <c:v>1082.50397338313</c:v>
                </c:pt>
                <c:pt idx="142">
                  <c:v>1206.616958454428</c:v>
                </c:pt>
                <c:pt idx="143">
                  <c:v>1064.5893930467294</c:v>
                </c:pt>
                <c:pt idx="144">
                  <c:v>1132.439073363149</c:v>
                </c:pt>
                <c:pt idx="145">
                  <c:v>987.40500508325772</c:v>
                </c:pt>
                <c:pt idx="146">
                  <c:v>1374.2469349053583</c:v>
                </c:pt>
                <c:pt idx="147">
                  <c:v>1279.8081424448826</c:v>
                </c:pt>
              </c:numCache>
            </c:numRef>
          </c:val>
          <c:smooth val="0"/>
          <c:extLst>
            <c:ext xmlns:c16="http://schemas.microsoft.com/office/drawing/2014/chart" uri="{C3380CC4-5D6E-409C-BE32-E72D297353CC}">
              <c16:uniqueId val="{00000000-DEC7-4D76-8CFA-CE137D68656F}"/>
            </c:ext>
          </c:extLst>
        </c:ser>
        <c:dLbls>
          <c:showLegendKey val="0"/>
          <c:showVal val="0"/>
          <c:showCatName val="0"/>
          <c:showSerName val="0"/>
          <c:showPercent val="0"/>
          <c:showBubbleSize val="0"/>
        </c:dLbls>
        <c:marker val="1"/>
        <c:smooth val="0"/>
        <c:axId val="270792576"/>
        <c:axId val="270663680"/>
      </c:lineChart>
      <c:lineChart>
        <c:grouping val="standard"/>
        <c:varyColors val="0"/>
        <c:ser>
          <c:idx val="1"/>
          <c:order val="1"/>
          <c:tx>
            <c:strRef>
              <c:f>'Tab2'!$L$70</c:f>
              <c:strCache>
                <c:ptCount val="1"/>
                <c:pt idx="0">
                  <c:v>Antall</c:v>
                </c:pt>
              </c:strCache>
            </c:strRef>
          </c:tx>
          <c:spPr>
            <a:ln w="25400"/>
          </c:spPr>
          <c:marker>
            <c:symbol val="none"/>
          </c:marker>
          <c:cat>
            <c:numRef>
              <c:f>'Tab2'!$K$71:$K$218</c:f>
              <c:numCache>
                <c:formatCode>General</c:formatCode>
                <c:ptCount val="148"/>
                <c:pt idx="0">
                  <c:v>1983</c:v>
                </c:pt>
                <c:pt idx="4">
                  <c:v>1984</c:v>
                </c:pt>
                <c:pt idx="8">
                  <c:v>1985</c:v>
                </c:pt>
                <c:pt idx="12">
                  <c:v>1986</c:v>
                </c:pt>
                <c:pt idx="16">
                  <c:v>1987</c:v>
                </c:pt>
                <c:pt idx="20">
                  <c:v>1988</c:v>
                </c:pt>
                <c:pt idx="24">
                  <c:v>1989</c:v>
                </c:pt>
                <c:pt idx="28">
                  <c:v>1990</c:v>
                </c:pt>
                <c:pt idx="32">
                  <c:v>1991</c:v>
                </c:pt>
                <c:pt idx="36">
                  <c:v>1992</c:v>
                </c:pt>
                <c:pt idx="40">
                  <c:v>1993</c:v>
                </c:pt>
                <c:pt idx="44">
                  <c:v>1994</c:v>
                </c:pt>
                <c:pt idx="48">
                  <c:v>1995</c:v>
                </c:pt>
                <c:pt idx="52">
                  <c:v>1996</c:v>
                </c:pt>
                <c:pt idx="56">
                  <c:v>1997</c:v>
                </c:pt>
                <c:pt idx="60">
                  <c:v>1998</c:v>
                </c:pt>
                <c:pt idx="64">
                  <c:v>1999</c:v>
                </c:pt>
                <c:pt idx="68">
                  <c:v>2000</c:v>
                </c:pt>
                <c:pt idx="72">
                  <c:v>2001</c:v>
                </c:pt>
                <c:pt idx="76">
                  <c:v>2002</c:v>
                </c:pt>
                <c:pt idx="80">
                  <c:v>2003</c:v>
                </c:pt>
                <c:pt idx="84">
                  <c:v>2004</c:v>
                </c:pt>
                <c:pt idx="88">
                  <c:v>2005</c:v>
                </c:pt>
                <c:pt idx="92">
                  <c:v>2006</c:v>
                </c:pt>
                <c:pt idx="96">
                  <c:v>2007</c:v>
                </c:pt>
                <c:pt idx="100">
                  <c:v>2008</c:v>
                </c:pt>
                <c:pt idx="104">
                  <c:v>2009</c:v>
                </c:pt>
                <c:pt idx="108">
                  <c:v>2010</c:v>
                </c:pt>
                <c:pt idx="112">
                  <c:v>2011</c:v>
                </c:pt>
                <c:pt idx="116">
                  <c:v>2012</c:v>
                </c:pt>
                <c:pt idx="120">
                  <c:v>2013</c:v>
                </c:pt>
                <c:pt idx="124">
                  <c:v>2014</c:v>
                </c:pt>
                <c:pt idx="128">
                  <c:v>2015</c:v>
                </c:pt>
                <c:pt idx="132">
                  <c:v>2016</c:v>
                </c:pt>
                <c:pt idx="136">
                  <c:v>2017</c:v>
                </c:pt>
                <c:pt idx="140">
                  <c:v>2018</c:v>
                </c:pt>
                <c:pt idx="144">
                  <c:v>2019</c:v>
                </c:pt>
              </c:numCache>
            </c:numRef>
          </c:cat>
          <c:val>
            <c:numRef>
              <c:f>'Tab2'!$L$71:$L$218</c:f>
              <c:numCache>
                <c:formatCode>#,##0</c:formatCode>
                <c:ptCount val="148"/>
                <c:pt idx="0">
                  <c:v>11621</c:v>
                </c:pt>
                <c:pt idx="1">
                  <c:v>11120</c:v>
                </c:pt>
                <c:pt idx="2">
                  <c:v>11918</c:v>
                </c:pt>
                <c:pt idx="3">
                  <c:v>11905</c:v>
                </c:pt>
                <c:pt idx="4">
                  <c:v>13205</c:v>
                </c:pt>
                <c:pt idx="5">
                  <c:v>12453</c:v>
                </c:pt>
                <c:pt idx="6">
                  <c:v>12278</c:v>
                </c:pt>
                <c:pt idx="7">
                  <c:v>11449</c:v>
                </c:pt>
                <c:pt idx="8">
                  <c:v>16918</c:v>
                </c:pt>
                <c:pt idx="9">
                  <c:v>14237</c:v>
                </c:pt>
                <c:pt idx="10">
                  <c:v>14329</c:v>
                </c:pt>
                <c:pt idx="11">
                  <c:v>13060</c:v>
                </c:pt>
                <c:pt idx="12">
                  <c:v>14314</c:v>
                </c:pt>
                <c:pt idx="13">
                  <c:v>13505</c:v>
                </c:pt>
                <c:pt idx="14">
                  <c:v>12132</c:v>
                </c:pt>
                <c:pt idx="15">
                  <c:v>11763</c:v>
                </c:pt>
                <c:pt idx="16">
                  <c:v>17280</c:v>
                </c:pt>
                <c:pt idx="17">
                  <c:v>12241</c:v>
                </c:pt>
                <c:pt idx="18">
                  <c:v>11506</c:v>
                </c:pt>
                <c:pt idx="19">
                  <c:v>12860</c:v>
                </c:pt>
                <c:pt idx="20">
                  <c:v>10180</c:v>
                </c:pt>
                <c:pt idx="21">
                  <c:v>11081</c:v>
                </c:pt>
                <c:pt idx="22">
                  <c:v>15987</c:v>
                </c:pt>
                <c:pt idx="23">
                  <c:v>12493</c:v>
                </c:pt>
                <c:pt idx="24">
                  <c:v>10988</c:v>
                </c:pt>
                <c:pt idx="25">
                  <c:v>10292</c:v>
                </c:pt>
                <c:pt idx="26">
                  <c:v>11352</c:v>
                </c:pt>
                <c:pt idx="27">
                  <c:v>11958</c:v>
                </c:pt>
                <c:pt idx="28">
                  <c:v>13741</c:v>
                </c:pt>
                <c:pt idx="29">
                  <c:v>10045</c:v>
                </c:pt>
                <c:pt idx="30">
                  <c:v>10870</c:v>
                </c:pt>
                <c:pt idx="31">
                  <c:v>11076</c:v>
                </c:pt>
                <c:pt idx="32">
                  <c:v>10172</c:v>
                </c:pt>
                <c:pt idx="33">
                  <c:v>10188</c:v>
                </c:pt>
                <c:pt idx="34">
                  <c:v>10621</c:v>
                </c:pt>
                <c:pt idx="35">
                  <c:v>11640</c:v>
                </c:pt>
                <c:pt idx="36">
                  <c:v>10520</c:v>
                </c:pt>
                <c:pt idx="37">
                  <c:v>10661</c:v>
                </c:pt>
                <c:pt idx="38">
                  <c:v>11590</c:v>
                </c:pt>
                <c:pt idx="39">
                  <c:v>11917</c:v>
                </c:pt>
                <c:pt idx="40">
                  <c:v>11275</c:v>
                </c:pt>
                <c:pt idx="41">
                  <c:v>10076</c:v>
                </c:pt>
                <c:pt idx="42">
                  <c:v>11766</c:v>
                </c:pt>
                <c:pt idx="43">
                  <c:v>12707</c:v>
                </c:pt>
                <c:pt idx="44">
                  <c:v>15224</c:v>
                </c:pt>
                <c:pt idx="45">
                  <c:v>13585</c:v>
                </c:pt>
                <c:pt idx="46">
                  <c:v>13956</c:v>
                </c:pt>
                <c:pt idx="47">
                  <c:v>14006</c:v>
                </c:pt>
                <c:pt idx="48">
                  <c:v>13188</c:v>
                </c:pt>
                <c:pt idx="49">
                  <c:v>11077</c:v>
                </c:pt>
                <c:pt idx="50">
                  <c:v>13937</c:v>
                </c:pt>
                <c:pt idx="51">
                  <c:v>13920</c:v>
                </c:pt>
                <c:pt idx="52">
                  <c:v>29850</c:v>
                </c:pt>
                <c:pt idx="53">
                  <c:v>17799</c:v>
                </c:pt>
                <c:pt idx="54">
                  <c:v>16263</c:v>
                </c:pt>
                <c:pt idx="55">
                  <c:v>16638</c:v>
                </c:pt>
                <c:pt idx="56">
                  <c:v>17837</c:v>
                </c:pt>
                <c:pt idx="57">
                  <c:v>16872</c:v>
                </c:pt>
                <c:pt idx="58">
                  <c:v>17873</c:v>
                </c:pt>
                <c:pt idx="59">
                  <c:v>15493</c:v>
                </c:pt>
                <c:pt idx="60">
                  <c:v>17629</c:v>
                </c:pt>
                <c:pt idx="61">
                  <c:v>14484</c:v>
                </c:pt>
                <c:pt idx="62">
                  <c:v>15693</c:v>
                </c:pt>
                <c:pt idx="63">
                  <c:v>16502</c:v>
                </c:pt>
                <c:pt idx="64">
                  <c:v>18095</c:v>
                </c:pt>
                <c:pt idx="65">
                  <c:v>12899</c:v>
                </c:pt>
                <c:pt idx="66">
                  <c:v>23305</c:v>
                </c:pt>
                <c:pt idx="67">
                  <c:v>18359</c:v>
                </c:pt>
                <c:pt idx="68">
                  <c:v>17570</c:v>
                </c:pt>
                <c:pt idx="69">
                  <c:v>14069</c:v>
                </c:pt>
                <c:pt idx="70">
                  <c:v>16329</c:v>
                </c:pt>
                <c:pt idx="71">
                  <c:v>21735</c:v>
                </c:pt>
                <c:pt idx="72">
                  <c:v>27280</c:v>
                </c:pt>
                <c:pt idx="73">
                  <c:v>17111</c:v>
                </c:pt>
                <c:pt idx="74">
                  <c:v>16407</c:v>
                </c:pt>
                <c:pt idx="75">
                  <c:v>16945</c:v>
                </c:pt>
                <c:pt idx="76">
                  <c:v>17523</c:v>
                </c:pt>
                <c:pt idx="77">
                  <c:v>17469</c:v>
                </c:pt>
                <c:pt idx="78">
                  <c:v>19641</c:v>
                </c:pt>
                <c:pt idx="79">
                  <c:v>17442</c:v>
                </c:pt>
                <c:pt idx="80">
                  <c:v>22781</c:v>
                </c:pt>
                <c:pt idx="81">
                  <c:v>15417</c:v>
                </c:pt>
                <c:pt idx="82">
                  <c:v>18848</c:v>
                </c:pt>
                <c:pt idx="83">
                  <c:v>16096</c:v>
                </c:pt>
                <c:pt idx="84">
                  <c:v>17805</c:v>
                </c:pt>
                <c:pt idx="85">
                  <c:v>13855</c:v>
                </c:pt>
                <c:pt idx="86">
                  <c:v>17630</c:v>
                </c:pt>
                <c:pt idx="87">
                  <c:v>16674</c:v>
                </c:pt>
                <c:pt idx="88">
                  <c:v>15151</c:v>
                </c:pt>
                <c:pt idx="89">
                  <c:v>14855</c:v>
                </c:pt>
                <c:pt idx="90">
                  <c:v>13014</c:v>
                </c:pt>
                <c:pt idx="91">
                  <c:v>22745</c:v>
                </c:pt>
                <c:pt idx="92">
                  <c:v>18196</c:v>
                </c:pt>
                <c:pt idx="93">
                  <c:v>13943</c:v>
                </c:pt>
                <c:pt idx="94">
                  <c:v>13690</c:v>
                </c:pt>
                <c:pt idx="95">
                  <c:v>16682</c:v>
                </c:pt>
                <c:pt idx="96">
                  <c:v>18623</c:v>
                </c:pt>
                <c:pt idx="97">
                  <c:v>15831</c:v>
                </c:pt>
                <c:pt idx="98">
                  <c:v>18428</c:v>
                </c:pt>
                <c:pt idx="99">
                  <c:v>15870</c:v>
                </c:pt>
                <c:pt idx="100">
                  <c:v>17004</c:v>
                </c:pt>
                <c:pt idx="101">
                  <c:v>14987</c:v>
                </c:pt>
                <c:pt idx="102">
                  <c:v>19290</c:v>
                </c:pt>
                <c:pt idx="103">
                  <c:v>16976</c:v>
                </c:pt>
                <c:pt idx="104">
                  <c:v>18865</c:v>
                </c:pt>
                <c:pt idx="105">
                  <c:v>14610</c:v>
                </c:pt>
                <c:pt idx="106">
                  <c:v>19220</c:v>
                </c:pt>
                <c:pt idx="107">
                  <c:v>16838</c:v>
                </c:pt>
                <c:pt idx="108">
                  <c:v>40484.70904761905</c:v>
                </c:pt>
                <c:pt idx="109">
                  <c:v>20633.79583333333</c:v>
                </c:pt>
                <c:pt idx="110">
                  <c:v>19149.335833333338</c:v>
                </c:pt>
                <c:pt idx="111">
                  <c:v>22322.361666666664</c:v>
                </c:pt>
                <c:pt idx="112">
                  <c:v>26141.662648809524</c:v>
                </c:pt>
                <c:pt idx="113">
                  <c:v>18851.951101190472</c:v>
                </c:pt>
                <c:pt idx="114">
                  <c:v>24107.386250000007</c:v>
                </c:pt>
                <c:pt idx="115">
                  <c:v>18022.572976190484</c:v>
                </c:pt>
                <c:pt idx="116">
                  <c:v>18517.39324404762</c:v>
                </c:pt>
                <c:pt idx="117">
                  <c:v>14087.60675595238</c:v>
                </c:pt>
                <c:pt idx="118" formatCode="0">
                  <c:v>20999.460714285713</c:v>
                </c:pt>
                <c:pt idx="119" formatCode="0">
                  <c:v>17946.539285714287</c:v>
                </c:pt>
                <c:pt idx="120" formatCode="0">
                  <c:v>21974.571815476189</c:v>
                </c:pt>
                <c:pt idx="121" formatCode="0">
                  <c:v>23960.428184523811</c:v>
                </c:pt>
                <c:pt idx="122" formatCode="0">
                  <c:v>18388.581422924897</c:v>
                </c:pt>
                <c:pt idx="123" formatCode="0">
                  <c:v>18420.418577075106</c:v>
                </c:pt>
                <c:pt idx="124" formatCode="0">
                  <c:v>19713</c:v>
                </c:pt>
                <c:pt idx="125" formatCode="0">
                  <c:v>16691</c:v>
                </c:pt>
                <c:pt idx="126" formatCode="0">
                  <c:v>21817</c:v>
                </c:pt>
                <c:pt idx="127" formatCode="0">
                  <c:v>20183</c:v>
                </c:pt>
                <c:pt idx="128" formatCode="0">
                  <c:v>19630</c:v>
                </c:pt>
                <c:pt idx="129" formatCode="0">
                  <c:v>15703.949675889351</c:v>
                </c:pt>
                <c:pt idx="130" formatCode="0">
                  <c:v>22728.974837944646</c:v>
                </c:pt>
                <c:pt idx="131" formatCode="0">
                  <c:v>17661.404213438705</c:v>
                </c:pt>
                <c:pt idx="132" formatCode="0">
                  <c:v>20668.165818181998</c:v>
                </c:pt>
                <c:pt idx="133" formatCode="0">
                  <c:v>19039.287573122998</c:v>
                </c:pt>
                <c:pt idx="134" formatCode="0">
                  <c:v>25325.005330874006</c:v>
                </c:pt>
                <c:pt idx="135" formatCode="0">
                  <c:v>18369.446222722992</c:v>
                </c:pt>
                <c:pt idx="136" formatCode="0">
                  <c:v>20188.970584052</c:v>
                </c:pt>
                <c:pt idx="137" formatCode="0">
                  <c:v>16357.538075795001</c:v>
                </c:pt>
                <c:pt idx="138" formatCode="0">
                  <c:v>19399</c:v>
                </c:pt>
                <c:pt idx="139" formatCode="0">
                  <c:v>23333</c:v>
                </c:pt>
                <c:pt idx="140" formatCode="0">
                  <c:v>25111</c:v>
                </c:pt>
                <c:pt idx="141" formatCode="0">
                  <c:v>20973.437462450995</c:v>
                </c:pt>
                <c:pt idx="142" formatCode="0">
                  <c:v>22635.655438734771</c:v>
                </c:pt>
                <c:pt idx="143" formatCode="0">
                  <c:v>22335.438371541502</c:v>
                </c:pt>
                <c:pt idx="144" formatCode="0">
                  <c:v>22394.924612648225</c:v>
                </c:pt>
                <c:pt idx="145" formatCode="0">
                  <c:v>19703.243703557309</c:v>
                </c:pt>
                <c:pt idx="146" formatCode="0">
                  <c:v>26165.077849802379</c:v>
                </c:pt>
                <c:pt idx="147" formatCode="0">
                  <c:v>22621.988837944664</c:v>
                </c:pt>
              </c:numCache>
            </c:numRef>
          </c:val>
          <c:smooth val="0"/>
          <c:extLst>
            <c:ext xmlns:c16="http://schemas.microsoft.com/office/drawing/2014/chart" uri="{C3380CC4-5D6E-409C-BE32-E72D297353CC}">
              <c16:uniqueId val="{00000001-DEC7-4D76-8CFA-CE137D68656F}"/>
            </c:ext>
          </c:extLst>
        </c:ser>
        <c:dLbls>
          <c:showLegendKey val="0"/>
          <c:showVal val="0"/>
          <c:showCatName val="0"/>
          <c:showSerName val="0"/>
          <c:showPercent val="0"/>
          <c:showBubbleSize val="0"/>
        </c:dLbls>
        <c:upDownBars>
          <c:gapWidth val="150"/>
          <c:upBars/>
          <c:downBars/>
        </c:upDownBars>
        <c:marker val="1"/>
        <c:smooth val="0"/>
        <c:axId val="270667776"/>
        <c:axId val="270665600"/>
      </c:lineChart>
      <c:catAx>
        <c:axId val="270792576"/>
        <c:scaling>
          <c:orientation val="minMax"/>
        </c:scaling>
        <c:delete val="0"/>
        <c:axPos val="b"/>
        <c:majorGridlines>
          <c:spPr>
            <a:ln>
              <a:solidFill>
                <a:srgbClr val="4F81BD">
                  <a:alpha val="25000"/>
                </a:srgbClr>
              </a:solidFill>
            </a:ln>
          </c:spPr>
        </c:majorGridlines>
        <c:title>
          <c:tx>
            <c:rich>
              <a:bodyPr/>
              <a:lstStyle/>
              <a:p>
                <a:pPr>
                  <a:defRPr sz="1200"/>
                </a:pPr>
                <a:r>
                  <a:rPr lang="en-US" sz="1200"/>
                  <a:t>År</a:t>
                </a:r>
              </a:p>
            </c:rich>
          </c:tx>
          <c:layout>
            <c:manualLayout>
              <c:xMode val="edge"/>
              <c:yMode val="edge"/>
              <c:x val="0.48913710180525038"/>
              <c:y val="0.92512795900512435"/>
            </c:manualLayout>
          </c:layout>
          <c:overlay val="0"/>
        </c:title>
        <c:numFmt formatCode="General" sourceLinked="1"/>
        <c:majorTickMark val="out"/>
        <c:minorTickMark val="out"/>
        <c:tickLblPos val="nextTo"/>
        <c:txPr>
          <a:bodyPr rot="-3000000" vert="horz"/>
          <a:lstStyle/>
          <a:p>
            <a:pPr>
              <a:defRPr/>
            </a:pPr>
            <a:endParaRPr lang="nb-NO"/>
          </a:p>
        </c:txPr>
        <c:crossAx val="270663680"/>
        <c:crosses val="autoZero"/>
        <c:auto val="1"/>
        <c:lblAlgn val="ctr"/>
        <c:lblOffset val="100"/>
        <c:tickLblSkip val="1"/>
        <c:tickMarkSkip val="4"/>
        <c:noMultiLvlLbl val="0"/>
      </c:catAx>
      <c:valAx>
        <c:axId val="270663680"/>
        <c:scaling>
          <c:orientation val="minMax"/>
        </c:scaling>
        <c:delete val="0"/>
        <c:axPos val="l"/>
        <c:majorGridlines/>
        <c:title>
          <c:tx>
            <c:rich>
              <a:bodyPr rot="-5400000" vert="horz" anchor="ctr" anchorCtr="1"/>
              <a:lstStyle/>
              <a:p>
                <a:pPr>
                  <a:defRPr/>
                </a:pPr>
                <a:r>
                  <a:rPr lang="en-US"/>
                  <a:t>KPI-justert erstatning (millioner kroner)</a:t>
                </a:r>
              </a:p>
            </c:rich>
          </c:tx>
          <c:layout>
            <c:manualLayout>
              <c:xMode val="edge"/>
              <c:yMode val="edge"/>
              <c:x val="1.5657612176468372E-2"/>
              <c:y val="0.13385355900279908"/>
            </c:manualLayout>
          </c:layout>
          <c:overlay val="0"/>
        </c:title>
        <c:numFmt formatCode="#,##0" sourceLinked="0"/>
        <c:majorTickMark val="out"/>
        <c:minorTickMark val="none"/>
        <c:tickLblPos val="nextTo"/>
        <c:crossAx val="270792576"/>
        <c:crosses val="autoZero"/>
        <c:crossBetween val="between"/>
      </c:valAx>
      <c:valAx>
        <c:axId val="270665600"/>
        <c:scaling>
          <c:orientation val="minMax"/>
        </c:scaling>
        <c:delete val="0"/>
        <c:axPos val="r"/>
        <c:title>
          <c:tx>
            <c:rich>
              <a:bodyPr rot="-5400000" vert="horz"/>
              <a:lstStyle/>
              <a:p>
                <a:pPr>
                  <a:defRPr/>
                </a:pPr>
                <a:r>
                  <a:rPr lang="en-US"/>
                  <a:t>Antall meldte vannskader</a:t>
                </a:r>
              </a:p>
            </c:rich>
          </c:tx>
          <c:overlay val="0"/>
        </c:title>
        <c:numFmt formatCode="#,##0" sourceLinked="1"/>
        <c:majorTickMark val="out"/>
        <c:minorTickMark val="none"/>
        <c:tickLblPos val="nextTo"/>
        <c:crossAx val="270667776"/>
        <c:crosses val="max"/>
        <c:crossBetween val="between"/>
      </c:valAx>
      <c:catAx>
        <c:axId val="270667776"/>
        <c:scaling>
          <c:orientation val="minMax"/>
        </c:scaling>
        <c:delete val="1"/>
        <c:axPos val="b"/>
        <c:numFmt formatCode="General" sourceLinked="1"/>
        <c:majorTickMark val="out"/>
        <c:minorTickMark val="none"/>
        <c:tickLblPos val="none"/>
        <c:crossAx val="270665600"/>
        <c:crosses val="autoZero"/>
        <c:auto val="0"/>
        <c:lblAlgn val="ctr"/>
        <c:lblOffset val="100"/>
        <c:noMultiLvlLbl val="0"/>
      </c:catAx>
    </c:plotArea>
    <c:legend>
      <c:legendPos val="r"/>
      <c:layout>
        <c:manualLayout>
          <c:xMode val="edge"/>
          <c:yMode val="edge"/>
          <c:x val="0.17254097125419141"/>
          <c:y val="8.1243623616814989E-2"/>
          <c:w val="0.2317650782352112"/>
          <c:h val="0.10148035666735998"/>
        </c:manualLayout>
      </c:layout>
      <c:overlay val="0"/>
    </c:legend>
    <c:plotVisOnly val="1"/>
    <c:dispBlanksAs val="gap"/>
    <c:showDLblsOverMax val="0"/>
  </c:chart>
  <c:spPr>
    <a:ln>
      <a:noFill/>
    </a:ln>
  </c:spPr>
  <c:printSettings>
    <c:headerFooter/>
    <c:pageMargins b="0.75000000000001465" l="0.70000000000000062" r="0.70000000000000062" t="0.75000000000001465" header="0.30000000000000032" footer="0.30000000000000032"/>
    <c:pageSetup orientation="portrait"/>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272566614958665"/>
          <c:y val="4.7126376644779866E-2"/>
          <c:w val="0.72887760912680721"/>
          <c:h val="0.80035630261243251"/>
        </c:manualLayout>
      </c:layout>
      <c:lineChart>
        <c:grouping val="standard"/>
        <c:varyColors val="0"/>
        <c:ser>
          <c:idx val="0"/>
          <c:order val="0"/>
          <c:tx>
            <c:strRef>
              <c:f>'Tab2'!$M$70</c:f>
              <c:strCache>
                <c:ptCount val="1"/>
                <c:pt idx="0">
                  <c:v>Erstatning</c:v>
                </c:pt>
              </c:strCache>
            </c:strRef>
          </c:tx>
          <c:spPr>
            <a:ln w="25400"/>
          </c:spPr>
          <c:marker>
            <c:symbol val="none"/>
          </c:marker>
          <c:cat>
            <c:numRef>
              <c:f>'Tab2'!$K$103:$K$218</c:f>
              <c:numCache>
                <c:formatCode>General</c:formatCode>
                <c:ptCount val="116"/>
                <c:pt idx="0">
                  <c:v>1991</c:v>
                </c:pt>
                <c:pt idx="4">
                  <c:v>1992</c:v>
                </c:pt>
                <c:pt idx="8">
                  <c:v>1993</c:v>
                </c:pt>
                <c:pt idx="12">
                  <c:v>1994</c:v>
                </c:pt>
                <c:pt idx="16">
                  <c:v>1995</c:v>
                </c:pt>
                <c:pt idx="20">
                  <c:v>1996</c:v>
                </c:pt>
                <c:pt idx="24">
                  <c:v>1997</c:v>
                </c:pt>
                <c:pt idx="28">
                  <c:v>1998</c:v>
                </c:pt>
                <c:pt idx="32">
                  <c:v>1999</c:v>
                </c:pt>
                <c:pt idx="36">
                  <c:v>2000</c:v>
                </c:pt>
                <c:pt idx="40">
                  <c:v>2001</c:v>
                </c:pt>
                <c:pt idx="44">
                  <c:v>2002</c:v>
                </c:pt>
                <c:pt idx="48">
                  <c:v>2003</c:v>
                </c:pt>
                <c:pt idx="52">
                  <c:v>2004</c:v>
                </c:pt>
                <c:pt idx="56">
                  <c:v>2005</c:v>
                </c:pt>
                <c:pt idx="60">
                  <c:v>2006</c:v>
                </c:pt>
                <c:pt idx="64">
                  <c:v>2007</c:v>
                </c:pt>
                <c:pt idx="68">
                  <c:v>2008</c:v>
                </c:pt>
                <c:pt idx="72">
                  <c:v>2009</c:v>
                </c:pt>
                <c:pt idx="76">
                  <c:v>2010</c:v>
                </c:pt>
                <c:pt idx="80">
                  <c:v>2011</c:v>
                </c:pt>
                <c:pt idx="84">
                  <c:v>2012</c:v>
                </c:pt>
                <c:pt idx="88">
                  <c:v>2013</c:v>
                </c:pt>
                <c:pt idx="92">
                  <c:v>2014</c:v>
                </c:pt>
                <c:pt idx="96">
                  <c:v>2015</c:v>
                </c:pt>
                <c:pt idx="100">
                  <c:v>2016</c:v>
                </c:pt>
                <c:pt idx="104">
                  <c:v>2017</c:v>
                </c:pt>
                <c:pt idx="108">
                  <c:v>2018</c:v>
                </c:pt>
                <c:pt idx="112">
                  <c:v>2019</c:v>
                </c:pt>
              </c:numCache>
            </c:numRef>
          </c:cat>
          <c:val>
            <c:numRef>
              <c:f>'Tab2'!$Q$103:$Q$218</c:f>
              <c:numCache>
                <c:formatCode>#\ ##0.0</c:formatCode>
                <c:ptCount val="116"/>
                <c:pt idx="0">
                  <c:v>668.28116959064312</c:v>
                </c:pt>
                <c:pt idx="1">
                  <c:v>646.48822170900678</c:v>
                </c:pt>
                <c:pt idx="2">
                  <c:v>754.32378752886825</c:v>
                </c:pt>
                <c:pt idx="3">
                  <c:v>741.50286368843115</c:v>
                </c:pt>
                <c:pt idx="4">
                  <c:v>709.48799999999994</c:v>
                </c:pt>
                <c:pt idx="5">
                  <c:v>704.95711060948076</c:v>
                </c:pt>
                <c:pt idx="6">
                  <c:v>752.70169109357403</c:v>
                </c:pt>
                <c:pt idx="7">
                  <c:v>722.51914893617004</c:v>
                </c:pt>
                <c:pt idx="8">
                  <c:v>758.67527839643651</c:v>
                </c:pt>
                <c:pt idx="9">
                  <c:v>589.20308370044052</c:v>
                </c:pt>
                <c:pt idx="10">
                  <c:v>650.07284768211957</c:v>
                </c:pt>
                <c:pt idx="11">
                  <c:v>777.99120879120846</c:v>
                </c:pt>
                <c:pt idx="12">
                  <c:v>712.35340659340659</c:v>
                </c:pt>
                <c:pt idx="13">
                  <c:v>817.18516902944384</c:v>
                </c:pt>
                <c:pt idx="14">
                  <c:v>700.38870792616729</c:v>
                </c:pt>
                <c:pt idx="15">
                  <c:v>639.47041036717053</c:v>
                </c:pt>
                <c:pt idx="16">
                  <c:v>881.35760171306208</c:v>
                </c:pt>
                <c:pt idx="17">
                  <c:v>744.9504782146654</c:v>
                </c:pt>
                <c:pt idx="18">
                  <c:v>786.03230605738554</c:v>
                </c:pt>
                <c:pt idx="19">
                  <c:v>592.77843551797025</c:v>
                </c:pt>
                <c:pt idx="20">
                  <c:v>772.32314225053074</c:v>
                </c:pt>
                <c:pt idx="21">
                  <c:v>933.03343848580448</c:v>
                </c:pt>
                <c:pt idx="22">
                  <c:v>923.72816753926679</c:v>
                </c:pt>
                <c:pt idx="23">
                  <c:v>1048.1337487019732</c:v>
                </c:pt>
                <c:pt idx="24">
                  <c:v>974.88304213771846</c:v>
                </c:pt>
                <c:pt idx="25">
                  <c:v>1030.9420675537356</c:v>
                </c:pt>
                <c:pt idx="26">
                  <c:v>1117.6814738996932</c:v>
                </c:pt>
                <c:pt idx="27">
                  <c:v>868.92682926829264</c:v>
                </c:pt>
                <c:pt idx="28">
                  <c:v>915.40140986908364</c:v>
                </c:pt>
                <c:pt idx="29">
                  <c:v>877.21203610832492</c:v>
                </c:pt>
                <c:pt idx="30">
                  <c:v>657.43967935871774</c:v>
                </c:pt>
                <c:pt idx="31">
                  <c:v>1111.934061569016</c:v>
                </c:pt>
                <c:pt idx="32">
                  <c:v>1030.2520710059171</c:v>
                </c:pt>
                <c:pt idx="33">
                  <c:v>1297.3518590998042</c:v>
                </c:pt>
                <c:pt idx="34">
                  <c:v>845.20353982300844</c:v>
                </c:pt>
                <c:pt idx="35">
                  <c:v>1370.2589371980675</c:v>
                </c:pt>
                <c:pt idx="36">
                  <c:v>1188.3063097514341</c:v>
                </c:pt>
                <c:pt idx="37">
                  <c:v>972.49019980970502</c:v>
                </c:pt>
                <c:pt idx="38">
                  <c:v>1016.7133903133906</c:v>
                </c:pt>
                <c:pt idx="39">
                  <c:v>1049.2764044943817</c:v>
                </c:pt>
                <c:pt idx="40">
                  <c:v>1226.5055350553503</c:v>
                </c:pt>
                <c:pt idx="41">
                  <c:v>1276.7043795620436</c:v>
                </c:pt>
                <c:pt idx="42">
                  <c:v>1643.8993524514337</c:v>
                </c:pt>
                <c:pt idx="43">
                  <c:v>1120.3337626494942</c:v>
                </c:pt>
                <c:pt idx="44">
                  <c:v>1137.9015553522418</c:v>
                </c:pt>
                <c:pt idx="45">
                  <c:v>949.7050909090907</c:v>
                </c:pt>
                <c:pt idx="46">
                  <c:v>1239.2193430656935</c:v>
                </c:pt>
                <c:pt idx="47">
                  <c:v>1281.7711711711711</c:v>
                </c:pt>
                <c:pt idx="48">
                  <c:v>1438.2157068062827</c:v>
                </c:pt>
                <c:pt idx="49">
                  <c:v>1103.9935886019589</c:v>
                </c:pt>
                <c:pt idx="50">
                  <c:v>1165.3826630920462</c:v>
                </c:pt>
                <c:pt idx="51">
                  <c:v>1026.3293072824158</c:v>
                </c:pt>
                <c:pt idx="52">
                  <c:v>989.84298401420972</c:v>
                </c:pt>
                <c:pt idx="53">
                  <c:v>946.89841269841259</c:v>
                </c:pt>
                <c:pt idx="54">
                  <c:v>875.65769911504401</c:v>
                </c:pt>
                <c:pt idx="55">
                  <c:v>943.37754385964979</c:v>
                </c:pt>
                <c:pt idx="56">
                  <c:v>953.59999999999991</c:v>
                </c:pt>
                <c:pt idx="57">
                  <c:v>981.05729166666652</c:v>
                </c:pt>
                <c:pt idx="58">
                  <c:v>1095.9718505647265</c:v>
                </c:pt>
                <c:pt idx="59">
                  <c:v>1040.0282758620685</c:v>
                </c:pt>
                <c:pt idx="60">
                  <c:v>1231.5224699828475</c:v>
                </c:pt>
                <c:pt idx="61">
                  <c:v>1043.0697201017811</c:v>
                </c:pt>
                <c:pt idx="62">
                  <c:v>1106.175959079284</c:v>
                </c:pt>
                <c:pt idx="63">
                  <c:v>1052.2823529411764</c:v>
                </c:pt>
                <c:pt idx="64">
                  <c:v>1409.1703829787232</c:v>
                </c:pt>
                <c:pt idx="65">
                  <c:v>1334.9257819103971</c:v>
                </c:pt>
                <c:pt idx="66">
                  <c:v>874.59558573854031</c:v>
                </c:pt>
                <c:pt idx="67">
                  <c:v>1144.1533112582779</c:v>
                </c:pt>
                <c:pt idx="68">
                  <c:v>1198.3737489745693</c:v>
                </c:pt>
                <c:pt idx="69">
                  <c:v>1433.738360655738</c:v>
                </c:pt>
                <c:pt idx="70">
                  <c:v>1830.653127538586</c:v>
                </c:pt>
                <c:pt idx="71">
                  <c:v>1410.2325581395348</c:v>
                </c:pt>
                <c:pt idx="72">
                  <c:v>1273.31872</c:v>
                </c:pt>
                <c:pt idx="73">
                  <c:v>1299.9971360381862</c:v>
                </c:pt>
                <c:pt idx="74">
                  <c:v>1545.1352472089311</c:v>
                </c:pt>
                <c:pt idx="75">
                  <c:v>1427.6265402843605</c:v>
                </c:pt>
                <c:pt idx="76">
                  <c:v>1941.8228438228441</c:v>
                </c:pt>
                <c:pt idx="77">
                  <c:v>1625.0249806051199</c:v>
                </c:pt>
                <c:pt idx="78">
                  <c:v>1525.7270735524255</c:v>
                </c:pt>
                <c:pt idx="79">
                  <c:v>1540.4440310077532</c:v>
                </c:pt>
                <c:pt idx="80">
                  <c:v>1977.9026113671275</c:v>
                </c:pt>
                <c:pt idx="81">
                  <c:v>1774.530076335878</c:v>
                </c:pt>
                <c:pt idx="82">
                  <c:v>1505.9245749613597</c:v>
                </c:pt>
                <c:pt idx="83">
                  <c:v>1494.9301528068045</c:v>
                </c:pt>
                <c:pt idx="84">
                  <c:v>1324.1276468189512</c:v>
                </c:pt>
                <c:pt idx="85">
                  <c:v>1194.6092276382908</c:v>
                </c:pt>
                <c:pt idx="86">
                  <c:v>1320.1571975285899</c:v>
                </c:pt>
                <c:pt idx="87">
                  <c:v>1230.0408911397851</c:v>
                </c:pt>
                <c:pt idx="88">
                  <c:v>1308.7571924104441</c:v>
                </c:pt>
                <c:pt idx="89">
                  <c:v>1279.7461519676554</c:v>
                </c:pt>
                <c:pt idx="90">
                  <c:v>1494.9758984867294</c:v>
                </c:pt>
                <c:pt idx="91">
                  <c:v>1358.7562235215116</c:v>
                </c:pt>
                <c:pt idx="92">
                  <c:v>1657.6812852529349</c:v>
                </c:pt>
                <c:pt idx="93">
                  <c:v>1285.0709041543657</c:v>
                </c:pt>
                <c:pt idx="94">
                  <c:v>1394.1379988713804</c:v>
                </c:pt>
                <c:pt idx="95">
                  <c:v>1216.813455442207</c:v>
                </c:pt>
                <c:pt idx="96">
                  <c:v>1401.9012932336709</c:v>
                </c:pt>
                <c:pt idx="97">
                  <c:v>1310.4721483264129</c:v>
                </c:pt>
                <c:pt idx="98">
                  <c:v>1455.343693358956</c:v>
                </c:pt>
                <c:pt idx="99">
                  <c:v>1524.9201658816685</c:v>
                </c:pt>
                <c:pt idx="100">
                  <c:v>1346.2089653998487</c:v>
                </c:pt>
                <c:pt idx="101">
                  <c:v>1041.6783320958004</c:v>
                </c:pt>
                <c:pt idx="102">
                  <c:v>1557.1639858718286</c:v>
                </c:pt>
                <c:pt idx="103">
                  <c:v>1262.935426484047</c:v>
                </c:pt>
                <c:pt idx="104">
                  <c:v>1342.4955379500627</c:v>
                </c:pt>
                <c:pt idx="105">
                  <c:v>1729.740607781506</c:v>
                </c:pt>
                <c:pt idx="106">
                  <c:v>981.84928716904267</c:v>
                </c:pt>
                <c:pt idx="107">
                  <c:v>1230.9838274932613</c:v>
                </c:pt>
                <c:pt idx="108">
                  <c:v>1278.0173680694725</c:v>
                </c:pt>
                <c:pt idx="109">
                  <c:v>1479.774918467883</c:v>
                </c:pt>
                <c:pt idx="110">
                  <c:v>1814.0753705488492</c:v>
                </c:pt>
                <c:pt idx="111">
                  <c:v>1433.1732365432558</c:v>
                </c:pt>
                <c:pt idx="112">
                  <c:v>1362.0419467864967</c:v>
                </c:pt>
                <c:pt idx="113">
                  <c:v>1320.608991524726</c:v>
                </c:pt>
                <c:pt idx="114">
                  <c:v>1455.2217584175357</c:v>
                </c:pt>
                <c:pt idx="115">
                  <c:v>1192.3462525300779</c:v>
                </c:pt>
              </c:numCache>
            </c:numRef>
          </c:val>
          <c:smooth val="0"/>
          <c:extLst>
            <c:ext xmlns:c16="http://schemas.microsoft.com/office/drawing/2014/chart" uri="{C3380CC4-5D6E-409C-BE32-E72D297353CC}">
              <c16:uniqueId val="{00000000-E0D7-4248-80EF-997285299449}"/>
            </c:ext>
          </c:extLst>
        </c:ser>
        <c:dLbls>
          <c:showLegendKey val="0"/>
          <c:showVal val="0"/>
          <c:showCatName val="0"/>
          <c:showSerName val="0"/>
          <c:showPercent val="0"/>
          <c:showBubbleSize val="0"/>
        </c:dLbls>
        <c:marker val="1"/>
        <c:smooth val="0"/>
        <c:axId val="270702464"/>
        <c:axId val="270704000"/>
      </c:lineChart>
      <c:lineChart>
        <c:grouping val="standard"/>
        <c:varyColors val="0"/>
        <c:ser>
          <c:idx val="1"/>
          <c:order val="1"/>
          <c:tx>
            <c:strRef>
              <c:f>'Tab2'!$L$70</c:f>
              <c:strCache>
                <c:ptCount val="1"/>
                <c:pt idx="0">
                  <c:v>Antall</c:v>
                </c:pt>
              </c:strCache>
            </c:strRef>
          </c:tx>
          <c:spPr>
            <a:ln w="25400"/>
          </c:spPr>
          <c:marker>
            <c:symbol val="none"/>
          </c:marker>
          <c:cat>
            <c:numRef>
              <c:f>'Tab2'!$K$103:$K$218</c:f>
              <c:numCache>
                <c:formatCode>General</c:formatCode>
                <c:ptCount val="116"/>
                <c:pt idx="0">
                  <c:v>1991</c:v>
                </c:pt>
                <c:pt idx="4">
                  <c:v>1992</c:v>
                </c:pt>
                <c:pt idx="8">
                  <c:v>1993</c:v>
                </c:pt>
                <c:pt idx="12">
                  <c:v>1994</c:v>
                </c:pt>
                <c:pt idx="16">
                  <c:v>1995</c:v>
                </c:pt>
                <c:pt idx="20">
                  <c:v>1996</c:v>
                </c:pt>
                <c:pt idx="24">
                  <c:v>1997</c:v>
                </c:pt>
                <c:pt idx="28">
                  <c:v>1998</c:v>
                </c:pt>
                <c:pt idx="32">
                  <c:v>1999</c:v>
                </c:pt>
                <c:pt idx="36">
                  <c:v>2000</c:v>
                </c:pt>
                <c:pt idx="40">
                  <c:v>2001</c:v>
                </c:pt>
                <c:pt idx="44">
                  <c:v>2002</c:v>
                </c:pt>
                <c:pt idx="48">
                  <c:v>2003</c:v>
                </c:pt>
                <c:pt idx="52">
                  <c:v>2004</c:v>
                </c:pt>
                <c:pt idx="56">
                  <c:v>2005</c:v>
                </c:pt>
                <c:pt idx="60">
                  <c:v>2006</c:v>
                </c:pt>
                <c:pt idx="64">
                  <c:v>2007</c:v>
                </c:pt>
                <c:pt idx="68">
                  <c:v>2008</c:v>
                </c:pt>
                <c:pt idx="72">
                  <c:v>2009</c:v>
                </c:pt>
                <c:pt idx="76">
                  <c:v>2010</c:v>
                </c:pt>
                <c:pt idx="80">
                  <c:v>2011</c:v>
                </c:pt>
                <c:pt idx="84">
                  <c:v>2012</c:v>
                </c:pt>
                <c:pt idx="88">
                  <c:v>2013</c:v>
                </c:pt>
                <c:pt idx="92">
                  <c:v>2014</c:v>
                </c:pt>
                <c:pt idx="96">
                  <c:v>2015</c:v>
                </c:pt>
                <c:pt idx="100">
                  <c:v>2016</c:v>
                </c:pt>
                <c:pt idx="104">
                  <c:v>2017</c:v>
                </c:pt>
                <c:pt idx="108">
                  <c:v>2018</c:v>
                </c:pt>
                <c:pt idx="112">
                  <c:v>2019</c:v>
                </c:pt>
              </c:numCache>
            </c:numRef>
          </c:cat>
          <c:val>
            <c:numRef>
              <c:f>'Tab2'!$O$103:$O$218</c:f>
              <c:numCache>
                <c:formatCode>#,##0</c:formatCode>
                <c:ptCount val="116"/>
                <c:pt idx="0">
                  <c:v>6727</c:v>
                </c:pt>
                <c:pt idx="1">
                  <c:v>5864</c:v>
                </c:pt>
                <c:pt idx="2">
                  <c:v>7951</c:v>
                </c:pt>
                <c:pt idx="3">
                  <c:v>13048</c:v>
                </c:pt>
                <c:pt idx="4">
                  <c:v>6509</c:v>
                </c:pt>
                <c:pt idx="5">
                  <c:v>5632</c:v>
                </c:pt>
                <c:pt idx="6">
                  <c:v>8642</c:v>
                </c:pt>
                <c:pt idx="7">
                  <c:v>7139</c:v>
                </c:pt>
                <c:pt idx="8">
                  <c:v>6982</c:v>
                </c:pt>
                <c:pt idx="9">
                  <c:v>6332</c:v>
                </c:pt>
                <c:pt idx="10">
                  <c:v>6675</c:v>
                </c:pt>
                <c:pt idx="11">
                  <c:v>6319</c:v>
                </c:pt>
                <c:pt idx="12">
                  <c:v>6291</c:v>
                </c:pt>
                <c:pt idx="13">
                  <c:v>5517</c:v>
                </c:pt>
                <c:pt idx="14">
                  <c:v>8952</c:v>
                </c:pt>
                <c:pt idx="15">
                  <c:v>8189</c:v>
                </c:pt>
                <c:pt idx="16">
                  <c:v>7699</c:v>
                </c:pt>
                <c:pt idx="17">
                  <c:v>5465</c:v>
                </c:pt>
                <c:pt idx="18">
                  <c:v>9139</c:v>
                </c:pt>
                <c:pt idx="19">
                  <c:v>7500</c:v>
                </c:pt>
                <c:pt idx="20">
                  <c:v>7239</c:v>
                </c:pt>
                <c:pt idx="21">
                  <c:v>6503</c:v>
                </c:pt>
                <c:pt idx="22">
                  <c:v>8934</c:v>
                </c:pt>
                <c:pt idx="23">
                  <c:v>7966</c:v>
                </c:pt>
                <c:pt idx="24">
                  <c:v>7574</c:v>
                </c:pt>
                <c:pt idx="25">
                  <c:v>7284</c:v>
                </c:pt>
                <c:pt idx="26">
                  <c:v>14581</c:v>
                </c:pt>
                <c:pt idx="27">
                  <c:v>9445</c:v>
                </c:pt>
                <c:pt idx="28">
                  <c:v>7614</c:v>
                </c:pt>
                <c:pt idx="29">
                  <c:v>6009</c:v>
                </c:pt>
                <c:pt idx="30">
                  <c:v>8328</c:v>
                </c:pt>
                <c:pt idx="31">
                  <c:v>7526</c:v>
                </c:pt>
                <c:pt idx="32">
                  <c:v>8863</c:v>
                </c:pt>
                <c:pt idx="33">
                  <c:v>5920</c:v>
                </c:pt>
                <c:pt idx="34">
                  <c:v>11181</c:v>
                </c:pt>
                <c:pt idx="35">
                  <c:v>9544</c:v>
                </c:pt>
                <c:pt idx="36">
                  <c:v>9154</c:v>
                </c:pt>
                <c:pt idx="37">
                  <c:v>10238</c:v>
                </c:pt>
                <c:pt idx="38">
                  <c:v>13877</c:v>
                </c:pt>
                <c:pt idx="39">
                  <c:v>9978</c:v>
                </c:pt>
                <c:pt idx="40">
                  <c:v>7776</c:v>
                </c:pt>
                <c:pt idx="41">
                  <c:v>5711</c:v>
                </c:pt>
                <c:pt idx="42">
                  <c:v>15359</c:v>
                </c:pt>
                <c:pt idx="43">
                  <c:v>9601</c:v>
                </c:pt>
                <c:pt idx="44">
                  <c:v>6856</c:v>
                </c:pt>
                <c:pt idx="45">
                  <c:v>9323</c:v>
                </c:pt>
                <c:pt idx="46">
                  <c:v>17422</c:v>
                </c:pt>
                <c:pt idx="47">
                  <c:v>8123</c:v>
                </c:pt>
                <c:pt idx="48">
                  <c:v>6823</c:v>
                </c:pt>
                <c:pt idx="49">
                  <c:v>5618</c:v>
                </c:pt>
                <c:pt idx="50">
                  <c:v>16056</c:v>
                </c:pt>
                <c:pt idx="51">
                  <c:v>7652</c:v>
                </c:pt>
                <c:pt idx="52">
                  <c:v>7033</c:v>
                </c:pt>
                <c:pt idx="53">
                  <c:v>6436</c:v>
                </c:pt>
                <c:pt idx="54">
                  <c:v>11805</c:v>
                </c:pt>
                <c:pt idx="55">
                  <c:v>10088</c:v>
                </c:pt>
                <c:pt idx="56">
                  <c:v>7287</c:v>
                </c:pt>
                <c:pt idx="57">
                  <c:v>6172</c:v>
                </c:pt>
                <c:pt idx="58">
                  <c:v>6734</c:v>
                </c:pt>
                <c:pt idx="59">
                  <c:v>8144</c:v>
                </c:pt>
                <c:pt idx="60">
                  <c:v>6106</c:v>
                </c:pt>
                <c:pt idx="61">
                  <c:v>5246</c:v>
                </c:pt>
                <c:pt idx="62">
                  <c:v>9450</c:v>
                </c:pt>
                <c:pt idx="63">
                  <c:v>10233</c:v>
                </c:pt>
                <c:pt idx="64">
                  <c:v>7737</c:v>
                </c:pt>
                <c:pt idx="65">
                  <c:v>5067</c:v>
                </c:pt>
                <c:pt idx="66">
                  <c:v>6417</c:v>
                </c:pt>
                <c:pt idx="67">
                  <c:v>5114</c:v>
                </c:pt>
                <c:pt idx="68">
                  <c:v>6274</c:v>
                </c:pt>
                <c:pt idx="69">
                  <c:v>5831</c:v>
                </c:pt>
                <c:pt idx="70">
                  <c:v>12252</c:v>
                </c:pt>
                <c:pt idx="71">
                  <c:v>7247</c:v>
                </c:pt>
                <c:pt idx="72">
                  <c:v>6194</c:v>
                </c:pt>
                <c:pt idx="73">
                  <c:v>5486</c:v>
                </c:pt>
                <c:pt idx="74">
                  <c:v>13278</c:v>
                </c:pt>
                <c:pt idx="75">
                  <c:v>6227</c:v>
                </c:pt>
                <c:pt idx="76">
                  <c:v>6690</c:v>
                </c:pt>
                <c:pt idx="77">
                  <c:v>5716</c:v>
                </c:pt>
                <c:pt idx="78">
                  <c:v>9089</c:v>
                </c:pt>
                <c:pt idx="79">
                  <c:v>5858</c:v>
                </c:pt>
                <c:pt idx="80">
                  <c:v>5959</c:v>
                </c:pt>
                <c:pt idx="81">
                  <c:v>7524</c:v>
                </c:pt>
                <c:pt idx="82">
                  <c:v>10171</c:v>
                </c:pt>
                <c:pt idx="83">
                  <c:v>8775.7956028314002</c:v>
                </c:pt>
                <c:pt idx="84">
                  <c:v>6822.44890070785</c:v>
                </c:pt>
                <c:pt idx="85">
                  <c:v>4838.55109929215</c:v>
                </c:pt>
                <c:pt idx="86" formatCode="0">
                  <c:v>6828.0536397386386</c:v>
                </c:pt>
                <c:pt idx="87" formatCode="0">
                  <c:v>5621.9463602613596</c:v>
                </c:pt>
                <c:pt idx="88" formatCode="0">
                  <c:v>5520.4451678348678</c:v>
                </c:pt>
                <c:pt idx="89" formatCode="0">
                  <c:v>6388.5548321651322</c:v>
                </c:pt>
                <c:pt idx="90" formatCode="0">
                  <c:v>11492.955434782609</c:v>
                </c:pt>
                <c:pt idx="91" formatCode="0">
                  <c:v>7745.0445652173912</c:v>
                </c:pt>
                <c:pt idx="92" formatCode="0">
                  <c:v>7032</c:v>
                </c:pt>
                <c:pt idx="93" formatCode="0">
                  <c:v>6228</c:v>
                </c:pt>
                <c:pt idx="94" formatCode="0">
                  <c:v>20407</c:v>
                </c:pt>
                <c:pt idx="95" formatCode="0">
                  <c:v>12863</c:v>
                </c:pt>
                <c:pt idx="96" formatCode="0">
                  <c:v>9848</c:v>
                </c:pt>
                <c:pt idx="97" formatCode="0">
                  <c:v>5422.7168724637304</c:v>
                </c:pt>
                <c:pt idx="98" formatCode="0">
                  <c:v>8619.8584362319707</c:v>
                </c:pt>
                <c:pt idx="99" formatCode="0">
                  <c:v>7193.856491304301</c:v>
                </c:pt>
                <c:pt idx="100" formatCode="0">
                  <c:v>6682.5362000000005</c:v>
                </c:pt>
                <c:pt idx="101" formatCode="0">
                  <c:v>5385.3991579709982</c:v>
                </c:pt>
                <c:pt idx="102" formatCode="0">
                  <c:v>9666.7747891530034</c:v>
                </c:pt>
                <c:pt idx="103" formatCode="0">
                  <c:v>6575.4640743699983</c:v>
                </c:pt>
                <c:pt idx="104" formatCode="0">
                  <c:v>7124.2571060979999</c:v>
                </c:pt>
                <c:pt idx="105" formatCode="0">
                  <c:v>5007.3623026510004</c:v>
                </c:pt>
                <c:pt idx="106" formatCode="0">
                  <c:v>8892</c:v>
                </c:pt>
                <c:pt idx="107" formatCode="0">
                  <c:v>6366</c:v>
                </c:pt>
                <c:pt idx="108" formatCode="0">
                  <c:v>6317</c:v>
                </c:pt>
                <c:pt idx="109" formatCode="0">
                  <c:v>5869.5992710140017</c:v>
                </c:pt>
                <c:pt idx="110" formatCode="0">
                  <c:v>10333.380031159912</c:v>
                </c:pt>
                <c:pt idx="111" formatCode="0">
                  <c:v>7362.2217963768126</c:v>
                </c:pt>
                <c:pt idx="112" formatCode="0">
                  <c:v>6179.0660115942028</c:v>
                </c:pt>
                <c:pt idx="113" formatCode="0">
                  <c:v>8628.701004347824</c:v>
                </c:pt>
                <c:pt idx="114" formatCode="0">
                  <c:v>13748.462299275363</c:v>
                </c:pt>
                <c:pt idx="115" formatCode="0">
                  <c:v>7776.9221253623255</c:v>
                </c:pt>
              </c:numCache>
            </c:numRef>
          </c:val>
          <c:smooth val="0"/>
          <c:extLst>
            <c:ext xmlns:c16="http://schemas.microsoft.com/office/drawing/2014/chart" uri="{C3380CC4-5D6E-409C-BE32-E72D297353CC}">
              <c16:uniqueId val="{00000001-E0D7-4248-80EF-997285299449}"/>
            </c:ext>
          </c:extLst>
        </c:ser>
        <c:dLbls>
          <c:showLegendKey val="0"/>
          <c:showVal val="0"/>
          <c:showCatName val="0"/>
          <c:showSerName val="0"/>
          <c:showPercent val="0"/>
          <c:showBubbleSize val="0"/>
        </c:dLbls>
        <c:upDownBars>
          <c:gapWidth val="150"/>
          <c:upBars/>
          <c:downBars/>
        </c:upDownBars>
        <c:marker val="1"/>
        <c:smooth val="0"/>
        <c:axId val="270716288"/>
        <c:axId val="270714368"/>
      </c:lineChart>
      <c:catAx>
        <c:axId val="270702464"/>
        <c:scaling>
          <c:orientation val="minMax"/>
        </c:scaling>
        <c:delete val="0"/>
        <c:axPos val="b"/>
        <c:majorGridlines>
          <c:spPr>
            <a:ln>
              <a:solidFill>
                <a:srgbClr val="4F81BD">
                  <a:alpha val="25000"/>
                </a:srgbClr>
              </a:solidFill>
            </a:ln>
          </c:spPr>
        </c:majorGridlines>
        <c:numFmt formatCode="General" sourceLinked="1"/>
        <c:majorTickMark val="out"/>
        <c:minorTickMark val="out"/>
        <c:tickLblPos val="nextTo"/>
        <c:txPr>
          <a:bodyPr rot="-3000000" vert="horz"/>
          <a:lstStyle/>
          <a:p>
            <a:pPr>
              <a:defRPr/>
            </a:pPr>
            <a:endParaRPr lang="nb-NO"/>
          </a:p>
        </c:txPr>
        <c:crossAx val="270704000"/>
        <c:crosses val="autoZero"/>
        <c:auto val="1"/>
        <c:lblAlgn val="ctr"/>
        <c:lblOffset val="100"/>
        <c:tickLblSkip val="1"/>
        <c:tickMarkSkip val="4"/>
        <c:noMultiLvlLbl val="0"/>
      </c:catAx>
      <c:valAx>
        <c:axId val="270704000"/>
        <c:scaling>
          <c:orientation val="minMax"/>
        </c:scaling>
        <c:delete val="0"/>
        <c:axPos val="l"/>
        <c:majorGridlines/>
        <c:title>
          <c:tx>
            <c:rich>
              <a:bodyPr rot="-5400000" vert="horz" anchor="ctr" anchorCtr="1"/>
              <a:lstStyle/>
              <a:p>
                <a:pPr>
                  <a:defRPr/>
                </a:pPr>
                <a:r>
                  <a:rPr lang="en-US"/>
                  <a:t>KPI-justert erstatning (millioner kroner)</a:t>
                </a:r>
              </a:p>
            </c:rich>
          </c:tx>
          <c:layout>
            <c:manualLayout>
              <c:xMode val="edge"/>
              <c:yMode val="edge"/>
              <c:x val="1.5657612176468372E-2"/>
              <c:y val="0.13385355900279908"/>
            </c:manualLayout>
          </c:layout>
          <c:overlay val="0"/>
        </c:title>
        <c:numFmt formatCode="#,##0" sourceLinked="0"/>
        <c:majorTickMark val="out"/>
        <c:minorTickMark val="none"/>
        <c:tickLblPos val="nextTo"/>
        <c:crossAx val="270702464"/>
        <c:crosses val="autoZero"/>
        <c:crossBetween val="between"/>
      </c:valAx>
      <c:valAx>
        <c:axId val="270714368"/>
        <c:scaling>
          <c:orientation val="minMax"/>
        </c:scaling>
        <c:delete val="0"/>
        <c:axPos val="r"/>
        <c:title>
          <c:tx>
            <c:rich>
              <a:bodyPr rot="-5400000" vert="horz"/>
              <a:lstStyle/>
              <a:p>
                <a:pPr>
                  <a:defRPr/>
                </a:pPr>
                <a:r>
                  <a:rPr lang="en-US"/>
                  <a:t>Antall meldte brannskader</a:t>
                </a:r>
              </a:p>
            </c:rich>
          </c:tx>
          <c:overlay val="0"/>
        </c:title>
        <c:numFmt formatCode="#,##0" sourceLinked="1"/>
        <c:majorTickMark val="out"/>
        <c:minorTickMark val="none"/>
        <c:tickLblPos val="nextTo"/>
        <c:crossAx val="270716288"/>
        <c:crosses val="max"/>
        <c:crossBetween val="between"/>
      </c:valAx>
      <c:catAx>
        <c:axId val="270716288"/>
        <c:scaling>
          <c:orientation val="minMax"/>
        </c:scaling>
        <c:delete val="1"/>
        <c:axPos val="b"/>
        <c:numFmt formatCode="General" sourceLinked="1"/>
        <c:majorTickMark val="out"/>
        <c:minorTickMark val="none"/>
        <c:tickLblPos val="none"/>
        <c:crossAx val="270714368"/>
        <c:crosses val="autoZero"/>
        <c:auto val="0"/>
        <c:lblAlgn val="ctr"/>
        <c:lblOffset val="100"/>
        <c:noMultiLvlLbl val="0"/>
      </c:catAx>
    </c:plotArea>
    <c:legend>
      <c:legendPos val="r"/>
      <c:layout>
        <c:manualLayout>
          <c:xMode val="edge"/>
          <c:yMode val="edge"/>
          <c:x val="0.17254097125419141"/>
          <c:y val="8.1243623616814989E-2"/>
          <c:w val="0.2317650782352112"/>
          <c:h val="0.10148035666735998"/>
        </c:manualLayout>
      </c:layout>
      <c:overlay val="0"/>
    </c:legend>
    <c:plotVisOnly val="1"/>
    <c:dispBlanksAs val="gap"/>
    <c:showDLblsOverMax val="0"/>
  </c:chart>
  <c:spPr>
    <a:ln>
      <a:noFill/>
    </a:ln>
  </c:spPr>
  <c:printSettings>
    <c:headerFooter/>
    <c:pageMargins b="0.75000000000001465" l="0.70000000000000062" r="0.70000000000000062" t="0.75000000000001465" header="0.30000000000000032" footer="0.30000000000000032"/>
    <c:pageSetup orientation="portrait"/>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editAs="oneCell">
    <xdr:from>
      <xdr:col>0</xdr:col>
      <xdr:colOff>95250</xdr:colOff>
      <xdr:row>0</xdr:row>
      <xdr:rowOff>76200</xdr:rowOff>
    </xdr:from>
    <xdr:to>
      <xdr:col>8</xdr:col>
      <xdr:colOff>197191</xdr:colOff>
      <xdr:row>52</xdr:row>
      <xdr:rowOff>129765</xdr:rowOff>
    </xdr:to>
    <xdr:pic>
      <xdr:nvPicPr>
        <xdr:cNvPr id="8" name="Picture 7">
          <a:extLst>
            <a:ext uri="{FF2B5EF4-FFF2-40B4-BE49-F238E27FC236}">
              <a16:creationId xmlns:a16="http://schemas.microsoft.com/office/drawing/2014/main" id="{62A139A7-9448-4C42-ACCC-B47EC164138E}"/>
            </a:ext>
          </a:extLst>
        </xdr:cNvPr>
        <xdr:cNvPicPr>
          <a:picLocks noChangeAspect="1"/>
        </xdr:cNvPicPr>
      </xdr:nvPicPr>
      <xdr:blipFill>
        <a:blip xmlns:r="http://schemas.openxmlformats.org/officeDocument/2006/relationships" r:embed="rId1"/>
        <a:stretch>
          <a:fillRect/>
        </a:stretch>
      </xdr:blipFill>
      <xdr:spPr>
        <a:xfrm>
          <a:off x="95250" y="76200"/>
          <a:ext cx="6864691" cy="11388315"/>
        </a:xfrm>
        <a:prstGeom prst="rect">
          <a:avLst/>
        </a:prstGeom>
      </xdr:spPr>
    </xdr:pic>
    <xdr:clientData/>
  </xdr:twoCellAnchor>
  <xdr:twoCellAnchor>
    <xdr:from>
      <xdr:col>0</xdr:col>
      <xdr:colOff>847725</xdr:colOff>
      <xdr:row>40</xdr:row>
      <xdr:rowOff>114300</xdr:rowOff>
    </xdr:from>
    <xdr:to>
      <xdr:col>5</xdr:col>
      <xdr:colOff>25417</xdr:colOff>
      <xdr:row>43</xdr:row>
      <xdr:rowOff>0</xdr:rowOff>
    </xdr:to>
    <xdr:sp macro="" textlink="">
      <xdr:nvSpPr>
        <xdr:cNvPr id="3" name="Text Box 6">
          <a:extLst>
            <a:ext uri="{FF2B5EF4-FFF2-40B4-BE49-F238E27FC236}">
              <a16:creationId xmlns:a16="http://schemas.microsoft.com/office/drawing/2014/main" id="{00000000-0008-0000-0000-000003000000}"/>
            </a:ext>
          </a:extLst>
        </xdr:cNvPr>
        <xdr:cNvSpPr txBox="1"/>
      </xdr:nvSpPr>
      <xdr:spPr>
        <a:xfrm>
          <a:off x="847725" y="8924925"/>
          <a:ext cx="3502042" cy="523875"/>
        </a:xfrm>
        <a:prstGeom prst="rect">
          <a:avLst/>
        </a:prstGeom>
        <a:noFill/>
        <a:ln>
          <a:noFill/>
        </a:ln>
        <a:effectLst/>
        <a:extLst>
          <a:ext uri="{C572A759-6A51-4108-AA02-DFA0A04FC94B}">
            <ma14:wrappingTextBoxFlag xmlns:ma14="http://schemas.microsoft.com/office/mac/drawingml/2011/main" xmlns=""/>
          </a:ext>
        </a:ex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spcAft>
              <a:spcPts val="0"/>
            </a:spcAft>
          </a:pPr>
          <a:r>
            <a:rPr lang="nb-NO" sz="1600" b="1">
              <a:effectLst/>
              <a:latin typeface="Arial"/>
              <a:ea typeface="ＭＳ 明朝"/>
              <a:cs typeface="Times New Roman"/>
            </a:rPr>
            <a:t>4. KVARTAL 2019 </a:t>
          </a:r>
          <a:r>
            <a:rPr lang="nb-NO" sz="1000">
              <a:effectLst/>
              <a:latin typeface="Arial"/>
              <a:ea typeface="ＭＳ 明朝"/>
              <a:cs typeface="Times New Roman"/>
            </a:rPr>
            <a:t>(21. februar 2020)</a:t>
          </a:r>
          <a:endParaRPr lang="nb-NO" sz="1200">
            <a:effectLst/>
            <a:ea typeface="ＭＳ 明朝"/>
            <a:cs typeface="Times New Roman"/>
          </a:endParaRPr>
        </a:p>
      </xdr:txBody>
    </xdr:sp>
    <xdr:clientData/>
  </xdr:twoCellAnchor>
  <xdr:twoCellAnchor>
    <xdr:from>
      <xdr:col>0</xdr:col>
      <xdr:colOff>666750</xdr:colOff>
      <xdr:row>33</xdr:row>
      <xdr:rowOff>0</xdr:rowOff>
    </xdr:from>
    <xdr:to>
      <xdr:col>7</xdr:col>
      <xdr:colOff>466725</xdr:colOff>
      <xdr:row>38</xdr:row>
      <xdr:rowOff>101600</xdr:rowOff>
    </xdr:to>
    <xdr:sp macro="" textlink="">
      <xdr:nvSpPr>
        <xdr:cNvPr id="4" name="Text Box 4">
          <a:extLst>
            <a:ext uri="{FF2B5EF4-FFF2-40B4-BE49-F238E27FC236}">
              <a16:creationId xmlns:a16="http://schemas.microsoft.com/office/drawing/2014/main" id="{00000000-0008-0000-0000-000004000000}"/>
            </a:ext>
          </a:extLst>
        </xdr:cNvPr>
        <xdr:cNvSpPr txBox="1"/>
      </xdr:nvSpPr>
      <xdr:spPr>
        <a:xfrm>
          <a:off x="666750" y="7353300"/>
          <a:ext cx="5638800" cy="1168400"/>
        </a:xfrm>
        <a:prstGeom prst="rect">
          <a:avLst/>
        </a:prstGeom>
        <a:noFill/>
        <a:ln>
          <a:noFill/>
        </a:ln>
        <a:effectLst/>
        <a:extLst>
          <a:ext uri="{C572A759-6A51-4108-AA02-DFA0A04FC94B}">
            <ma14:wrappingTextBoxFlag xmlns:ma14="http://schemas.microsoft.com/office/mac/drawingml/2011/main" xmlns=""/>
          </a:ext>
        </a:ex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spcAft>
              <a:spcPts val="0"/>
            </a:spcAft>
          </a:pPr>
          <a:r>
            <a:rPr lang="nb-NO" sz="2800" b="1">
              <a:solidFill>
                <a:srgbClr val="54758C"/>
              </a:solidFill>
              <a:effectLst/>
              <a:latin typeface="Arial"/>
              <a:ea typeface="ＭＳ 明朝"/>
              <a:cs typeface="Times New Roman"/>
            </a:rPr>
            <a:t>SKADESTATISTIKK	</a:t>
          </a:r>
          <a:endParaRPr lang="nb-NO" sz="1200">
            <a:effectLst/>
            <a:ea typeface="ＭＳ 明朝"/>
            <a:cs typeface="Times New Roman"/>
          </a:endParaRPr>
        </a:p>
        <a:p>
          <a:pPr>
            <a:lnSpc>
              <a:spcPct val="120000"/>
            </a:lnSpc>
            <a:spcAft>
              <a:spcPts val="0"/>
            </a:spcAft>
          </a:pPr>
          <a:r>
            <a:rPr lang="en-GB" sz="2600">
              <a:solidFill>
                <a:srgbClr val="54758C"/>
              </a:solidFill>
              <a:effectLst/>
              <a:latin typeface="Arial"/>
              <a:ea typeface="ＭＳ 明朝"/>
              <a:cs typeface="MinionPro-Regular"/>
            </a:rPr>
            <a:t>landbasert forsikring</a:t>
          </a:r>
          <a:endParaRPr lang="nb-NO" sz="1200">
            <a:solidFill>
              <a:srgbClr val="000000"/>
            </a:solidFill>
            <a:effectLst/>
            <a:latin typeface="MinionPro-Regular"/>
            <a:ea typeface="ＭＳ 明朝"/>
            <a:cs typeface="MinionPro-Regular"/>
          </a:endParaRPr>
        </a:p>
        <a:p>
          <a:pPr>
            <a:spcAft>
              <a:spcPts val="0"/>
            </a:spcAft>
          </a:pPr>
          <a:r>
            <a:rPr lang="nb-NO" sz="1200">
              <a:effectLst/>
              <a:ea typeface="ＭＳ 明朝"/>
              <a:cs typeface="Times New Roman"/>
            </a:rPr>
            <a:t> </a:t>
          </a:r>
        </a:p>
      </xdr:txBody>
    </xdr:sp>
    <xdr:clientData/>
  </xdr:twoCellAnchor>
  <xdr:twoCellAnchor>
    <xdr:from>
      <xdr:col>0</xdr:col>
      <xdr:colOff>654050</xdr:colOff>
      <xdr:row>37</xdr:row>
      <xdr:rowOff>101600</xdr:rowOff>
    </xdr:from>
    <xdr:to>
      <xdr:col>7</xdr:col>
      <xdr:colOff>295303</xdr:colOff>
      <xdr:row>39</xdr:row>
      <xdr:rowOff>85809</xdr:rowOff>
    </xdr:to>
    <xdr:sp macro="" textlink="">
      <xdr:nvSpPr>
        <xdr:cNvPr id="5" name="Text Box 5">
          <a:extLst>
            <a:ext uri="{FF2B5EF4-FFF2-40B4-BE49-F238E27FC236}">
              <a16:creationId xmlns:a16="http://schemas.microsoft.com/office/drawing/2014/main" id="{00000000-0008-0000-0000-000005000000}"/>
            </a:ext>
          </a:extLst>
        </xdr:cNvPr>
        <xdr:cNvSpPr txBox="1"/>
      </xdr:nvSpPr>
      <xdr:spPr>
        <a:xfrm>
          <a:off x="654050" y="8359775"/>
          <a:ext cx="5480078" cy="374734"/>
        </a:xfrm>
        <a:prstGeom prst="rect">
          <a:avLst/>
        </a:prstGeom>
        <a:noFill/>
        <a:ln>
          <a:noFill/>
        </a:ln>
        <a:effectLst/>
        <a:extLst>
          <a:ext uri="{C572A759-6A51-4108-AA02-DFA0A04FC94B}">
            <ma14:wrappingTextBoxFlag xmlns:ma14="http://schemas.microsoft.com/office/mac/drawingml/2011/main" xmlns=""/>
          </a:ext>
        </a:ex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nSpc>
              <a:spcPct val="120000"/>
            </a:lnSpc>
            <a:spcAft>
              <a:spcPts val="0"/>
            </a:spcAft>
          </a:pPr>
          <a:r>
            <a:rPr lang="nb-NO" sz="1400">
              <a:solidFill>
                <a:srgbClr val="000000"/>
              </a:solidFill>
              <a:effectLst/>
              <a:latin typeface="Arial"/>
              <a:ea typeface="ＭＳ 明朝"/>
              <a:cs typeface="MinionPro-Regular"/>
            </a:rPr>
            <a:t>Statistikk over antall meldte skader og totalt anslåtte erstatninger</a:t>
          </a:r>
          <a:endParaRPr lang="nb-NO" sz="1200">
            <a:solidFill>
              <a:srgbClr val="000000"/>
            </a:solidFill>
            <a:effectLst/>
            <a:latin typeface="MinionPro-Regular"/>
            <a:ea typeface="ＭＳ 明朝"/>
            <a:cs typeface="MinionPro-Regular"/>
          </a:endParaRPr>
        </a:p>
        <a:p>
          <a:pPr>
            <a:spcAft>
              <a:spcPts val="0"/>
            </a:spcAft>
          </a:pPr>
          <a:r>
            <a:rPr lang="nb-NO" sz="1200">
              <a:effectLst/>
              <a:ea typeface="ＭＳ 明朝"/>
              <a:cs typeface="Times New Roman"/>
            </a:rPr>
            <a:t> </a:t>
          </a:r>
        </a:p>
      </xdr:txBody>
    </xdr:sp>
    <xdr:clientData/>
  </xdr:twoCellAnchor>
  <xdr:twoCellAnchor>
    <xdr:from>
      <xdr:col>0</xdr:col>
      <xdr:colOff>108858</xdr:colOff>
      <xdr:row>4</xdr:row>
      <xdr:rowOff>123825</xdr:rowOff>
    </xdr:from>
    <xdr:to>
      <xdr:col>2</xdr:col>
      <xdr:colOff>346333</xdr:colOff>
      <xdr:row>7</xdr:row>
      <xdr:rowOff>149678</xdr:rowOff>
    </xdr:to>
    <xdr:sp macro="" textlink="">
      <xdr:nvSpPr>
        <xdr:cNvPr id="6" name="Text Box 3">
          <a:extLst>
            <a:ext uri="{FF2B5EF4-FFF2-40B4-BE49-F238E27FC236}">
              <a16:creationId xmlns:a16="http://schemas.microsoft.com/office/drawing/2014/main" id="{00000000-0008-0000-0000-000006000000}"/>
            </a:ext>
          </a:extLst>
        </xdr:cNvPr>
        <xdr:cNvSpPr txBox="1"/>
      </xdr:nvSpPr>
      <xdr:spPr>
        <a:xfrm>
          <a:off x="108858" y="771525"/>
          <a:ext cx="2085325" cy="644978"/>
        </a:xfrm>
        <a:prstGeom prst="rect">
          <a:avLst/>
        </a:prstGeom>
        <a:noFill/>
        <a:ln>
          <a:noFill/>
        </a:ln>
        <a:effectLst/>
        <a:extLst>
          <a:ext uri="{C572A759-6A51-4108-AA02-DFA0A04FC94B}">
            <ma14:wrappingTextBoxFlag xmlns:ma14="http://schemas.microsoft.com/office/mac/drawingml/2011/main" xmlns=""/>
          </a:ext>
        </a:ex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nSpc>
              <a:spcPct val="120000"/>
            </a:lnSpc>
            <a:spcAft>
              <a:spcPts val="0"/>
            </a:spcAft>
          </a:pPr>
          <a:r>
            <a:rPr lang="nb-NO" sz="1400" cap="all">
              <a:ln w="0" cap="flat" cmpd="sng" algn="ctr">
                <a:noFill/>
                <a:prstDash val="solid"/>
                <a:round/>
              </a:ln>
              <a:solidFill>
                <a:schemeClr val="bg1"/>
              </a:solidFill>
              <a:effectLst/>
              <a:latin typeface="Arial"/>
              <a:ea typeface="ＭＳ 明朝"/>
              <a:cs typeface="Arial"/>
            </a:rPr>
            <a:t>SKADEFORSIKRING</a:t>
          </a:r>
          <a:endParaRPr lang="nb-NO" sz="1400">
            <a:ln w="0" cap="flat" cmpd="sng" algn="ctr">
              <a:noFill/>
              <a:prstDash val="solid"/>
              <a:round/>
            </a:ln>
            <a:solidFill>
              <a:schemeClr val="bg1"/>
            </a:solidFill>
            <a:effectLst/>
            <a:latin typeface="Arial"/>
            <a:ea typeface="ＭＳ 明朝"/>
            <a:cs typeface="Arial"/>
          </a:endParaRPr>
        </a:p>
        <a:p>
          <a:pPr>
            <a:spcAft>
              <a:spcPts val="0"/>
            </a:spcAft>
          </a:pPr>
          <a:r>
            <a:rPr lang="nb-NO" sz="1200">
              <a:effectLst/>
              <a:ea typeface="ＭＳ 明朝"/>
              <a:cs typeface="Times New Roman"/>
            </a:rPr>
            <a:t>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276225</xdr:colOff>
      <xdr:row>109</xdr:row>
      <xdr:rowOff>7908</xdr:rowOff>
    </xdr:from>
    <xdr:to>
      <xdr:col>7</xdr:col>
      <xdr:colOff>342900</xdr:colOff>
      <xdr:row>120</xdr:row>
      <xdr:rowOff>95249</xdr:rowOff>
    </xdr:to>
    <xdr:sp macro="" textlink="">
      <xdr:nvSpPr>
        <xdr:cNvPr id="3310" name="Text Box 4">
          <a:extLst>
            <a:ext uri="{FF2B5EF4-FFF2-40B4-BE49-F238E27FC236}">
              <a16:creationId xmlns:a16="http://schemas.microsoft.com/office/drawing/2014/main" id="{00000000-0008-0000-0100-0000EE0C0000}"/>
            </a:ext>
          </a:extLst>
        </xdr:cNvPr>
        <xdr:cNvSpPr txBox="1">
          <a:spLocks noChangeArrowheads="1"/>
        </xdr:cNvSpPr>
      </xdr:nvSpPr>
      <xdr:spPr bwMode="auto">
        <a:xfrm>
          <a:off x="3552825" y="17657733"/>
          <a:ext cx="2524125" cy="1868516"/>
        </a:xfrm>
        <a:prstGeom prst="rect">
          <a:avLst/>
        </a:prstGeom>
        <a:solidFill>
          <a:srgbClr val="FFFFFF"/>
        </a:solidFill>
        <a:ln w="9525">
          <a:noFill/>
          <a:miter lim="800000"/>
          <a:headEnd/>
          <a:tailEnd/>
        </a:ln>
      </xdr:spPr>
      <xdr:txBody>
        <a:bodyPr/>
        <a:lstStyle/>
        <a:p>
          <a:endParaRPr lang="nb-NO" sz="1100" b="0" i="0" baseline="0">
            <a:solidFill>
              <a:schemeClr val="dk1"/>
            </a:solidFill>
            <a:latin typeface="Times New Roman" pitchFamily="18" charset="0"/>
            <a:ea typeface="+mn-ea"/>
            <a:cs typeface="Times New Roman" pitchFamily="18"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72076</xdr:colOff>
      <xdr:row>2</xdr:row>
      <xdr:rowOff>60960</xdr:rowOff>
    </xdr:from>
    <xdr:to>
      <xdr:col>2</xdr:col>
      <xdr:colOff>260350</xdr:colOff>
      <xdr:row>43</xdr:row>
      <xdr:rowOff>82538</xdr:rowOff>
    </xdr:to>
    <xdr:sp macro="" textlink="">
      <xdr:nvSpPr>
        <xdr:cNvPr id="5121" name="Text Box 1">
          <a:extLst>
            <a:ext uri="{FF2B5EF4-FFF2-40B4-BE49-F238E27FC236}">
              <a16:creationId xmlns:a16="http://schemas.microsoft.com/office/drawing/2014/main" id="{00000000-0008-0000-0200-000001140000}"/>
            </a:ext>
          </a:extLst>
        </xdr:cNvPr>
        <xdr:cNvSpPr txBox="1">
          <a:spLocks noChangeArrowheads="1"/>
        </xdr:cNvSpPr>
      </xdr:nvSpPr>
      <xdr:spPr bwMode="auto">
        <a:xfrm>
          <a:off x="72076" y="330835"/>
          <a:ext cx="2696524" cy="7720953"/>
        </a:xfrm>
        <a:prstGeom prst="rect">
          <a:avLst/>
        </a:prstGeom>
        <a:solidFill>
          <a:srgbClr val="FFFFFF"/>
        </a:solidFill>
        <a:ln w="9525">
          <a:noFill/>
          <a:miter lim="800000"/>
          <a:headEnd/>
          <a:tailEnd/>
        </a:ln>
      </xdr:spPr>
      <xdr:txBody>
        <a:bodyPr vertOverflow="clip" wrap="square" lIns="27432" tIns="27432" rIns="0" bIns="0" anchor="t" upright="1"/>
        <a:lstStyle/>
        <a:p>
          <a:pPr rtl="0"/>
          <a:r>
            <a:rPr lang="en-US" sz="1100" b="1" i="0">
              <a:effectLst/>
              <a:latin typeface="Times New Roman" panose="02020603050405020304" pitchFamily="18" charset="0"/>
              <a:ea typeface="+mn-ea"/>
              <a:cs typeface="Times New Roman" panose="02020603050405020304" pitchFamily="18" charset="0"/>
            </a:rPr>
            <a:t>HOVEDTREKK - Normalår for brann, våt høst  </a:t>
          </a:r>
          <a:endParaRPr lang="nb-NO">
            <a:effectLst/>
            <a:latin typeface="Times New Roman" panose="02020603050405020304" pitchFamily="18" charset="0"/>
            <a:cs typeface="Times New Roman" panose="02020603050405020304" pitchFamily="18" charset="0"/>
          </a:endParaRPr>
        </a:p>
        <a:p>
          <a:pPr rtl="0"/>
          <a:r>
            <a:rPr lang="en-US" sz="1000" b="0" i="0" baseline="0">
              <a:effectLst/>
              <a:latin typeface="Times New Roman" panose="02020603050405020304" pitchFamily="18" charset="0"/>
              <a:ea typeface="+mn-ea"/>
              <a:cs typeface="Times New Roman" panose="02020603050405020304" pitchFamily="18" charset="0"/>
            </a:rPr>
            <a:t>Erstatningene for landbasert forsikring totalt i 2019 økte med 2 prosent fra 2018 og ble på 43,4 mrd. kr. Erstatning på bygning og løsøre ble 6 prosent lavere enn i 2018, noe som skyldes reduserte brannerstatninger og fravær av erstatning etter snøtyngde. Samlet er det erstattet 14,8 mrd. kr på bygning og løsøre, </a:t>
          </a:r>
          <a:r>
            <a:rPr lang="en-US" sz="1000" b="0" i="0" baseline="0">
              <a:solidFill>
                <a:sysClr val="windowText" lastClr="000000"/>
              </a:solidFill>
              <a:effectLst/>
              <a:latin typeface="Times New Roman" panose="02020603050405020304" pitchFamily="18" charset="0"/>
              <a:ea typeface="+mn-ea"/>
              <a:cs typeface="Times New Roman" panose="02020603050405020304" pitchFamily="18" charset="0"/>
            </a:rPr>
            <a:t>hvorav brannerstatningene er 5,4 mrd. kr i 2019 som er en reduksjon på 9 prosent fra i 2018. Mens erstatning etter vannskader økte med 7 prosent og ble på nesten 4,9 mrd.kr i 2019. Det var særlig august og september som var svært våt på østlandsområdet.</a:t>
          </a:r>
        </a:p>
        <a:p>
          <a:pPr rtl="0"/>
          <a:endParaRPr lang="en-US" sz="1100" b="1" i="0">
            <a:effectLst/>
            <a:latin typeface="Times New Roman" panose="02020603050405020304" pitchFamily="18" charset="0"/>
            <a:ea typeface="+mn-ea"/>
            <a:cs typeface="Times New Roman" panose="02020603050405020304" pitchFamily="18" charset="0"/>
          </a:endParaRPr>
        </a:p>
        <a:p>
          <a:pPr rtl="0"/>
          <a:r>
            <a:rPr lang="en-US" sz="1100" b="1" i="0">
              <a:effectLst/>
              <a:latin typeface="Times New Roman" panose="02020603050405020304" pitchFamily="18" charset="0"/>
              <a:ea typeface="+mn-ea"/>
              <a:cs typeface="Times New Roman" panose="02020603050405020304" pitchFamily="18" charset="0"/>
            </a:rPr>
            <a:t>Motorvogn – mer tyveri og dyrere kaskoskader</a:t>
          </a:r>
          <a:endParaRPr lang="nb-NO">
            <a:effectLst/>
            <a:latin typeface="Times New Roman" panose="02020603050405020304" pitchFamily="18" charset="0"/>
            <a:cs typeface="Times New Roman" panose="02020603050405020304" pitchFamily="18" charset="0"/>
          </a:endParaRPr>
        </a:p>
        <a:p>
          <a:pPr rtl="0"/>
          <a:r>
            <a:rPr lang="en-US" sz="1000" b="0" i="0" baseline="0">
              <a:effectLst/>
              <a:latin typeface="Times New Roman" panose="02020603050405020304" pitchFamily="18" charset="0"/>
              <a:ea typeface="+mn-ea"/>
              <a:cs typeface="Times New Roman" panose="02020603050405020304" pitchFamily="18" charset="0"/>
            </a:rPr>
            <a:t>Antall meldte motorkjøretøyskader er 3 prosent lavere enn i 2018, mens erstatningsbeløpet økte med 4 prosent til 15,8 mrd. kr og dette skyldes særlig kaskoskadene som har økt fra 7,3 mrd. kr i 2018 til 7,8 mrd. kr i 2019. Betydning av tyveri av og fra kjøretøy er betraktelig mindre enn kasko, men i 2019 er det økning etter mange års reduksjon. Erstatningene etter tyveri av og fra kjøretøy er samlet på 261 mill.kr i 2019, som er en økning på 20 prosent fra 2018. Det er særlig tyveri fra kjøretøy som øker, også i antall meldte tilfeller. I gjennomsnitt ble det erstattet tyveri-fra-skader for 22 500 kr i 2019. </a:t>
          </a:r>
          <a:endParaRPr lang="nb-NO" sz="1000" baseline="0">
            <a:effectLst/>
            <a:latin typeface="Times New Roman" panose="02020603050405020304" pitchFamily="18" charset="0"/>
            <a:cs typeface="Times New Roman" panose="02020603050405020304" pitchFamily="18" charset="0"/>
          </a:endParaRPr>
        </a:p>
        <a:p>
          <a:pPr rtl="0"/>
          <a:endParaRPr lang="en-US" sz="1100" b="1" i="0">
            <a:effectLst/>
            <a:latin typeface="Times New Roman" panose="02020603050405020304" pitchFamily="18" charset="0"/>
            <a:ea typeface="+mn-ea"/>
            <a:cs typeface="Times New Roman" panose="02020603050405020304" pitchFamily="18" charset="0"/>
          </a:endParaRPr>
        </a:p>
        <a:p>
          <a:pPr rtl="0"/>
          <a:r>
            <a:rPr lang="en-US" sz="1100" b="1" i="0">
              <a:effectLst/>
              <a:latin typeface="Times New Roman" panose="02020603050405020304" pitchFamily="18" charset="0"/>
              <a:ea typeface="+mn-ea"/>
              <a:cs typeface="Times New Roman" panose="02020603050405020304" pitchFamily="18" charset="0"/>
            </a:rPr>
            <a:t>Brann-kombinert privat - økte vannskader  </a:t>
          </a:r>
          <a:endParaRPr lang="nb-NO">
            <a:effectLst/>
            <a:latin typeface="Times New Roman" panose="02020603050405020304" pitchFamily="18" charset="0"/>
            <a:cs typeface="Times New Roman" panose="02020603050405020304" pitchFamily="18" charset="0"/>
          </a:endParaRPr>
        </a:p>
        <a:p>
          <a:pPr rtl="0"/>
          <a:r>
            <a:rPr lang="nb-NO" sz="1000">
              <a:effectLst/>
              <a:latin typeface="Times New Roman" panose="02020603050405020304" pitchFamily="18" charset="0"/>
              <a:ea typeface="+mn-ea"/>
              <a:cs typeface="Times New Roman" panose="02020603050405020304" pitchFamily="18" charset="0"/>
            </a:rPr>
            <a:t>Erstatninger på private bygninger og innbo ble redusert til en mer normal situasjon uten 2018’s snøtyngde- og frost-skader. Erstatningene i 2019 ble på nesten 8,9 mrd. kr som er en liten reduksjon fra 2018 på 0,4 prosent. Men erstatning etter vannskader økte med 10 prosent fra 2018 til 2019. Mye av dette skyldes ekstremnedbør på Østlandsområdet i august og september. Erstatning etter vannskader ble 3,2 mrd.kr i 2019 som 366 mill.kr høyere enn brannerstatningene. Antall meldte brannskader økte med 26 prosent, mens brannerstatningene på nesten 2,9 mrd.kr er 6 prosent lavere enn i 2018. Mye av økningen i antall brannskader er som følge av lynnedslag som ofte gir lite skadeomfang. Antall meldte skader etter tyveri/innbrudd/ran økte mye fra villa og hjem/innbo, mens det fortsatt er en reduksjon fra hytte.</a:t>
          </a:r>
        </a:p>
      </xdr:txBody>
    </xdr:sp>
    <xdr:clientData/>
  </xdr:twoCellAnchor>
  <xdr:twoCellAnchor>
    <xdr:from>
      <xdr:col>2</xdr:col>
      <xdr:colOff>368300</xdr:colOff>
      <xdr:row>2</xdr:row>
      <xdr:rowOff>59851</xdr:rowOff>
    </xdr:from>
    <xdr:to>
      <xdr:col>6</xdr:col>
      <xdr:colOff>476250</xdr:colOff>
      <xdr:row>43</xdr:row>
      <xdr:rowOff>82550</xdr:rowOff>
    </xdr:to>
    <xdr:sp macro="" textlink="">
      <xdr:nvSpPr>
        <xdr:cNvPr id="5122" name="Text Box 2">
          <a:extLst>
            <a:ext uri="{FF2B5EF4-FFF2-40B4-BE49-F238E27FC236}">
              <a16:creationId xmlns:a16="http://schemas.microsoft.com/office/drawing/2014/main" id="{00000000-0008-0000-0200-000002140000}"/>
            </a:ext>
          </a:extLst>
        </xdr:cNvPr>
        <xdr:cNvSpPr txBox="1">
          <a:spLocks noChangeArrowheads="1"/>
        </xdr:cNvSpPr>
      </xdr:nvSpPr>
      <xdr:spPr bwMode="auto">
        <a:xfrm>
          <a:off x="2876550" y="329726"/>
          <a:ext cx="2520950" cy="7722074"/>
        </a:xfrm>
        <a:prstGeom prst="rect">
          <a:avLst/>
        </a:prstGeom>
        <a:solidFill>
          <a:srgbClr val="FFFFFF"/>
        </a:solidFill>
        <a:ln w="9525">
          <a:noFill/>
          <a:miter lim="800000"/>
          <a:headEnd/>
          <a:tailEnd/>
        </a:ln>
      </xdr:spPr>
      <xdr:txBody>
        <a:bodyPr vertOverflow="clip" wrap="square" lIns="27432" tIns="27432" rIns="0" bIns="0" anchor="t" upright="1"/>
        <a:lstStyle/>
        <a:p>
          <a:pPr rtl="0" eaLnBrk="1" fontAlgn="auto" latinLnBrk="0" hangingPunct="1"/>
          <a:r>
            <a:rPr lang="nb-NO" sz="1100" b="1" i="0">
              <a:effectLst/>
              <a:latin typeface="Times New Roman" panose="02020603050405020304" pitchFamily="18" charset="0"/>
              <a:ea typeface="+mn-ea"/>
              <a:cs typeface="Times New Roman" panose="02020603050405020304" pitchFamily="18" charset="0"/>
            </a:rPr>
            <a:t>Brann-kombinert næring – færre storskader på brann</a:t>
          </a:r>
        </a:p>
        <a:p>
          <a:pPr rtl="0" eaLnBrk="1" fontAlgn="auto" latinLnBrk="0" hangingPunct="1"/>
          <a:r>
            <a:rPr lang="nb-NO" sz="1000">
              <a:effectLst/>
              <a:latin typeface="Times New Roman" panose="02020603050405020304" pitchFamily="18" charset="0"/>
              <a:ea typeface="+mn-ea"/>
              <a:cs typeface="Times New Roman" panose="02020603050405020304" pitchFamily="18" charset="0"/>
            </a:rPr>
            <a:t>Erstatningene på næringsbygg og løsøre ble på 5,9 mrd.kr i 2019 som er reduksjon fra 2018 med 12 prosent. Brannerstatningene på 2,6 mrd.kr </a:t>
          </a:r>
          <a:r>
            <a:rPr lang="nb-NO" sz="1000">
              <a:solidFill>
                <a:sysClr val="windowText" lastClr="000000"/>
              </a:solidFill>
              <a:effectLst/>
              <a:latin typeface="Times New Roman" panose="02020603050405020304" pitchFamily="18" charset="0"/>
              <a:ea typeface="+mn-ea"/>
              <a:cs typeface="Times New Roman" panose="02020603050405020304" pitchFamily="18" charset="0"/>
            </a:rPr>
            <a:t>i 2019 ble redusert med 13 prosent, noe som i stor grad skyldes fravær av storskader i 2019. Erstatning etter vannskader økte «bare» med 2 prosent fra 2018 og ble på 1,6 mrd.kr. I 2019 var det mer normal vinter slik at fravær av snøtyngdeskader også bidrar til reduksjonen i de totale erstatningene fra 2018. </a:t>
          </a:r>
          <a:endParaRPr lang="nb-NO" sz="1000">
            <a:solidFill>
              <a:sysClr val="windowText" lastClr="000000"/>
            </a:solidFill>
            <a:effectLst/>
            <a:latin typeface="Times New Roman" panose="02020603050405020304" pitchFamily="18" charset="0"/>
            <a:cs typeface="Times New Roman" panose="02020603050405020304" pitchFamily="18" charset="0"/>
          </a:endParaRPr>
        </a:p>
        <a:p>
          <a:pPr rtl="0"/>
          <a:endParaRPr lang="en-US" sz="1100" b="1" i="0">
            <a:effectLst/>
            <a:latin typeface="Times New Roman" panose="02020603050405020304" pitchFamily="18" charset="0"/>
            <a:ea typeface="+mn-ea"/>
            <a:cs typeface="Times New Roman" panose="02020603050405020304" pitchFamily="18" charset="0"/>
          </a:endParaRPr>
        </a:p>
        <a:p>
          <a:pPr rtl="0"/>
          <a:r>
            <a:rPr lang="en-US" sz="1100" b="1" i="0">
              <a:effectLst/>
              <a:latin typeface="Times New Roman" panose="02020603050405020304" pitchFamily="18" charset="0"/>
              <a:ea typeface="+mn-ea"/>
              <a:cs typeface="Times New Roman" panose="02020603050405020304" pitchFamily="18" charset="0"/>
            </a:rPr>
            <a:t>Reiseforsikring - økt reiseaktivitet</a:t>
          </a:r>
          <a:endParaRPr lang="nb-NO">
            <a:effectLst/>
            <a:latin typeface="Times New Roman" panose="02020603050405020304" pitchFamily="18" charset="0"/>
            <a:cs typeface="Times New Roman" panose="02020603050405020304" pitchFamily="18" charset="0"/>
          </a:endParaRPr>
        </a:p>
        <a:p>
          <a:pPr rtl="0"/>
          <a:r>
            <a:rPr lang="en-US" sz="1000" b="0" i="0">
              <a:effectLst/>
              <a:latin typeface="Times New Roman" panose="02020603050405020304" pitchFamily="18" charset="0"/>
              <a:ea typeface="+mn-ea"/>
              <a:cs typeface="Times New Roman" panose="02020603050405020304" pitchFamily="18" charset="0"/>
            </a:rPr>
            <a:t>På reiseforsikring øker både antall skader og erstatningsbeløp fra 2018 til 2019; rundt 5 prosent både i antall og erstatningsbeløp. Fortsatt er det økning på erstatning etter sykdom på reise, selv om det i sommermånedene er mye tyveri og tap av reisegods. I 2019 ble det erstattet reiseskader for nesten 2,3 mrd. kr, hvor reisesykdom utgjør 1,1 mrd. kr. Erstatning etter avbestilling økte med 3 prosent og ble på 496 mill.kr, mens tyveriskadene ble erstattet med 341 mill.kr.   </a:t>
          </a:r>
        </a:p>
        <a:p>
          <a:pPr rtl="0"/>
          <a:endParaRPr lang="nb-NO" sz="1100" b="1" i="0" baseline="0">
            <a:effectLst/>
            <a:latin typeface="Times New Roman" panose="02020603050405020304" pitchFamily="18" charset="0"/>
            <a:ea typeface="+mn-ea"/>
            <a:cs typeface="Times New Roman" panose="02020603050405020304" pitchFamily="18" charset="0"/>
          </a:endParaRPr>
        </a:p>
        <a:p>
          <a:pPr rtl="0"/>
          <a:r>
            <a:rPr lang="nb-NO" sz="1100" b="1" i="0" baseline="0">
              <a:effectLst/>
              <a:latin typeface="Times New Roman" panose="02020603050405020304" pitchFamily="18" charset="0"/>
              <a:ea typeface="+mn-ea"/>
              <a:cs typeface="Times New Roman" panose="02020603050405020304" pitchFamily="18" charset="0"/>
            </a:rPr>
            <a:t>Fritidsbåtforsikring - dårlig båtvær</a:t>
          </a:r>
          <a:endParaRPr lang="nb-NO">
            <a:effectLst/>
            <a:latin typeface="Times New Roman" panose="02020603050405020304" pitchFamily="18" charset="0"/>
            <a:cs typeface="Times New Roman" panose="02020603050405020304" pitchFamily="18" charset="0"/>
          </a:endParaRPr>
        </a:p>
        <a:p>
          <a:pPr rtl="0"/>
          <a:r>
            <a:rPr lang="nb-NO" sz="1000" b="0" i="0" baseline="0">
              <a:effectLst/>
              <a:latin typeface="Times New Roman" panose="02020603050405020304" pitchFamily="18" charset="0"/>
              <a:ea typeface="+mn-ea"/>
              <a:cs typeface="Times New Roman" panose="02020603050405020304" pitchFamily="18" charset="0"/>
            </a:rPr>
            <a:t>Selv om det i begynnelsen av 2019 var en del stormskader i Nord-Norge som også ga skade på fritidsbåter, ser resten av året ut til å være roligere enn 2018. Sommeren 2018 var spesiell på grunn av det gode været i mesteparten av landet. I 2019 er erstatningene på 506 mill.kr som er 6 prosent lavere enn i 2018. Havariskadene utgjør 278 mill.kr og ble redusert med 6 prosent fra 2018.</a:t>
          </a:r>
        </a:p>
        <a:p>
          <a:pPr rtl="0"/>
          <a:endParaRPr lang="nb-NO" sz="1100" b="1" i="0" baseline="0">
            <a:effectLst/>
            <a:latin typeface="Times New Roman" panose="02020603050405020304" pitchFamily="18" charset="0"/>
            <a:ea typeface="+mn-ea"/>
            <a:cs typeface="Times New Roman" panose="02020603050405020304" pitchFamily="18" charset="0"/>
          </a:endParaRPr>
        </a:p>
        <a:p>
          <a:pPr rtl="0"/>
          <a:r>
            <a:rPr lang="nb-NO" sz="1100" b="1" i="0" baseline="0">
              <a:effectLst/>
              <a:latin typeface="Times New Roman" panose="02020603050405020304" pitchFamily="18" charset="0"/>
              <a:ea typeface="+mn-ea"/>
              <a:cs typeface="Times New Roman" panose="02020603050405020304" pitchFamily="18" charset="0"/>
            </a:rPr>
            <a:t>Behandlingsforsikring – økt portefølje</a:t>
          </a:r>
        </a:p>
        <a:p>
          <a:pPr rtl="0"/>
          <a:r>
            <a:rPr lang="nb-NO" sz="1000" b="0" i="0" baseline="0">
              <a:effectLst/>
              <a:latin typeface="Times New Roman" panose="02020603050405020304" pitchFamily="18" charset="0"/>
              <a:ea typeface="+mn-ea"/>
              <a:cs typeface="Times New Roman" panose="02020603050405020304" pitchFamily="18" charset="0"/>
            </a:rPr>
            <a:t>Porteføljen vokser mye på behandlingsforsikring og dette gjenspeiler seg i erstatningsutviklingen i 2019. Totalt er det erstatninger på 1,3 mrd.kr som er en økning på rundt 21 prosent fra 2018. Størst økning er det på utgifter til spesialist/diagnose. Prosentvis økning er størst på utgifter til psykolog/psykiater, men dette kan ha sammenheng at det er flere avtaler som har med denne dekningen.  </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15</xdr:col>
      <xdr:colOff>27214</xdr:colOff>
      <xdr:row>6</xdr:row>
      <xdr:rowOff>201386</xdr:rowOff>
    </xdr:from>
    <xdr:to>
      <xdr:col>22</xdr:col>
      <xdr:colOff>57151</xdr:colOff>
      <xdr:row>30</xdr:row>
      <xdr:rowOff>76201</xdr:rowOff>
    </xdr:to>
    <xdr:graphicFrame macro="">
      <xdr:nvGraphicFramePr>
        <xdr:cNvPr id="1953" name="Chart 1">
          <a:extLst>
            <a:ext uri="{FF2B5EF4-FFF2-40B4-BE49-F238E27FC236}">
              <a16:creationId xmlns:a16="http://schemas.microsoft.com/office/drawing/2014/main" id="{00000000-0008-0000-0300-0000A107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639535</xdr:colOff>
      <xdr:row>33</xdr:row>
      <xdr:rowOff>136071</xdr:rowOff>
    </xdr:from>
    <xdr:to>
      <xdr:col>21</xdr:col>
      <xdr:colOff>951139</xdr:colOff>
      <xdr:row>56</xdr:row>
      <xdr:rowOff>1361</xdr:rowOff>
    </xdr:to>
    <xdr:graphicFrame macro="">
      <xdr:nvGraphicFramePr>
        <xdr:cNvPr id="1954" name="Chart 2">
          <a:extLst>
            <a:ext uri="{FF2B5EF4-FFF2-40B4-BE49-F238E27FC236}">
              <a16:creationId xmlns:a16="http://schemas.microsoft.com/office/drawing/2014/main" id="{00000000-0008-0000-0300-0000A207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63501</xdr:colOff>
      <xdr:row>6</xdr:row>
      <xdr:rowOff>127000</xdr:rowOff>
    </xdr:from>
    <xdr:to>
      <xdr:col>14</xdr:col>
      <xdr:colOff>609600</xdr:colOff>
      <xdr:row>28</xdr:row>
      <xdr:rowOff>127000</xdr:rowOff>
    </xdr:to>
    <xdr:graphicFrame macro="">
      <xdr:nvGraphicFramePr>
        <xdr:cNvPr id="1956" name="Chart 4">
          <a:extLst>
            <a:ext uri="{FF2B5EF4-FFF2-40B4-BE49-F238E27FC236}">
              <a16:creationId xmlns:a16="http://schemas.microsoft.com/office/drawing/2014/main" id="{00000000-0008-0000-0300-0000A407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54430</xdr:colOff>
      <xdr:row>7</xdr:row>
      <xdr:rowOff>40821</xdr:rowOff>
    </xdr:from>
    <xdr:to>
      <xdr:col>29</xdr:col>
      <xdr:colOff>6805</xdr:colOff>
      <xdr:row>26</xdr:row>
      <xdr:rowOff>1360</xdr:rowOff>
    </xdr:to>
    <xdr:graphicFrame macro="">
      <xdr:nvGraphicFramePr>
        <xdr:cNvPr id="1957" name="Chart 5">
          <a:extLst>
            <a:ext uri="{FF2B5EF4-FFF2-40B4-BE49-F238E27FC236}">
              <a16:creationId xmlns:a16="http://schemas.microsoft.com/office/drawing/2014/main" id="{00000000-0008-0000-0300-0000A507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22</xdr:col>
      <xdr:colOff>27215</xdr:colOff>
      <xdr:row>34</xdr:row>
      <xdr:rowOff>0</xdr:rowOff>
    </xdr:from>
    <xdr:to>
      <xdr:col>29</xdr:col>
      <xdr:colOff>55790</xdr:colOff>
      <xdr:row>56</xdr:row>
      <xdr:rowOff>47625</xdr:rowOff>
    </xdr:to>
    <xdr:graphicFrame macro="">
      <xdr:nvGraphicFramePr>
        <xdr:cNvPr id="1958" name="Chart 6">
          <a:extLst>
            <a:ext uri="{FF2B5EF4-FFF2-40B4-BE49-F238E27FC236}">
              <a16:creationId xmlns:a16="http://schemas.microsoft.com/office/drawing/2014/main" id="{00000000-0008-0000-0300-0000A607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95250</xdr:colOff>
      <xdr:row>7</xdr:row>
      <xdr:rowOff>40821</xdr:rowOff>
    </xdr:from>
    <xdr:to>
      <xdr:col>7</xdr:col>
      <xdr:colOff>168729</xdr:colOff>
      <xdr:row>29</xdr:row>
      <xdr:rowOff>29935</xdr:rowOff>
    </xdr:to>
    <xdr:graphicFrame macro="">
      <xdr:nvGraphicFramePr>
        <xdr:cNvPr id="1959" name="Chart 7">
          <a:extLst>
            <a:ext uri="{FF2B5EF4-FFF2-40B4-BE49-F238E27FC236}">
              <a16:creationId xmlns:a16="http://schemas.microsoft.com/office/drawing/2014/main" id="{00000000-0008-0000-0300-0000A707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0</xdr:colOff>
      <xdr:row>33</xdr:row>
      <xdr:rowOff>16328</xdr:rowOff>
    </xdr:from>
    <xdr:to>
      <xdr:col>7</xdr:col>
      <xdr:colOff>92529</xdr:colOff>
      <xdr:row>58</xdr:row>
      <xdr:rowOff>122464</xdr:rowOff>
    </xdr:to>
    <xdr:graphicFrame macro="">
      <xdr:nvGraphicFramePr>
        <xdr:cNvPr id="1960" name="Chart 8">
          <a:extLst>
            <a:ext uri="{FF2B5EF4-FFF2-40B4-BE49-F238E27FC236}">
              <a16:creationId xmlns:a16="http://schemas.microsoft.com/office/drawing/2014/main" id="{00000000-0008-0000-0300-0000A807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8</xdr:col>
      <xdr:colOff>38100</xdr:colOff>
      <xdr:row>32</xdr:row>
      <xdr:rowOff>127000</xdr:rowOff>
    </xdr:from>
    <xdr:to>
      <xdr:col>15</xdr:col>
      <xdr:colOff>12700</xdr:colOff>
      <xdr:row>55</xdr:row>
      <xdr:rowOff>152400</xdr:rowOff>
    </xdr:to>
    <xdr:graphicFrame macro="">
      <xdr:nvGraphicFramePr>
        <xdr:cNvPr id="10" name="Chart 9">
          <a:extLst>
            <a:ext uri="{FF2B5EF4-FFF2-40B4-BE49-F238E27FC236}">
              <a16:creationId xmlns:a16="http://schemas.microsoft.com/office/drawing/2014/main" id="{00000000-0008-0000-03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29</xdr:col>
      <xdr:colOff>0</xdr:colOff>
      <xdr:row>7</xdr:row>
      <xdr:rowOff>0</xdr:rowOff>
    </xdr:from>
    <xdr:to>
      <xdr:col>35</xdr:col>
      <xdr:colOff>736600</xdr:colOff>
      <xdr:row>29</xdr:row>
      <xdr:rowOff>71438</xdr:rowOff>
    </xdr:to>
    <xdr:graphicFrame macro="">
      <xdr:nvGraphicFramePr>
        <xdr:cNvPr id="14" name="Chart 13">
          <a:extLst>
            <a:ext uri="{FF2B5EF4-FFF2-40B4-BE49-F238E27FC236}">
              <a16:creationId xmlns:a16="http://schemas.microsoft.com/office/drawing/2014/main" id="{00000000-0008-0000-0300-00000E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29</xdr:col>
      <xdr:colOff>0</xdr:colOff>
      <xdr:row>34</xdr:row>
      <xdr:rowOff>0</xdr:rowOff>
    </xdr:from>
    <xdr:to>
      <xdr:col>35</xdr:col>
      <xdr:colOff>736600</xdr:colOff>
      <xdr:row>56</xdr:row>
      <xdr:rowOff>47625</xdr:rowOff>
    </xdr:to>
    <xdr:graphicFrame macro="">
      <xdr:nvGraphicFramePr>
        <xdr:cNvPr id="15" name="Chart 14">
          <a:extLst>
            <a:ext uri="{FF2B5EF4-FFF2-40B4-BE49-F238E27FC236}">
              <a16:creationId xmlns:a16="http://schemas.microsoft.com/office/drawing/2014/main" id="{00000000-0008-0000-0300-00000F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4</xdr:row>
      <xdr:rowOff>104775</xdr:rowOff>
    </xdr:from>
    <xdr:to>
      <xdr:col>2</xdr:col>
      <xdr:colOff>381000</xdr:colOff>
      <xdr:row>51</xdr:row>
      <xdr:rowOff>0</xdr:rowOff>
    </xdr:to>
    <xdr:sp macro="" textlink="">
      <xdr:nvSpPr>
        <xdr:cNvPr id="6145" name="Text Box 1">
          <a:extLst>
            <a:ext uri="{FF2B5EF4-FFF2-40B4-BE49-F238E27FC236}">
              <a16:creationId xmlns:a16="http://schemas.microsoft.com/office/drawing/2014/main" id="{00000000-0008-0000-1600-000001180000}"/>
            </a:ext>
          </a:extLst>
        </xdr:cNvPr>
        <xdr:cNvSpPr txBox="1">
          <a:spLocks noChangeArrowheads="1"/>
        </xdr:cNvSpPr>
      </xdr:nvSpPr>
      <xdr:spPr bwMode="auto">
        <a:xfrm>
          <a:off x="0" y="612775"/>
          <a:ext cx="2889250" cy="9547225"/>
        </a:xfrm>
        <a:prstGeom prst="rect">
          <a:avLst/>
        </a:prstGeom>
        <a:solidFill>
          <a:srgbClr val="FFFFFF"/>
        </a:solidFill>
        <a:ln w="9525">
          <a:noFill/>
          <a:miter lim="800000"/>
          <a:headEnd/>
          <a:tailEnd/>
        </a:ln>
      </xdr:spPr>
      <xdr:txBody>
        <a:bodyPr vertOverflow="clip" wrap="square" lIns="27432" tIns="27432" rIns="0" bIns="0" anchor="t" upright="1"/>
        <a:lstStyle/>
        <a:p>
          <a:pPr algn="l" rtl="0">
            <a:defRPr sz="1000"/>
          </a:pPr>
          <a:r>
            <a:rPr lang="en-US" sz="1200" b="1" i="0" strike="noStrike">
              <a:solidFill>
                <a:srgbClr val="000000"/>
              </a:solidFill>
              <a:latin typeface="Times New Roman"/>
              <a:cs typeface="Times New Roman"/>
            </a:rPr>
            <a:t>Formål</a:t>
          </a:r>
          <a:endParaRPr lang="en-US" sz="1200" b="0" i="0" strike="noStrike">
            <a:solidFill>
              <a:srgbClr val="000000"/>
            </a:solidFill>
            <a:latin typeface="Times New Roman"/>
            <a:cs typeface="Times New Roman"/>
          </a:endParaRPr>
        </a:p>
        <a:p>
          <a:pPr algn="l" rtl="0">
            <a:defRPr sz="1000"/>
          </a:pPr>
          <a:r>
            <a:rPr lang="en-US" sz="1200" b="0" i="0" strike="noStrike">
              <a:solidFill>
                <a:srgbClr val="000000"/>
              </a:solidFill>
              <a:latin typeface="Times New Roman"/>
              <a:cs typeface="Times New Roman"/>
            </a:rPr>
            <a:t>Hovedformålet med statistikken er å skaffe en oversikt over utviklingen av antall skader og erstatningsnivå over tid innen de forskjellige bransjene i landbasert skadeforsikring, fordelt på skadetyper. </a:t>
          </a:r>
        </a:p>
        <a:p>
          <a:pPr algn="l" rtl="0">
            <a:defRPr sz="1000"/>
          </a:pPr>
          <a:endParaRPr lang="en-US" sz="1200" b="0" i="0" strike="noStrike">
            <a:solidFill>
              <a:srgbClr val="000000"/>
            </a:solidFill>
            <a:latin typeface="Times New Roman"/>
            <a:cs typeface="Times New Roman"/>
          </a:endParaRPr>
        </a:p>
        <a:p>
          <a:pPr algn="l" rtl="0">
            <a:defRPr sz="1000"/>
          </a:pPr>
          <a:r>
            <a:rPr lang="en-US" sz="1200" b="1" i="0" strike="noStrike">
              <a:solidFill>
                <a:srgbClr val="000000"/>
              </a:solidFill>
              <a:latin typeface="Times New Roman"/>
              <a:cs typeface="Times New Roman"/>
            </a:rPr>
            <a:t>Datagrunnlag</a:t>
          </a:r>
          <a:endParaRPr lang="en-US" sz="1200" b="0" i="0" strike="noStrike">
            <a:solidFill>
              <a:srgbClr val="000000"/>
            </a:solidFill>
            <a:latin typeface="Times New Roman"/>
            <a:cs typeface="Times New Roman"/>
          </a:endParaRPr>
        </a:p>
        <a:p>
          <a:pPr algn="l" rtl="0">
            <a:defRPr sz="1000"/>
          </a:pPr>
          <a:r>
            <a:rPr lang="en-US" sz="1200" b="0" i="0" strike="noStrike">
              <a:solidFill>
                <a:srgbClr val="000000"/>
              </a:solidFill>
              <a:latin typeface="Times New Roman"/>
              <a:cs typeface="Times New Roman"/>
            </a:rPr>
            <a:t>Følgende selskaper inngår i statistikken:</a:t>
          </a:r>
        </a:p>
        <a:p>
          <a:pPr algn="l" rtl="0">
            <a:defRPr sz="1000"/>
          </a:pPr>
          <a:r>
            <a:rPr lang="en-US" sz="1050" b="0" i="0" strike="noStrike">
              <a:solidFill>
                <a:srgbClr val="000000"/>
              </a:solidFill>
              <a:latin typeface="Times New Roman" pitchFamily="18" charset="0"/>
              <a:ea typeface="+mn-ea"/>
              <a:cs typeface="Times New Roman" pitchFamily="18" charset="0"/>
            </a:rPr>
            <a:t> ACE European Group,</a:t>
          </a:r>
        </a:p>
        <a:p>
          <a:pPr algn="l" rtl="0">
            <a:defRPr sz="1000"/>
          </a:pPr>
          <a:r>
            <a:rPr lang="en-US" sz="1050" b="0" i="0" strike="noStrike">
              <a:solidFill>
                <a:srgbClr val="000000"/>
              </a:solidFill>
              <a:latin typeface="Times New Roman" pitchFamily="18" charset="0"/>
              <a:ea typeface="+mn-ea"/>
              <a:cs typeface="Times New Roman" pitchFamily="18" charset="0"/>
            </a:rPr>
            <a:t> AIG Europe, </a:t>
          </a:r>
        </a:p>
        <a:p>
          <a:pPr algn="l" rtl="0">
            <a:defRPr sz="1000"/>
          </a:pPr>
          <a:r>
            <a:rPr lang="en-US" sz="1050" b="0" i="0" strike="noStrike" baseline="0">
              <a:solidFill>
                <a:srgbClr val="000000"/>
              </a:solidFill>
              <a:latin typeface="Times New Roman" pitchFamily="18" charset="0"/>
              <a:ea typeface="+mn-ea"/>
              <a:cs typeface="Times New Roman" pitchFamily="18" charset="0"/>
            </a:rPr>
            <a:t> </a:t>
          </a:r>
          <a:r>
            <a:rPr lang="en-US" sz="1050" b="0" i="0" strike="noStrike">
              <a:solidFill>
                <a:srgbClr val="000000"/>
              </a:solidFill>
              <a:latin typeface="Times New Roman" pitchFamily="18" charset="0"/>
              <a:ea typeface="+mn-ea"/>
              <a:cs typeface="Times New Roman" pitchFamily="18" charset="0"/>
            </a:rPr>
            <a:t>Codan Forsikring,</a:t>
          </a:r>
        </a:p>
        <a:p>
          <a:pPr algn="l" rtl="0">
            <a:defRPr sz="1000"/>
          </a:pPr>
          <a:r>
            <a:rPr lang="en-US" sz="1050" b="0" i="0" strike="noStrike">
              <a:solidFill>
                <a:srgbClr val="000000"/>
              </a:solidFill>
              <a:latin typeface="Times New Roman" pitchFamily="18" charset="0"/>
              <a:ea typeface="+mn-ea"/>
              <a:cs typeface="Times New Roman" pitchFamily="18" charset="0"/>
            </a:rPr>
            <a:t> Danica,</a:t>
          </a:r>
        </a:p>
        <a:p>
          <a:pPr algn="l" rtl="0">
            <a:defRPr sz="1000"/>
          </a:pPr>
          <a:r>
            <a:rPr lang="en-US" sz="1050" b="0" i="0" strike="noStrike">
              <a:solidFill>
                <a:srgbClr val="000000"/>
              </a:solidFill>
              <a:latin typeface="Times New Roman" pitchFamily="18" charset="0"/>
              <a:ea typeface="+mn-ea"/>
              <a:cs typeface="Times New Roman" pitchFamily="18" charset="0"/>
            </a:rPr>
            <a:t> DNB Forsikring,</a:t>
          </a:r>
        </a:p>
        <a:p>
          <a:pPr algn="l" rtl="0">
            <a:defRPr sz="1000"/>
          </a:pPr>
          <a:r>
            <a:rPr lang="en-US" sz="1050" b="0" i="0" strike="noStrike">
              <a:solidFill>
                <a:srgbClr val="000000"/>
              </a:solidFill>
              <a:latin typeface="Times New Roman" pitchFamily="18" charset="0"/>
              <a:ea typeface="+mn-ea"/>
              <a:cs typeface="Times New Roman" pitchFamily="18" charset="0"/>
            </a:rPr>
            <a:t> Eika Forsikring,</a:t>
          </a:r>
        </a:p>
        <a:p>
          <a:pPr algn="l" rtl="0">
            <a:defRPr sz="1000"/>
          </a:pPr>
          <a:r>
            <a:rPr lang="en-US" sz="1050" b="0" i="0" strike="noStrike">
              <a:solidFill>
                <a:srgbClr val="000000"/>
              </a:solidFill>
              <a:latin typeface="Times New Roman" pitchFamily="18" charset="0"/>
              <a:ea typeface="+mn-ea"/>
              <a:cs typeface="Times New Roman" pitchFamily="18" charset="0"/>
            </a:rPr>
            <a:t> Euro Insurance LTD,</a:t>
          </a:r>
        </a:p>
        <a:p>
          <a:pPr algn="l" rtl="0">
            <a:defRPr sz="1000"/>
          </a:pPr>
          <a:r>
            <a:rPr lang="en-US" sz="1050" b="0" i="0" strike="noStrike">
              <a:solidFill>
                <a:srgbClr val="000000"/>
              </a:solidFill>
              <a:latin typeface="Times New Roman" pitchFamily="18" charset="0"/>
              <a:ea typeface="+mn-ea"/>
              <a:cs typeface="Times New Roman" pitchFamily="18" charset="0"/>
            </a:rPr>
            <a:t> Fremtind Forsikring,</a:t>
          </a:r>
        </a:p>
        <a:p>
          <a:pPr algn="l" rtl="0">
            <a:defRPr sz="1000"/>
          </a:pPr>
          <a:r>
            <a:rPr lang="en-US" sz="1050" b="0" i="0" strike="noStrike">
              <a:solidFill>
                <a:srgbClr val="000000"/>
              </a:solidFill>
              <a:latin typeface="Times New Roman" pitchFamily="18" charset="0"/>
              <a:ea typeface="+mn-ea"/>
              <a:cs typeface="Times New Roman" pitchFamily="18" charset="0"/>
            </a:rPr>
            <a:t> Frende,</a:t>
          </a:r>
        </a:p>
        <a:p>
          <a:pPr algn="l" rtl="0">
            <a:defRPr sz="1000"/>
          </a:pPr>
          <a:r>
            <a:rPr lang="en-US" sz="1050" b="0" i="0" strike="noStrike">
              <a:solidFill>
                <a:srgbClr val="000000"/>
              </a:solidFill>
              <a:latin typeface="Times New Roman" pitchFamily="18" charset="0"/>
              <a:ea typeface="+mn-ea"/>
              <a:cs typeface="Times New Roman" pitchFamily="18" charset="0"/>
            </a:rPr>
            <a:t> Gjensidige,</a:t>
          </a:r>
        </a:p>
        <a:p>
          <a:pPr algn="l" rtl="0">
            <a:defRPr sz="1000"/>
          </a:pPr>
          <a:r>
            <a:rPr lang="en-US" sz="1050" b="0" i="0" strike="noStrike">
              <a:solidFill>
                <a:srgbClr val="000000"/>
              </a:solidFill>
              <a:latin typeface="Times New Roman" pitchFamily="18" charset="0"/>
              <a:ea typeface="+mn-ea"/>
              <a:cs typeface="Times New Roman" pitchFamily="18" charset="0"/>
            </a:rPr>
            <a:t> If Skadeforsikring,</a:t>
          </a:r>
        </a:p>
        <a:p>
          <a:pPr algn="l" rtl="0">
            <a:defRPr sz="1000"/>
          </a:pPr>
          <a:r>
            <a:rPr lang="en-US" sz="1050" b="0" i="0" strike="noStrike">
              <a:solidFill>
                <a:srgbClr val="000000"/>
              </a:solidFill>
              <a:latin typeface="Times New Roman" pitchFamily="18" charset="0"/>
              <a:ea typeface="+mn-ea"/>
              <a:cs typeface="Times New Roman" pitchFamily="18" charset="0"/>
            </a:rPr>
            <a:t> Insr,</a:t>
          </a:r>
        </a:p>
        <a:p>
          <a:pPr algn="l" rtl="0">
            <a:defRPr sz="1000"/>
          </a:pPr>
          <a:r>
            <a:rPr lang="en-US" sz="1050" b="0" i="0" strike="noStrike">
              <a:solidFill>
                <a:srgbClr val="000000"/>
              </a:solidFill>
              <a:latin typeface="Times New Roman" pitchFamily="18" charset="0"/>
              <a:ea typeface="+mn-ea"/>
              <a:cs typeface="Times New Roman" pitchFamily="18" charset="0"/>
            </a:rPr>
            <a:t> Inter Hannover,</a:t>
          </a:r>
        </a:p>
        <a:p>
          <a:pPr algn="l" rtl="0">
            <a:defRPr sz="1000"/>
          </a:pPr>
          <a:r>
            <a:rPr lang="en-US" sz="1050" b="0" i="0" strike="noStrike">
              <a:solidFill>
                <a:srgbClr val="000000"/>
              </a:solidFill>
              <a:latin typeface="Times New Roman" pitchFamily="18" charset="0"/>
              <a:ea typeface="+mn-ea"/>
              <a:cs typeface="Times New Roman" pitchFamily="18" charset="0"/>
            </a:rPr>
            <a:t> Jernbanepersonalets bank og forsikring,</a:t>
          </a:r>
        </a:p>
        <a:p>
          <a:pPr algn="l" rtl="0">
            <a:defRPr sz="1000"/>
          </a:pPr>
          <a:r>
            <a:rPr lang="en-US" sz="1050" b="0" i="0" strike="noStrike">
              <a:solidFill>
                <a:srgbClr val="000000"/>
              </a:solidFill>
              <a:latin typeface="Times New Roman" pitchFamily="18" charset="0"/>
              <a:ea typeface="+mn-ea"/>
              <a:cs typeface="Times New Roman" pitchFamily="18" charset="0"/>
            </a:rPr>
            <a:t> KLP skadeforsikring,</a:t>
          </a:r>
        </a:p>
        <a:p>
          <a:pPr algn="l" rtl="0">
            <a:defRPr sz="1000"/>
          </a:pPr>
          <a:r>
            <a:rPr lang="en-US" sz="1050" b="0" i="0" strike="noStrike">
              <a:solidFill>
                <a:srgbClr val="000000"/>
              </a:solidFill>
              <a:latin typeface="Times New Roman" pitchFamily="18" charset="0"/>
              <a:ea typeface="+mn-ea"/>
              <a:cs typeface="Times New Roman" pitchFamily="18" charset="0"/>
            </a:rPr>
            <a:t> KNIF Trygghet Forsikring,</a:t>
          </a:r>
        </a:p>
        <a:p>
          <a:pPr algn="l" rtl="0">
            <a:defRPr sz="1000"/>
          </a:pPr>
          <a:r>
            <a:rPr lang="en-US" sz="1050" b="0" i="0" strike="noStrike">
              <a:solidFill>
                <a:srgbClr val="000000"/>
              </a:solidFill>
              <a:latin typeface="Times New Roman" pitchFamily="18" charset="0"/>
              <a:ea typeface="+mn-ea"/>
              <a:cs typeface="Times New Roman" pitchFamily="18" charset="0"/>
            </a:rPr>
            <a:t> Landkreditt Forsikring,</a:t>
          </a:r>
        </a:p>
        <a:p>
          <a:pPr algn="l" rtl="0">
            <a:defRPr sz="1000"/>
          </a:pPr>
          <a:r>
            <a:rPr lang="en-US" sz="1050" b="0" i="0" strike="noStrike">
              <a:solidFill>
                <a:srgbClr val="000000"/>
              </a:solidFill>
              <a:latin typeface="Times New Roman" pitchFamily="18" charset="0"/>
              <a:ea typeface="+mn-ea"/>
              <a:cs typeface="Times New Roman" pitchFamily="18" charset="0"/>
            </a:rPr>
            <a:t> Møretrygd,</a:t>
          </a:r>
        </a:p>
        <a:p>
          <a:pPr algn="l" rtl="0">
            <a:defRPr sz="1000"/>
          </a:pPr>
          <a:r>
            <a:rPr lang="en-US" sz="1050" b="0" i="0" strike="noStrike">
              <a:solidFill>
                <a:srgbClr val="000000"/>
              </a:solidFill>
              <a:latin typeface="Times New Roman" pitchFamily="18" charset="0"/>
              <a:ea typeface="+mn-ea"/>
              <a:cs typeface="Times New Roman" pitchFamily="18" charset="0"/>
            </a:rPr>
            <a:t> NEMI,</a:t>
          </a:r>
        </a:p>
        <a:p>
          <a:pPr algn="l" rtl="0">
            <a:defRPr sz="1000"/>
          </a:pPr>
          <a:r>
            <a:rPr lang="en-US" sz="1050" b="0" i="0" strike="noStrike">
              <a:solidFill>
                <a:srgbClr val="000000"/>
              </a:solidFill>
              <a:latin typeface="Times New Roman" pitchFamily="18" charset="0"/>
              <a:ea typeface="+mn-ea"/>
              <a:cs typeface="Times New Roman" pitchFamily="18" charset="0"/>
            </a:rPr>
            <a:t> Nordea,</a:t>
          </a:r>
        </a:p>
        <a:p>
          <a:pPr algn="l" rtl="0">
            <a:defRPr sz="1000"/>
          </a:pPr>
          <a:r>
            <a:rPr lang="en-US" sz="1050" b="0" i="0" strike="noStrike">
              <a:solidFill>
                <a:srgbClr val="000000"/>
              </a:solidFill>
              <a:latin typeface="Times New Roman" pitchFamily="18" charset="0"/>
              <a:ea typeface="+mn-ea"/>
              <a:cs typeface="Times New Roman" pitchFamily="18" charset="0"/>
            </a:rPr>
            <a:t> OBOS Skadeforsikring,</a:t>
          </a:r>
        </a:p>
        <a:p>
          <a:pPr algn="l" rtl="0">
            <a:defRPr sz="1000"/>
          </a:pPr>
          <a:r>
            <a:rPr lang="en-US" sz="1050" b="0" i="0" strike="noStrike">
              <a:solidFill>
                <a:srgbClr val="000000"/>
              </a:solidFill>
              <a:latin typeface="Times New Roman" pitchFamily="18" charset="0"/>
              <a:ea typeface="+mn-ea"/>
              <a:cs typeface="Times New Roman" pitchFamily="18" charset="0"/>
            </a:rPr>
            <a:t> Oslo Forsikring,</a:t>
          </a:r>
        </a:p>
        <a:p>
          <a:pPr algn="l" rtl="0">
            <a:defRPr sz="1000"/>
          </a:pPr>
          <a:r>
            <a:rPr lang="en-US" sz="1050" b="0" i="0" strike="noStrike">
              <a:solidFill>
                <a:srgbClr val="000000"/>
              </a:solidFill>
              <a:latin typeface="Times New Roman" pitchFamily="18" charset="0"/>
              <a:ea typeface="+mn-ea"/>
              <a:cs typeface="Times New Roman" pitchFamily="18" charset="0"/>
            </a:rPr>
            <a:t> Oslo Pensjonsforsikring,</a:t>
          </a:r>
        </a:p>
        <a:p>
          <a:pPr algn="l" rtl="0">
            <a:defRPr sz="1000"/>
          </a:pPr>
          <a:r>
            <a:rPr lang="en-US" sz="1050" b="0" i="0" strike="noStrike">
              <a:solidFill>
                <a:srgbClr val="000000"/>
              </a:solidFill>
              <a:latin typeface="Times New Roman" pitchFamily="18" charset="0"/>
              <a:ea typeface="+mn-ea"/>
              <a:cs typeface="Times New Roman" pitchFamily="18" charset="0"/>
            </a:rPr>
            <a:t> Protector Forsikring,</a:t>
          </a:r>
        </a:p>
        <a:p>
          <a:pPr algn="l" rtl="0">
            <a:defRPr sz="1000"/>
          </a:pPr>
          <a:r>
            <a:rPr lang="en-US" sz="1050" b="0" i="0" strike="noStrike">
              <a:solidFill>
                <a:srgbClr val="000000"/>
              </a:solidFill>
              <a:latin typeface="Times New Roman" pitchFamily="18" charset="0"/>
              <a:ea typeface="+mn-ea"/>
              <a:cs typeface="Times New Roman" pitchFamily="18" charset="0"/>
            </a:rPr>
            <a:t> Skogbrand,</a:t>
          </a:r>
        </a:p>
        <a:p>
          <a:pPr algn="l" rtl="0">
            <a:defRPr sz="1000"/>
          </a:pPr>
          <a:r>
            <a:rPr lang="en-US" sz="1050" b="0" i="0" strike="noStrike">
              <a:solidFill>
                <a:srgbClr val="000000"/>
              </a:solidFill>
              <a:latin typeface="Times New Roman" pitchFamily="18" charset="0"/>
              <a:ea typeface="+mn-ea"/>
              <a:cs typeface="Times New Roman" pitchFamily="18" charset="0"/>
            </a:rPr>
            <a:t> SpareBank 1 Livsforsikring,</a:t>
          </a:r>
        </a:p>
        <a:p>
          <a:pPr algn="l" rtl="0">
            <a:defRPr sz="1000"/>
          </a:pPr>
          <a:r>
            <a:rPr lang="en-US" sz="1050" b="0" i="0" strike="noStrike">
              <a:solidFill>
                <a:srgbClr val="000000"/>
              </a:solidFill>
              <a:latin typeface="Times New Roman" pitchFamily="18" charset="0"/>
              <a:ea typeface="+mn-ea"/>
              <a:cs typeface="Times New Roman" pitchFamily="18" charset="0"/>
            </a:rPr>
            <a:t> Sparebank 1 Skadeforsikring,</a:t>
          </a:r>
        </a:p>
        <a:p>
          <a:pPr algn="l" rtl="0">
            <a:defRPr sz="1000"/>
          </a:pPr>
          <a:r>
            <a:rPr lang="en-US" sz="1050" b="0" i="0" strike="noStrike">
              <a:solidFill>
                <a:srgbClr val="000000"/>
              </a:solidFill>
              <a:latin typeface="Times New Roman" pitchFamily="18" charset="0"/>
              <a:ea typeface="+mn-ea"/>
              <a:cs typeface="Times New Roman" pitchFamily="18" charset="0"/>
            </a:rPr>
            <a:t> Storebrand Forsikring,</a:t>
          </a:r>
        </a:p>
        <a:p>
          <a:pPr algn="l" rtl="0">
            <a:defRPr sz="1000"/>
          </a:pPr>
          <a:r>
            <a:rPr lang="en-US" sz="1050" b="0" i="0" strike="noStrike">
              <a:solidFill>
                <a:srgbClr val="000000"/>
              </a:solidFill>
              <a:latin typeface="Times New Roman" pitchFamily="18" charset="0"/>
              <a:ea typeface="+mn-ea"/>
              <a:cs typeface="Times New Roman" pitchFamily="18" charset="0"/>
            </a:rPr>
            <a:t> Telenor Forsikring,</a:t>
          </a:r>
        </a:p>
        <a:p>
          <a:pPr algn="l" rtl="0">
            <a:defRPr sz="1000"/>
          </a:pPr>
          <a:r>
            <a:rPr lang="en-US" sz="1050" b="0" i="0" strike="noStrike">
              <a:solidFill>
                <a:srgbClr val="000000"/>
              </a:solidFill>
              <a:latin typeface="Times New Roman" pitchFamily="18" charset="0"/>
              <a:ea typeface="+mn-ea"/>
              <a:cs typeface="Times New Roman" pitchFamily="18" charset="0"/>
            </a:rPr>
            <a:t> Troll Forsikring,</a:t>
          </a:r>
        </a:p>
        <a:p>
          <a:pPr algn="l" rtl="0">
            <a:defRPr sz="1000"/>
          </a:pPr>
          <a:r>
            <a:rPr lang="en-US" sz="1050" b="0" i="0" strike="noStrike">
              <a:solidFill>
                <a:srgbClr val="000000"/>
              </a:solidFill>
              <a:latin typeface="Times New Roman" pitchFamily="18" charset="0"/>
              <a:ea typeface="+mn-ea"/>
              <a:cs typeface="Times New Roman" pitchFamily="18" charset="0"/>
            </a:rPr>
            <a:t> Tryg,</a:t>
          </a:r>
        </a:p>
        <a:p>
          <a:pPr algn="l" rtl="0">
            <a:defRPr sz="1000"/>
          </a:pPr>
          <a:r>
            <a:rPr lang="en-US" sz="1050" b="0" i="0" strike="noStrike">
              <a:solidFill>
                <a:srgbClr val="000000"/>
              </a:solidFill>
              <a:latin typeface="Times New Roman" pitchFamily="18" charset="0"/>
              <a:ea typeface="+mn-ea"/>
              <a:cs typeface="Times New Roman" pitchFamily="18" charset="0"/>
            </a:rPr>
            <a:t> W. R. Berkley &amp;</a:t>
          </a:r>
        </a:p>
        <a:p>
          <a:pPr algn="l" rtl="0">
            <a:defRPr sz="1000"/>
          </a:pPr>
          <a:r>
            <a:rPr lang="en-US" sz="1050" b="0" i="0" strike="noStrike">
              <a:solidFill>
                <a:srgbClr val="000000"/>
              </a:solidFill>
              <a:latin typeface="Times New Roman" pitchFamily="18" charset="0"/>
              <a:ea typeface="+mn-ea"/>
              <a:cs typeface="Times New Roman" pitchFamily="18" charset="0"/>
            </a:rPr>
            <a:t> WaterCircles Forsikring</a:t>
          </a:r>
        </a:p>
        <a:p>
          <a:pPr algn="l" rtl="0">
            <a:defRPr sz="1000"/>
          </a:pPr>
          <a:r>
            <a:rPr lang="en-US" sz="1050" b="0" i="0" strike="noStrike">
              <a:solidFill>
                <a:srgbClr val="000000"/>
              </a:solidFill>
              <a:latin typeface="Times New Roman" pitchFamily="18" charset="0"/>
              <a:ea typeface="+mn-ea"/>
              <a:cs typeface="Times New Roman" pitchFamily="18" charset="0"/>
            </a:rPr>
            <a:t>(merk at noen av disse nå har blitt kjøpt opp, slått seg sammen med andre selskap, meldt seg ut av Finans Norge, eller endret navn.)</a:t>
          </a:r>
        </a:p>
        <a:p>
          <a:pPr algn="l" rtl="0">
            <a:defRPr sz="1000"/>
          </a:pPr>
          <a:endParaRPr lang="en-US" sz="1050" b="0" i="0" strike="noStrike">
            <a:solidFill>
              <a:srgbClr val="000000"/>
            </a:solidFill>
            <a:latin typeface="Times New Roman" pitchFamily="18" charset="0"/>
            <a:ea typeface="+mn-ea"/>
            <a:cs typeface="Times New Roman" pitchFamily="18" charset="0"/>
          </a:endParaRPr>
        </a:p>
        <a:p>
          <a:pPr algn="l" rtl="0">
            <a:defRPr sz="1000"/>
          </a:pPr>
          <a:r>
            <a:rPr lang="en-US" sz="1200" b="0" i="0" strike="noStrike">
              <a:solidFill>
                <a:srgbClr val="000000"/>
              </a:solidFill>
              <a:latin typeface="Times New Roman"/>
              <a:cs typeface="Times New Roman"/>
            </a:rPr>
            <a:t>Disse selskapene utgjør hovedtyngden av det norske markedet for landbasert skadeforsikring, men vi gjør oppmerksom på at dette varierer fra bransje til bransje. F.eks. vil disse selskapene utgjøre så å si hele motorvognmarkedet, mens for industriforsikring eksisterer det en rekke andre aktører (captives og utenlandske selskaper) som ikke rapporterer til denne statistikken.</a:t>
          </a:r>
        </a:p>
        <a:p>
          <a:pPr algn="l" rtl="0">
            <a:defRPr sz="1000"/>
          </a:pPr>
          <a:endParaRPr lang="en-US" sz="1200" b="0" i="0" strike="noStrike">
            <a:solidFill>
              <a:srgbClr val="000000"/>
            </a:solidFill>
            <a:latin typeface="Times New Roman"/>
            <a:cs typeface="Times New Roman"/>
          </a:endParaRPr>
        </a:p>
      </xdr:txBody>
    </xdr:sp>
    <xdr:clientData/>
  </xdr:twoCellAnchor>
  <xdr:twoCellAnchor>
    <xdr:from>
      <xdr:col>2</xdr:col>
      <xdr:colOff>460375</xdr:colOff>
      <xdr:row>4</xdr:row>
      <xdr:rowOff>96537</xdr:rowOff>
    </xdr:from>
    <xdr:to>
      <xdr:col>7</xdr:col>
      <xdr:colOff>0</xdr:colOff>
      <xdr:row>50</xdr:row>
      <xdr:rowOff>142874</xdr:rowOff>
    </xdr:to>
    <xdr:sp macro="" textlink="">
      <xdr:nvSpPr>
        <xdr:cNvPr id="6146" name="Text Box 2">
          <a:extLst>
            <a:ext uri="{FF2B5EF4-FFF2-40B4-BE49-F238E27FC236}">
              <a16:creationId xmlns:a16="http://schemas.microsoft.com/office/drawing/2014/main" id="{00000000-0008-0000-1600-000002180000}"/>
            </a:ext>
          </a:extLst>
        </xdr:cNvPr>
        <xdr:cNvSpPr txBox="1">
          <a:spLocks noChangeArrowheads="1"/>
        </xdr:cNvSpPr>
      </xdr:nvSpPr>
      <xdr:spPr bwMode="auto">
        <a:xfrm>
          <a:off x="2968625" y="604537"/>
          <a:ext cx="2492375" cy="9539587"/>
        </a:xfrm>
        <a:prstGeom prst="rect">
          <a:avLst/>
        </a:prstGeom>
        <a:solidFill>
          <a:srgbClr val="FFFFFF"/>
        </a:solidFill>
        <a:ln w="9525">
          <a:noFill/>
          <a:miter lim="800000"/>
          <a:headEnd/>
          <a:tailEnd/>
        </a:ln>
      </xdr:spPr>
      <xdr:txBody>
        <a:bodyPr vertOverflow="clip" wrap="square" lIns="27432" tIns="27432" rIns="0" bIns="0" anchor="t" upright="1"/>
        <a:lstStyle/>
        <a:p>
          <a:pPr algn="l" rtl="0">
            <a:defRPr sz="1000"/>
          </a:pPr>
          <a:endParaRPr lang="en-US" sz="1200" b="1" i="0" strike="noStrike">
            <a:solidFill>
              <a:srgbClr val="000000"/>
            </a:solidFill>
            <a:latin typeface="Times New Roman"/>
            <a:cs typeface="Times New Roman"/>
          </a:endParaRPr>
        </a:p>
        <a:p>
          <a:pPr algn="l" rtl="0">
            <a:defRPr sz="1000"/>
          </a:pPr>
          <a:r>
            <a:rPr lang="en-US" sz="1200" b="0" i="1" strike="noStrike">
              <a:solidFill>
                <a:srgbClr val="000000"/>
              </a:solidFill>
              <a:latin typeface="Times New Roman"/>
              <a:cs typeface="Times New Roman"/>
            </a:rPr>
            <a:t>Naturskadeutbetalingene</a:t>
          </a:r>
          <a:r>
            <a:rPr lang="en-US" sz="1200" b="0" i="0" strike="noStrike">
              <a:solidFill>
                <a:srgbClr val="000000"/>
              </a:solidFill>
              <a:latin typeface="Times New Roman"/>
              <a:cs typeface="Times New Roman"/>
            </a:rPr>
            <a:t> er holdt utenfor statistikken. Det samme gjelder </a:t>
          </a:r>
          <a:r>
            <a:rPr lang="en-US" sz="1200" b="0" i="1" strike="noStrike">
              <a:solidFill>
                <a:srgbClr val="000000"/>
              </a:solidFill>
              <a:latin typeface="Times New Roman"/>
              <a:cs typeface="Times New Roman"/>
            </a:rPr>
            <a:t>kreditt</a:t>
          </a:r>
          <a:r>
            <a:rPr lang="en-US" sz="1200" b="0" i="0" strike="noStrike">
              <a:solidFill>
                <a:srgbClr val="000000"/>
              </a:solidFill>
              <a:latin typeface="Times New Roman"/>
              <a:cs typeface="Times New Roman"/>
            </a:rPr>
            <a:t>- og </a:t>
          </a:r>
          <a:r>
            <a:rPr lang="en-US" sz="1200" b="0" i="1" strike="noStrike">
              <a:solidFill>
                <a:srgbClr val="000000"/>
              </a:solidFill>
              <a:latin typeface="Times New Roman"/>
              <a:cs typeface="Times New Roman"/>
            </a:rPr>
            <a:t>sjøforsikring.</a:t>
          </a:r>
          <a:endParaRPr lang="en-US" sz="1200" b="0" i="0" strike="noStrike">
            <a:solidFill>
              <a:srgbClr val="000000"/>
            </a:solidFill>
            <a:latin typeface="Times New Roman"/>
            <a:cs typeface="Times New Roman"/>
          </a:endParaRPr>
        </a:p>
        <a:p>
          <a:pPr algn="l" rtl="0">
            <a:defRPr sz="1000"/>
          </a:pPr>
          <a:endParaRPr lang="en-US" sz="1200" b="1" i="0" strike="noStrike">
            <a:solidFill>
              <a:srgbClr val="000000"/>
            </a:solidFill>
            <a:latin typeface="Times New Roman" pitchFamily="18" charset="0"/>
            <a:cs typeface="Times New Roman" pitchFamily="18" charset="0"/>
          </a:endParaRPr>
        </a:p>
        <a:p>
          <a:pPr rtl="0"/>
          <a:r>
            <a:rPr lang="en-US" sz="1200" b="1" i="0">
              <a:latin typeface="Times New Roman" pitchFamily="18" charset="0"/>
              <a:ea typeface="+mn-ea"/>
              <a:cs typeface="Times New Roman" pitchFamily="18" charset="0"/>
            </a:rPr>
            <a:t>Prinsipper</a:t>
          </a:r>
          <a:endParaRPr lang="en-US" sz="1200" b="0" i="0">
            <a:latin typeface="Times New Roman" pitchFamily="18" charset="0"/>
            <a:ea typeface="+mn-ea"/>
            <a:cs typeface="Times New Roman" pitchFamily="18" charset="0"/>
          </a:endParaRPr>
        </a:p>
        <a:p>
          <a:pPr rtl="0"/>
          <a:r>
            <a:rPr lang="en-US" sz="1200" b="0" i="0">
              <a:latin typeface="Times New Roman" pitchFamily="18" charset="0"/>
              <a:ea typeface="+mn-ea"/>
              <a:cs typeface="Times New Roman" pitchFamily="18" charset="0"/>
            </a:rPr>
            <a:t>Det er lagt vekt på å kunne presentere så aktuelle tall som mulig. Tidligere tall oppdateres ikke, men presenteres for å vise hva man trodde på tilsvarende tidspunkt for de to foregående år. </a:t>
          </a:r>
          <a:endParaRPr lang="nb-NO" sz="1200">
            <a:latin typeface="Times New Roman" pitchFamily="18" charset="0"/>
            <a:cs typeface="Times New Roman" pitchFamily="18" charset="0"/>
          </a:endParaRPr>
        </a:p>
        <a:p>
          <a:pPr rtl="0"/>
          <a:endParaRPr lang="en-US" sz="1200" b="0" i="0">
            <a:latin typeface="Times New Roman" pitchFamily="18" charset="0"/>
            <a:ea typeface="+mn-ea"/>
            <a:cs typeface="Times New Roman" pitchFamily="18" charset="0"/>
          </a:endParaRPr>
        </a:p>
        <a:p>
          <a:pPr algn="l" rtl="0">
            <a:defRPr sz="1000"/>
          </a:pPr>
          <a:r>
            <a:rPr lang="en-US" sz="1200" b="1" i="0" strike="noStrike">
              <a:solidFill>
                <a:srgbClr val="000000"/>
              </a:solidFill>
              <a:latin typeface="Times New Roman"/>
              <a:cs typeface="Times New Roman"/>
            </a:rPr>
            <a:t>Begreper </a:t>
          </a:r>
        </a:p>
        <a:p>
          <a:pPr algn="l" rtl="0">
            <a:defRPr sz="1000"/>
          </a:pPr>
          <a:r>
            <a:rPr lang="en-US" sz="1200" b="0" i="1" strike="noStrike">
              <a:solidFill>
                <a:srgbClr val="000000"/>
              </a:solidFill>
              <a:latin typeface="Times New Roman"/>
              <a:cs typeface="Times New Roman"/>
            </a:rPr>
            <a:t>Bransjene</a:t>
          </a:r>
          <a:r>
            <a:rPr lang="en-US" sz="1200" b="0" i="0" strike="noStrike">
              <a:solidFill>
                <a:srgbClr val="000000"/>
              </a:solidFill>
              <a:latin typeface="Times New Roman"/>
              <a:cs typeface="Times New Roman"/>
            </a:rPr>
            <a:t> angir hovedforretnings-områdene i henhold til bransjeinndeling utarbeidet i samarbeid med Finanstilsynet.</a:t>
          </a:r>
        </a:p>
        <a:p>
          <a:pPr algn="l" rtl="0">
            <a:defRPr sz="1000"/>
          </a:pPr>
          <a:endParaRPr lang="en-US" sz="1200" b="0" i="0" strike="noStrike">
            <a:solidFill>
              <a:srgbClr val="000000"/>
            </a:solidFill>
            <a:latin typeface="Times New Roman"/>
            <a:cs typeface="Times New Roman"/>
          </a:endParaRPr>
        </a:p>
        <a:p>
          <a:pPr algn="l" rtl="0">
            <a:defRPr sz="1000"/>
          </a:pPr>
          <a:r>
            <a:rPr lang="en-US" sz="1200" b="0" i="0" strike="noStrike">
              <a:solidFill>
                <a:srgbClr val="000000"/>
              </a:solidFill>
              <a:latin typeface="Times New Roman"/>
              <a:cs typeface="Times New Roman"/>
            </a:rPr>
            <a:t>Hver bransje er så gruppert etter </a:t>
          </a:r>
          <a:r>
            <a:rPr lang="en-US" sz="1200" b="0" i="1" strike="noStrike">
              <a:solidFill>
                <a:srgbClr val="000000"/>
              </a:solidFill>
              <a:latin typeface="Times New Roman"/>
              <a:cs typeface="Times New Roman"/>
            </a:rPr>
            <a:t>skadetype. </a:t>
          </a:r>
          <a:r>
            <a:rPr lang="en-US" sz="1200" b="0" i="0" strike="noStrike">
              <a:solidFill>
                <a:srgbClr val="000000"/>
              </a:solidFill>
              <a:latin typeface="Times New Roman"/>
              <a:cs typeface="Times New Roman"/>
            </a:rPr>
            <a:t>Det gjøres oppmerksom på at antall skader for de ulike skadetypene under en bransje ikke nødvendigvis er lik totalen, siden en skade kan fordele seg på flere skadetyper.</a:t>
          </a:r>
        </a:p>
        <a:p>
          <a:pPr algn="l" rtl="0">
            <a:defRPr sz="1000"/>
          </a:pPr>
          <a:endParaRPr lang="en-US" sz="1200" b="0" i="0" strike="noStrike">
            <a:solidFill>
              <a:srgbClr val="000000"/>
            </a:solidFill>
            <a:latin typeface="Times New Roman"/>
            <a:cs typeface="Times New Roman"/>
          </a:endParaRPr>
        </a:p>
        <a:p>
          <a:pPr algn="l" rtl="0">
            <a:defRPr sz="1000"/>
          </a:pPr>
          <a:r>
            <a:rPr lang="en-US" sz="1200" b="0" i="1" strike="noStrike">
              <a:solidFill>
                <a:srgbClr val="000000"/>
              </a:solidFill>
              <a:latin typeface="Times New Roman"/>
              <a:cs typeface="Times New Roman"/>
            </a:rPr>
            <a:t>Anslått erstatning</a:t>
          </a:r>
          <a:endParaRPr lang="en-US" sz="1200" b="0" i="0" strike="noStrike">
            <a:solidFill>
              <a:srgbClr val="000000"/>
            </a:solidFill>
            <a:latin typeface="Times New Roman"/>
            <a:cs typeface="Times New Roman"/>
          </a:endParaRPr>
        </a:p>
        <a:p>
          <a:pPr algn="l" rtl="0">
            <a:defRPr sz="1000"/>
          </a:pPr>
          <a:r>
            <a:rPr lang="en-US" sz="1200" b="0" i="0" strike="noStrike">
              <a:solidFill>
                <a:srgbClr val="000000"/>
              </a:solidFill>
              <a:latin typeface="Times New Roman"/>
              <a:cs typeface="Times New Roman"/>
            </a:rPr>
            <a:t>Med anslått erstatning menes betalte erstatninger pluss erstatningsavsetninger for de skader som har skjedd i den tidsperioden statistikken omfatter. Dette omfatter også skader som ennå ikke er meldt til selskapene. </a:t>
          </a:r>
        </a:p>
        <a:p>
          <a:pPr algn="l" rtl="0">
            <a:defRPr sz="1000"/>
          </a:pPr>
          <a:endParaRPr lang="en-US" sz="1200" b="0" i="0" strike="noStrike">
            <a:solidFill>
              <a:srgbClr val="000000"/>
            </a:solidFill>
            <a:latin typeface="Times New Roman"/>
            <a:cs typeface="Times New Roman"/>
          </a:endParaRPr>
        </a:p>
        <a:p>
          <a:pPr algn="l" rtl="0">
            <a:defRPr sz="1000"/>
          </a:pPr>
          <a:r>
            <a:rPr lang="en-US" sz="1200" b="0" i="1" strike="noStrike">
              <a:solidFill>
                <a:srgbClr val="000000"/>
              </a:solidFill>
              <a:latin typeface="Times New Roman"/>
              <a:cs typeface="Times New Roman"/>
            </a:rPr>
            <a:t>Meldt skade</a:t>
          </a:r>
          <a:endParaRPr lang="en-US" sz="1200" b="0" i="0" strike="noStrike">
            <a:solidFill>
              <a:srgbClr val="000000"/>
            </a:solidFill>
            <a:latin typeface="Times New Roman"/>
            <a:cs typeface="Times New Roman"/>
          </a:endParaRPr>
        </a:p>
        <a:p>
          <a:pPr algn="l" rtl="0">
            <a:defRPr sz="1000"/>
          </a:pPr>
          <a:r>
            <a:rPr lang="en-US" sz="1200" b="0" i="0" strike="noStrike">
              <a:solidFill>
                <a:srgbClr val="000000"/>
              </a:solidFill>
              <a:latin typeface="Times New Roman"/>
              <a:cs typeface="Times New Roman"/>
            </a:rPr>
            <a:t>Med meldt skade menes skade på en forsikring </a:t>
          </a:r>
          <a:r>
            <a:rPr lang="en-US" sz="1200" b="0" i="1" strike="noStrike">
              <a:solidFill>
                <a:srgbClr val="000000"/>
              </a:solidFill>
              <a:latin typeface="Times New Roman"/>
              <a:cs typeface="Times New Roman"/>
            </a:rPr>
            <a:t>meldt</a:t>
          </a:r>
          <a:r>
            <a:rPr lang="en-US" sz="1200" b="0" i="0" strike="noStrike">
              <a:solidFill>
                <a:srgbClr val="000000"/>
              </a:solidFill>
              <a:latin typeface="Times New Roman"/>
              <a:cs typeface="Times New Roman"/>
            </a:rPr>
            <a:t> til selskapet i den tidsperiode statistikken omfatter. I dette begrepet inngår </a:t>
          </a:r>
          <a:r>
            <a:rPr lang="en-US" sz="1200" b="0" i="1" strike="noStrike">
              <a:solidFill>
                <a:srgbClr val="000000"/>
              </a:solidFill>
              <a:latin typeface="Times New Roman"/>
              <a:cs typeface="Times New Roman"/>
            </a:rPr>
            <a:t>ikke</a:t>
          </a:r>
          <a:r>
            <a:rPr lang="en-US" sz="1200" b="0" i="0" strike="noStrike">
              <a:solidFill>
                <a:srgbClr val="000000"/>
              </a:solidFill>
              <a:latin typeface="Times New Roman"/>
              <a:cs typeface="Times New Roman"/>
            </a:rPr>
            <a:t> de skader som ennå ikke er meldt, j.fr. definisjonen av anslått erstatning. I antall skader inngår også såkalte </a:t>
          </a:r>
          <a:r>
            <a:rPr lang="en-US" sz="1200" b="0" i="1" strike="noStrike">
              <a:solidFill>
                <a:srgbClr val="000000"/>
              </a:solidFill>
              <a:latin typeface="Times New Roman"/>
              <a:cs typeface="Times New Roman"/>
            </a:rPr>
            <a:t>nullskader.</a:t>
          </a:r>
          <a:endParaRPr lang="en-US" sz="1200" b="0" i="0" strike="noStrike">
            <a:solidFill>
              <a:srgbClr val="000000"/>
            </a:solidFill>
            <a:latin typeface="Times New Roman"/>
            <a:cs typeface="Times New Roman"/>
          </a:endParaRPr>
        </a:p>
        <a:p>
          <a:pPr algn="l" rtl="0">
            <a:defRPr sz="1000"/>
          </a:pPr>
          <a:endParaRPr lang="en-US" sz="1200" b="0" i="0" strike="noStrike">
            <a:solidFill>
              <a:srgbClr val="000000"/>
            </a:solidFill>
            <a:latin typeface="Times New Roman"/>
            <a:cs typeface="Times New Roman"/>
          </a:endParaRPr>
        </a:p>
        <a:p>
          <a:pPr algn="l" rtl="0">
            <a:defRPr sz="1000"/>
          </a:pPr>
          <a:r>
            <a:rPr lang="en-US" sz="1200" b="0" i="1" strike="noStrike">
              <a:solidFill>
                <a:srgbClr val="000000"/>
              </a:solidFill>
              <a:latin typeface="Times New Roman"/>
              <a:cs typeface="Times New Roman"/>
            </a:rPr>
            <a:t>Gjennomsnittsskade</a:t>
          </a:r>
          <a:endParaRPr lang="en-US" sz="1200" b="0" i="0" strike="noStrike">
            <a:solidFill>
              <a:srgbClr val="000000"/>
            </a:solidFill>
            <a:latin typeface="Times New Roman"/>
            <a:cs typeface="Times New Roman"/>
          </a:endParaRPr>
        </a:p>
        <a:p>
          <a:pPr algn="l" rtl="0">
            <a:defRPr sz="1000"/>
          </a:pPr>
          <a:r>
            <a:rPr lang="en-US" sz="1200" b="0" i="0" strike="noStrike">
              <a:solidFill>
                <a:srgbClr val="000000"/>
              </a:solidFill>
              <a:latin typeface="Times New Roman"/>
              <a:cs typeface="Times New Roman"/>
            </a:rPr>
            <a:t>Vi gjør oppmerksom på at siden tallene for antall anmeldte skader og anslåtte erstatninger har ulik tidsavgrensning er de ikke direkte sammenlignbare. En nøyaktig beregning av gjennomsnittsskaden kan derfor ikke gjøres ut fra dette materialet. Spesielt gjelder dette ”langhalede” bransjer som yrkesskade og personskade motorvogn.</a:t>
          </a:r>
        </a:p>
        <a:p>
          <a:pPr algn="l" rtl="0">
            <a:defRPr sz="1000"/>
          </a:pPr>
          <a:endParaRPr lang="en-US" sz="1200" b="0" i="0" strike="noStrike">
            <a:solidFill>
              <a:srgbClr val="000000"/>
            </a:solidFill>
            <a:latin typeface="Times New Roman"/>
            <a:cs typeface="Times New Roman"/>
          </a:endParaRPr>
        </a:p>
        <a:p>
          <a:pPr algn="l" rtl="0">
            <a:defRPr sz="1000"/>
          </a:pPr>
          <a:endParaRPr lang="en-US" sz="1200" b="0" i="0" strike="noStrike">
            <a:solidFill>
              <a:srgbClr val="000000"/>
            </a:solidFill>
            <a:latin typeface="Times New Roman"/>
            <a:cs typeface="Times New Roman"/>
          </a:endParaRPr>
        </a:p>
      </xdr:txBody>
    </xdr:sp>
    <xdr:clientData/>
  </xdr:twoCellAnchor>
  <xdr:twoCellAnchor>
    <xdr:from>
      <xdr:col>7</xdr:col>
      <xdr:colOff>104775</xdr:colOff>
      <xdr:row>4</xdr:row>
      <xdr:rowOff>96437</xdr:rowOff>
    </xdr:from>
    <xdr:to>
      <xdr:col>10</xdr:col>
      <xdr:colOff>371475</xdr:colOff>
      <xdr:row>50</xdr:row>
      <xdr:rowOff>152518</xdr:rowOff>
    </xdr:to>
    <xdr:sp macro="" textlink="">
      <xdr:nvSpPr>
        <xdr:cNvPr id="6151" name="Text Box 7">
          <a:extLst>
            <a:ext uri="{FF2B5EF4-FFF2-40B4-BE49-F238E27FC236}">
              <a16:creationId xmlns:a16="http://schemas.microsoft.com/office/drawing/2014/main" id="{00000000-0008-0000-1600-000007180000}"/>
            </a:ext>
          </a:extLst>
        </xdr:cNvPr>
        <xdr:cNvSpPr txBox="1">
          <a:spLocks noChangeArrowheads="1"/>
        </xdr:cNvSpPr>
      </xdr:nvSpPr>
      <xdr:spPr bwMode="auto">
        <a:xfrm>
          <a:off x="5629275" y="601262"/>
          <a:ext cx="2552700" cy="9257231"/>
        </a:xfrm>
        <a:prstGeom prst="rect">
          <a:avLst/>
        </a:prstGeom>
        <a:solidFill>
          <a:srgbClr val="FFFFFF"/>
        </a:solidFill>
        <a:ln w="9525">
          <a:noFill/>
          <a:miter lim="800000"/>
          <a:headEnd/>
          <a:tailEnd/>
        </a:ln>
      </xdr:spPr>
      <xdr:txBody>
        <a:bodyPr vertOverflow="clip" wrap="square" lIns="27432" tIns="27432" rIns="0" bIns="0" anchor="t" upright="1"/>
        <a:lstStyle/>
        <a:p>
          <a:pPr algn="l" rtl="0">
            <a:defRPr sz="1000"/>
          </a:pPr>
          <a:r>
            <a:rPr lang="en-US" sz="1200" b="0" i="1" strike="noStrike">
              <a:solidFill>
                <a:srgbClr val="000000"/>
              </a:solidFill>
              <a:latin typeface="Times New Roman"/>
              <a:cs typeface="Times New Roman"/>
            </a:rPr>
            <a:t>Prognose</a:t>
          </a:r>
          <a:endParaRPr lang="en-US" sz="1200" b="0" i="0" strike="noStrike">
            <a:solidFill>
              <a:srgbClr val="000000"/>
            </a:solidFill>
            <a:latin typeface="Times New Roman"/>
            <a:cs typeface="Times New Roman"/>
          </a:endParaRPr>
        </a:p>
        <a:p>
          <a:pPr algn="l" rtl="0">
            <a:defRPr sz="1000"/>
          </a:pPr>
          <a:r>
            <a:rPr lang="en-US" sz="1200" b="0" i="0" strike="noStrike">
              <a:solidFill>
                <a:srgbClr val="000000"/>
              </a:solidFill>
              <a:latin typeface="Times New Roman"/>
              <a:cs typeface="Times New Roman"/>
            </a:rPr>
            <a:t>I rapporten for 1., 2. og 3. kvartal gis det en prognose for antall skader og anslått erstatning for inneværende skadeår. Alle prognosetall er merket med *. Prognosen gir uttrykk for hva årsresultatet blir om den gjenværende del av året utvikler seg  på samme vis som de de to foregående skadeår, gitt volumet for antall skader og anslått erstatning hittil i år. Prognosen blir derfor særlig sårbar hvis det er meldt storskader tidlig i året. Dette vil normalt bli omtalt i rapportens kommentardel.</a:t>
          </a:r>
        </a:p>
        <a:p>
          <a:pPr algn="l" rtl="0">
            <a:defRPr sz="1000"/>
          </a:pPr>
          <a:endParaRPr lang="en-US" sz="1200" b="0" i="0" strike="noStrike">
            <a:solidFill>
              <a:srgbClr val="000000"/>
            </a:solidFill>
            <a:latin typeface="Times New Roman"/>
            <a:cs typeface="Times New Roman"/>
          </a:endParaRPr>
        </a:p>
        <a:p>
          <a:pPr algn="l" rtl="0">
            <a:defRPr sz="1000"/>
          </a:pPr>
          <a:r>
            <a:rPr lang="en-US" sz="1200" b="1" i="0" strike="noStrike">
              <a:solidFill>
                <a:srgbClr val="000000"/>
              </a:solidFill>
              <a:latin typeface="Times New Roman"/>
              <a:cs typeface="Times New Roman"/>
            </a:rPr>
            <a:t>Usikkerhet i erstatningsanslagene</a:t>
          </a:r>
          <a:endParaRPr lang="en-US" sz="1200" b="0" i="0" strike="noStrike">
            <a:solidFill>
              <a:srgbClr val="000000"/>
            </a:solidFill>
            <a:latin typeface="Times New Roman"/>
            <a:cs typeface="Times New Roman"/>
          </a:endParaRPr>
        </a:p>
        <a:p>
          <a:pPr algn="l" rtl="0">
            <a:defRPr sz="1000"/>
          </a:pPr>
          <a:r>
            <a:rPr lang="en-US" sz="1200" b="0" i="0" strike="noStrike">
              <a:solidFill>
                <a:srgbClr val="000000"/>
              </a:solidFill>
              <a:latin typeface="Times New Roman"/>
              <a:cs typeface="Times New Roman"/>
            </a:rPr>
            <a:t>De anslåtte erstatningene tar høyde for skader som er inntruffet, men som ennå ikke er meldt selskapene. Videre er det usikkerhet i hva de skadesakene som ikke er ferdig oppgjort vil koste. Tidligere skadehistorikk m.m. brukes for å gjøre denne usikkerheten så liten som mulig, men spesielt for ”langhalet” forretning vil erstatningsanslagene variere over tid.</a:t>
          </a:r>
        </a:p>
        <a:p>
          <a:pPr algn="l" rtl="0">
            <a:defRPr sz="1000"/>
          </a:pPr>
          <a:endParaRPr lang="en-US" sz="1200" b="0" i="0" strike="noStrike">
            <a:solidFill>
              <a:srgbClr val="000000"/>
            </a:solidFill>
            <a:latin typeface="Times New Roman"/>
            <a:cs typeface="Times New Roman"/>
          </a:endParaRPr>
        </a:p>
        <a:p>
          <a:pPr algn="l" rtl="0">
            <a:defRPr sz="1000"/>
          </a:pPr>
          <a:r>
            <a:rPr lang="en-US" sz="1200" b="1" i="0" strike="noStrike">
              <a:solidFill>
                <a:srgbClr val="000000"/>
              </a:solidFill>
              <a:latin typeface="Times New Roman"/>
              <a:cs typeface="Times New Roman"/>
            </a:rPr>
            <a:t>Spesielle merknader</a:t>
          </a:r>
          <a:endParaRPr lang="en-US" sz="1200" b="0" i="0" strike="noStrike">
            <a:solidFill>
              <a:srgbClr val="000000"/>
            </a:solidFill>
            <a:latin typeface="Times New Roman"/>
            <a:cs typeface="Times New Roman"/>
          </a:endParaRPr>
        </a:p>
        <a:p>
          <a:pPr rtl="0"/>
          <a:r>
            <a:rPr lang="en-US" sz="1200" b="0" i="1" strike="noStrike">
              <a:solidFill>
                <a:srgbClr val="000000"/>
              </a:solidFill>
              <a:latin typeface="Times New Roman"/>
              <a:ea typeface="+mn-ea"/>
              <a:cs typeface="Times New Roman"/>
            </a:rPr>
            <a:t>Brann</a:t>
          </a:r>
        </a:p>
        <a:p>
          <a:pPr rtl="0"/>
          <a:r>
            <a:rPr lang="en-US" sz="1200" b="0" i="0" strike="noStrike">
              <a:solidFill>
                <a:srgbClr val="000000"/>
              </a:solidFill>
              <a:latin typeface="Times New Roman"/>
              <a:ea typeface="+mn-ea"/>
              <a:cs typeface="Times New Roman"/>
            </a:rPr>
            <a:t>Ved å summere brann-tallene fra de to Brann-kombinerte bransjene vil totalen bli forskjellig fra Brannstatistikken utgitt av Finans Norge (BRASK). Det henvises til den statistikken hvis totale skadetall for hele markedet skal benyttes. </a:t>
          </a:r>
          <a:endParaRPr lang="nb-NO" sz="1200" b="0" i="0" strike="noStrike">
            <a:solidFill>
              <a:srgbClr val="000000"/>
            </a:solidFill>
            <a:latin typeface="Times New Roman"/>
            <a:ea typeface="+mn-ea"/>
            <a:cs typeface="Times New Roman"/>
          </a:endParaRPr>
        </a:p>
        <a:p>
          <a:pPr rtl="0"/>
          <a:endParaRPr lang="en-US" sz="1100" b="0" i="0">
            <a:latin typeface="+mn-lt"/>
            <a:ea typeface="+mn-ea"/>
            <a:cs typeface="+mn-cs"/>
          </a:endParaRPr>
        </a:p>
        <a:p>
          <a:pPr marL="0" indent="0" rtl="0"/>
          <a:r>
            <a:rPr lang="en-US" sz="1200" b="0" i="1" strike="noStrike">
              <a:solidFill>
                <a:srgbClr val="000000"/>
              </a:solidFill>
              <a:latin typeface="Times New Roman"/>
              <a:ea typeface="+mn-ea"/>
              <a:cs typeface="Times New Roman"/>
            </a:rPr>
            <a:t>Yrkesskadeforsikring</a:t>
          </a:r>
        </a:p>
        <a:p>
          <a:pPr rtl="0"/>
          <a:r>
            <a:rPr lang="en-US" sz="1200" b="0" i="0" strike="noStrike">
              <a:solidFill>
                <a:srgbClr val="000000"/>
              </a:solidFill>
              <a:latin typeface="Times New Roman"/>
              <a:ea typeface="+mn-ea"/>
              <a:cs typeface="Times New Roman"/>
            </a:rPr>
            <a:t>Her vises yrkesskader etter lov om yrkesskadeforsikring. Tilleggsdekninger rapporteres under trygghetsforsikring.</a:t>
          </a:r>
          <a:endParaRPr lang="nb-NO" sz="1200" b="0" i="0" strike="noStrike">
            <a:solidFill>
              <a:srgbClr val="000000"/>
            </a:solidFill>
            <a:latin typeface="Times New Roman"/>
            <a:ea typeface="+mn-ea"/>
            <a:cs typeface="Times New Roman"/>
          </a:endParaRPr>
        </a:p>
        <a:p>
          <a:pPr algn="l" rtl="0">
            <a:defRPr sz="1000"/>
          </a:pPr>
          <a:endParaRPr lang="en-US" sz="1200" b="0" i="0" strike="noStrike">
            <a:solidFill>
              <a:srgbClr val="000000"/>
            </a:solidFill>
            <a:latin typeface="Times New Roman"/>
            <a:cs typeface="Times New Roman"/>
          </a:endParaRPr>
        </a:p>
      </xdr:txBody>
    </xdr:sp>
    <xdr:clientData/>
  </xdr:twoCellAnchor>
  <xdr:twoCellAnchor>
    <xdr:from>
      <xdr:col>10</xdr:col>
      <xdr:colOff>454823</xdr:colOff>
      <xdr:row>4</xdr:row>
      <xdr:rowOff>66675</xdr:rowOff>
    </xdr:from>
    <xdr:to>
      <xdr:col>13</xdr:col>
      <xdr:colOff>721523</xdr:colOff>
      <xdr:row>50</xdr:row>
      <xdr:rowOff>133350</xdr:rowOff>
    </xdr:to>
    <xdr:sp macro="" textlink="">
      <xdr:nvSpPr>
        <xdr:cNvPr id="6152" name="Text Box 8">
          <a:extLst>
            <a:ext uri="{FF2B5EF4-FFF2-40B4-BE49-F238E27FC236}">
              <a16:creationId xmlns:a16="http://schemas.microsoft.com/office/drawing/2014/main" id="{00000000-0008-0000-1600-000008180000}"/>
            </a:ext>
          </a:extLst>
        </xdr:cNvPr>
        <xdr:cNvSpPr txBox="1">
          <a:spLocks noChangeArrowheads="1"/>
        </xdr:cNvSpPr>
      </xdr:nvSpPr>
      <xdr:spPr bwMode="auto">
        <a:xfrm>
          <a:off x="8205792" y="578644"/>
          <a:ext cx="2552700" cy="9377362"/>
        </a:xfrm>
        <a:prstGeom prst="rect">
          <a:avLst/>
        </a:prstGeom>
        <a:solidFill>
          <a:srgbClr val="FFFFFF"/>
        </a:solidFill>
        <a:ln w="9525">
          <a:noFill/>
          <a:miter lim="800000"/>
          <a:headEnd/>
          <a:tailEnd/>
        </a:ln>
      </xdr:spPr>
      <xdr:txBody>
        <a:bodyPr vertOverflow="clip" wrap="square" lIns="27432" tIns="27432" rIns="0" bIns="0" anchor="t" upright="1"/>
        <a:lstStyle/>
        <a:p>
          <a:pPr algn="l" rtl="0">
            <a:defRPr sz="1000"/>
          </a:pPr>
          <a:endParaRPr lang="en-US" sz="1200" b="0" i="0" strike="noStrike">
            <a:solidFill>
              <a:srgbClr val="000000"/>
            </a:solidFill>
            <a:latin typeface="Times New Roman"/>
            <a:cs typeface="Times New Roman"/>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M:\Kvartalstatistikkene\Premiestatistikk\Rapport\premiestatistikke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side "/>
      <sheetName val="Innhold"/>
      <sheetName val="Tab1"/>
      <sheetName val="Tab2"/>
      <sheetName val="Tab3"/>
      <sheetName val="Tab4"/>
      <sheetName val="Tab5"/>
      <sheetName val="Tab6"/>
      <sheetName val="Tab7"/>
      <sheetName val="Tab8"/>
      <sheetName val="Tab9"/>
      <sheetName val="Tab10"/>
      <sheetName val="Tab11"/>
      <sheetName val="Tab12"/>
      <sheetName val="Tab13"/>
      <sheetName val="Tab14"/>
      <sheetName val="Tab15"/>
      <sheetName val="Tab16"/>
      <sheetName val="Tab17"/>
      <sheetName val="Tab18"/>
      <sheetName val="DATA_11"/>
      <sheetName val="DATA_12"/>
      <sheetName val="DATA_21"/>
      <sheetName val="DATA_31"/>
      <sheetName val="DATA_32"/>
      <sheetName val="DATA_41"/>
      <sheetName val="DATA_42"/>
      <sheetName val="DATA_51"/>
      <sheetName val="DATA_52"/>
      <sheetName val="DATA_61"/>
      <sheetName val="DATA_62"/>
      <sheetName val="DATA_63"/>
      <sheetName val="DATA_64"/>
      <sheetName val="DATA_71"/>
      <sheetName val="DATA_72"/>
      <sheetName val="DATA_81"/>
      <sheetName val="DATA_82"/>
      <sheetName val="DATA_91"/>
      <sheetName val="DATA_92"/>
      <sheetName val="DATA_93"/>
      <sheetName val="DATA_B1"/>
      <sheetName val="DATA_B2"/>
      <sheetName val="DATA_K1"/>
      <sheetName val="DATA_K2"/>
      <sheetName val="DATA_M1"/>
      <sheetName val="DATA_M2"/>
      <sheetName val="Forside"/>
      <sheetName val="DATA_P1"/>
      <sheetName val="DATA_P2"/>
    </sheetNames>
    <sheetDataSet>
      <sheetData sheetId="0"/>
      <sheetData sheetId="1"/>
      <sheetData sheetId="2"/>
      <sheetData sheetId="3"/>
      <sheetData sheetId="4"/>
      <sheetData sheetId="5"/>
      <sheetData sheetId="6">
        <row r="6">
          <cell r="B6" t="str">
            <v>31.12.2011</v>
          </cell>
          <cell r="C6" t="str">
            <v>31.12.2012</v>
          </cell>
          <cell r="D6" t="str">
            <v>31.12.2013</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refreshError="1"/>
      <sheetData sheetId="44" refreshError="1"/>
      <sheetData sheetId="45" refreshError="1"/>
      <sheetData sheetId="46" refreshError="1"/>
      <sheetData sheetId="47" refreshError="1"/>
      <sheetData sheetId="48"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5:J57"/>
  <sheetViews>
    <sheetView showGridLines="0" showRowColHeaders="0" zoomScale="60" zoomScaleNormal="60" zoomScaleSheetLayoutView="70" workbookViewId="0"/>
  </sheetViews>
  <sheetFormatPr defaultColWidth="11.42578125" defaultRowHeight="12.75" x14ac:dyDescent="0.2"/>
  <cols>
    <col min="1" max="1" width="16.42578125" style="99" customWidth="1"/>
    <col min="2" max="4" width="11.42578125" style="99"/>
    <col min="5" max="5" width="14.140625" style="99" bestFit="1" customWidth="1"/>
    <col min="6" max="7" width="11.42578125" style="99"/>
    <col min="8" max="8" width="13.42578125" style="99" customWidth="1"/>
    <col min="9" max="9" width="11.42578125" style="99"/>
    <col min="10" max="10" width="13.42578125" style="99" bestFit="1" customWidth="1"/>
    <col min="11" max="256" width="11.42578125" style="99"/>
    <col min="257" max="257" width="16.42578125" style="99" customWidth="1"/>
    <col min="258" max="260" width="11.42578125" style="99"/>
    <col min="261" max="261" width="14.140625" style="99" bestFit="1" customWidth="1"/>
    <col min="262" max="263" width="11.42578125" style="99"/>
    <col min="264" max="264" width="13.42578125" style="99" customWidth="1"/>
    <col min="265" max="265" width="11.42578125" style="99"/>
    <col min="266" max="266" width="13.42578125" style="99" bestFit="1" customWidth="1"/>
    <col min="267" max="512" width="11.42578125" style="99"/>
    <col min="513" max="513" width="16.42578125" style="99" customWidth="1"/>
    <col min="514" max="516" width="11.42578125" style="99"/>
    <col min="517" max="517" width="14.140625" style="99" bestFit="1" customWidth="1"/>
    <col min="518" max="519" width="11.42578125" style="99"/>
    <col min="520" max="520" width="13.42578125" style="99" customWidth="1"/>
    <col min="521" max="521" width="11.42578125" style="99"/>
    <col min="522" max="522" width="13.42578125" style="99" bestFit="1" customWidth="1"/>
    <col min="523" max="768" width="11.42578125" style="99"/>
    <col min="769" max="769" width="16.42578125" style="99" customWidth="1"/>
    <col min="770" max="772" width="11.42578125" style="99"/>
    <col min="773" max="773" width="14.140625" style="99" bestFit="1" customWidth="1"/>
    <col min="774" max="775" width="11.42578125" style="99"/>
    <col min="776" max="776" width="13.42578125" style="99" customWidth="1"/>
    <col min="777" max="777" width="11.42578125" style="99"/>
    <col min="778" max="778" width="13.42578125" style="99" bestFit="1" customWidth="1"/>
    <col min="779" max="1024" width="11.42578125" style="99"/>
    <col min="1025" max="1025" width="16.42578125" style="99" customWidth="1"/>
    <col min="1026" max="1028" width="11.42578125" style="99"/>
    <col min="1029" max="1029" width="14.140625" style="99" bestFit="1" customWidth="1"/>
    <col min="1030" max="1031" width="11.42578125" style="99"/>
    <col min="1032" max="1032" width="13.42578125" style="99" customWidth="1"/>
    <col min="1033" max="1033" width="11.42578125" style="99"/>
    <col min="1034" max="1034" width="13.42578125" style="99" bestFit="1" customWidth="1"/>
    <col min="1035" max="1280" width="11.42578125" style="99"/>
    <col min="1281" max="1281" width="16.42578125" style="99" customWidth="1"/>
    <col min="1282" max="1284" width="11.42578125" style="99"/>
    <col min="1285" max="1285" width="14.140625" style="99" bestFit="1" customWidth="1"/>
    <col min="1286" max="1287" width="11.42578125" style="99"/>
    <col min="1288" max="1288" width="13.42578125" style="99" customWidth="1"/>
    <col min="1289" max="1289" width="11.42578125" style="99"/>
    <col min="1290" max="1290" width="13.42578125" style="99" bestFit="1" customWidth="1"/>
    <col min="1291" max="1536" width="11.42578125" style="99"/>
    <col min="1537" max="1537" width="16.42578125" style="99" customWidth="1"/>
    <col min="1538" max="1540" width="11.42578125" style="99"/>
    <col min="1541" max="1541" width="14.140625" style="99" bestFit="1" customWidth="1"/>
    <col min="1542" max="1543" width="11.42578125" style="99"/>
    <col min="1544" max="1544" width="13.42578125" style="99" customWidth="1"/>
    <col min="1545" max="1545" width="11.42578125" style="99"/>
    <col min="1546" max="1546" width="13.42578125" style="99" bestFit="1" customWidth="1"/>
    <col min="1547" max="1792" width="11.42578125" style="99"/>
    <col min="1793" max="1793" width="16.42578125" style="99" customWidth="1"/>
    <col min="1794" max="1796" width="11.42578125" style="99"/>
    <col min="1797" max="1797" width="14.140625" style="99" bestFit="1" customWidth="1"/>
    <col min="1798" max="1799" width="11.42578125" style="99"/>
    <col min="1800" max="1800" width="13.42578125" style="99" customWidth="1"/>
    <col min="1801" max="1801" width="11.42578125" style="99"/>
    <col min="1802" max="1802" width="13.42578125" style="99" bestFit="1" customWidth="1"/>
    <col min="1803" max="2048" width="11.42578125" style="99"/>
    <col min="2049" max="2049" width="16.42578125" style="99" customWidth="1"/>
    <col min="2050" max="2052" width="11.42578125" style="99"/>
    <col min="2053" max="2053" width="14.140625" style="99" bestFit="1" customWidth="1"/>
    <col min="2054" max="2055" width="11.42578125" style="99"/>
    <col min="2056" max="2056" width="13.42578125" style="99" customWidth="1"/>
    <col min="2057" max="2057" width="11.42578125" style="99"/>
    <col min="2058" max="2058" width="13.42578125" style="99" bestFit="1" customWidth="1"/>
    <col min="2059" max="2304" width="11.42578125" style="99"/>
    <col min="2305" max="2305" width="16.42578125" style="99" customWidth="1"/>
    <col min="2306" max="2308" width="11.42578125" style="99"/>
    <col min="2309" max="2309" width="14.140625" style="99" bestFit="1" customWidth="1"/>
    <col min="2310" max="2311" width="11.42578125" style="99"/>
    <col min="2312" max="2312" width="13.42578125" style="99" customWidth="1"/>
    <col min="2313" max="2313" width="11.42578125" style="99"/>
    <col min="2314" max="2314" width="13.42578125" style="99" bestFit="1" customWidth="1"/>
    <col min="2315" max="2560" width="11.42578125" style="99"/>
    <col min="2561" max="2561" width="16.42578125" style="99" customWidth="1"/>
    <col min="2562" max="2564" width="11.42578125" style="99"/>
    <col min="2565" max="2565" width="14.140625" style="99" bestFit="1" customWidth="1"/>
    <col min="2566" max="2567" width="11.42578125" style="99"/>
    <col min="2568" max="2568" width="13.42578125" style="99" customWidth="1"/>
    <col min="2569" max="2569" width="11.42578125" style="99"/>
    <col min="2570" max="2570" width="13.42578125" style="99" bestFit="1" customWidth="1"/>
    <col min="2571" max="2816" width="11.42578125" style="99"/>
    <col min="2817" max="2817" width="16.42578125" style="99" customWidth="1"/>
    <col min="2818" max="2820" width="11.42578125" style="99"/>
    <col min="2821" max="2821" width="14.140625" style="99" bestFit="1" customWidth="1"/>
    <col min="2822" max="2823" width="11.42578125" style="99"/>
    <col min="2824" max="2824" width="13.42578125" style="99" customWidth="1"/>
    <col min="2825" max="2825" width="11.42578125" style="99"/>
    <col min="2826" max="2826" width="13.42578125" style="99" bestFit="1" customWidth="1"/>
    <col min="2827" max="3072" width="11.42578125" style="99"/>
    <col min="3073" max="3073" width="16.42578125" style="99" customWidth="1"/>
    <col min="3074" max="3076" width="11.42578125" style="99"/>
    <col min="3077" max="3077" width="14.140625" style="99" bestFit="1" customWidth="1"/>
    <col min="3078" max="3079" width="11.42578125" style="99"/>
    <col min="3080" max="3080" width="13.42578125" style="99" customWidth="1"/>
    <col min="3081" max="3081" width="11.42578125" style="99"/>
    <col min="3082" max="3082" width="13.42578125" style="99" bestFit="1" customWidth="1"/>
    <col min="3083" max="3328" width="11.42578125" style="99"/>
    <col min="3329" max="3329" width="16.42578125" style="99" customWidth="1"/>
    <col min="3330" max="3332" width="11.42578125" style="99"/>
    <col min="3333" max="3333" width="14.140625" style="99" bestFit="1" customWidth="1"/>
    <col min="3334" max="3335" width="11.42578125" style="99"/>
    <col min="3336" max="3336" width="13.42578125" style="99" customWidth="1"/>
    <col min="3337" max="3337" width="11.42578125" style="99"/>
    <col min="3338" max="3338" width="13.42578125" style="99" bestFit="1" customWidth="1"/>
    <col min="3339" max="3584" width="11.42578125" style="99"/>
    <col min="3585" max="3585" width="16.42578125" style="99" customWidth="1"/>
    <col min="3586" max="3588" width="11.42578125" style="99"/>
    <col min="3589" max="3589" width="14.140625" style="99" bestFit="1" customWidth="1"/>
    <col min="3590" max="3591" width="11.42578125" style="99"/>
    <col min="3592" max="3592" width="13.42578125" style="99" customWidth="1"/>
    <col min="3593" max="3593" width="11.42578125" style="99"/>
    <col min="3594" max="3594" width="13.42578125" style="99" bestFit="1" customWidth="1"/>
    <col min="3595" max="3840" width="11.42578125" style="99"/>
    <col min="3841" max="3841" width="16.42578125" style="99" customWidth="1"/>
    <col min="3842" max="3844" width="11.42578125" style="99"/>
    <col min="3845" max="3845" width="14.140625" style="99" bestFit="1" customWidth="1"/>
    <col min="3846" max="3847" width="11.42578125" style="99"/>
    <col min="3848" max="3848" width="13.42578125" style="99" customWidth="1"/>
    <col min="3849" max="3849" width="11.42578125" style="99"/>
    <col min="3850" max="3850" width="13.42578125" style="99" bestFit="1" customWidth="1"/>
    <col min="3851" max="4096" width="11.42578125" style="99"/>
    <col min="4097" max="4097" width="16.42578125" style="99" customWidth="1"/>
    <col min="4098" max="4100" width="11.42578125" style="99"/>
    <col min="4101" max="4101" width="14.140625" style="99" bestFit="1" customWidth="1"/>
    <col min="4102" max="4103" width="11.42578125" style="99"/>
    <col min="4104" max="4104" width="13.42578125" style="99" customWidth="1"/>
    <col min="4105" max="4105" width="11.42578125" style="99"/>
    <col min="4106" max="4106" width="13.42578125" style="99" bestFit="1" customWidth="1"/>
    <col min="4107" max="4352" width="11.42578125" style="99"/>
    <col min="4353" max="4353" width="16.42578125" style="99" customWidth="1"/>
    <col min="4354" max="4356" width="11.42578125" style="99"/>
    <col min="4357" max="4357" width="14.140625" style="99" bestFit="1" customWidth="1"/>
    <col min="4358" max="4359" width="11.42578125" style="99"/>
    <col min="4360" max="4360" width="13.42578125" style="99" customWidth="1"/>
    <col min="4361" max="4361" width="11.42578125" style="99"/>
    <col min="4362" max="4362" width="13.42578125" style="99" bestFit="1" customWidth="1"/>
    <col min="4363" max="4608" width="11.42578125" style="99"/>
    <col min="4609" max="4609" width="16.42578125" style="99" customWidth="1"/>
    <col min="4610" max="4612" width="11.42578125" style="99"/>
    <col min="4613" max="4613" width="14.140625" style="99" bestFit="1" customWidth="1"/>
    <col min="4614" max="4615" width="11.42578125" style="99"/>
    <col min="4616" max="4616" width="13.42578125" style="99" customWidth="1"/>
    <col min="4617" max="4617" width="11.42578125" style="99"/>
    <col min="4618" max="4618" width="13.42578125" style="99" bestFit="1" customWidth="1"/>
    <col min="4619" max="4864" width="11.42578125" style="99"/>
    <col min="4865" max="4865" width="16.42578125" style="99" customWidth="1"/>
    <col min="4866" max="4868" width="11.42578125" style="99"/>
    <col min="4869" max="4869" width="14.140625" style="99" bestFit="1" customWidth="1"/>
    <col min="4870" max="4871" width="11.42578125" style="99"/>
    <col min="4872" max="4872" width="13.42578125" style="99" customWidth="1"/>
    <col min="4873" max="4873" width="11.42578125" style="99"/>
    <col min="4874" max="4874" width="13.42578125" style="99" bestFit="1" customWidth="1"/>
    <col min="4875" max="5120" width="11.42578125" style="99"/>
    <col min="5121" max="5121" width="16.42578125" style="99" customWidth="1"/>
    <col min="5122" max="5124" width="11.42578125" style="99"/>
    <col min="5125" max="5125" width="14.140625" style="99" bestFit="1" customWidth="1"/>
    <col min="5126" max="5127" width="11.42578125" style="99"/>
    <col min="5128" max="5128" width="13.42578125" style="99" customWidth="1"/>
    <col min="5129" max="5129" width="11.42578125" style="99"/>
    <col min="5130" max="5130" width="13.42578125" style="99" bestFit="1" customWidth="1"/>
    <col min="5131" max="5376" width="11.42578125" style="99"/>
    <col min="5377" max="5377" width="16.42578125" style="99" customWidth="1"/>
    <col min="5378" max="5380" width="11.42578125" style="99"/>
    <col min="5381" max="5381" width="14.140625" style="99" bestFit="1" customWidth="1"/>
    <col min="5382" max="5383" width="11.42578125" style="99"/>
    <col min="5384" max="5384" width="13.42578125" style="99" customWidth="1"/>
    <col min="5385" max="5385" width="11.42578125" style="99"/>
    <col min="5386" max="5386" width="13.42578125" style="99" bestFit="1" customWidth="1"/>
    <col min="5387" max="5632" width="11.42578125" style="99"/>
    <col min="5633" max="5633" width="16.42578125" style="99" customWidth="1"/>
    <col min="5634" max="5636" width="11.42578125" style="99"/>
    <col min="5637" max="5637" width="14.140625" style="99" bestFit="1" customWidth="1"/>
    <col min="5638" max="5639" width="11.42578125" style="99"/>
    <col min="5640" max="5640" width="13.42578125" style="99" customWidth="1"/>
    <col min="5641" max="5641" width="11.42578125" style="99"/>
    <col min="5642" max="5642" width="13.42578125" style="99" bestFit="1" customWidth="1"/>
    <col min="5643" max="5888" width="11.42578125" style="99"/>
    <col min="5889" max="5889" width="16.42578125" style="99" customWidth="1"/>
    <col min="5890" max="5892" width="11.42578125" style="99"/>
    <col min="5893" max="5893" width="14.140625" style="99" bestFit="1" customWidth="1"/>
    <col min="5894" max="5895" width="11.42578125" style="99"/>
    <col min="5896" max="5896" width="13.42578125" style="99" customWidth="1"/>
    <col min="5897" max="5897" width="11.42578125" style="99"/>
    <col min="5898" max="5898" width="13.42578125" style="99" bestFit="1" customWidth="1"/>
    <col min="5899" max="6144" width="11.42578125" style="99"/>
    <col min="6145" max="6145" width="16.42578125" style="99" customWidth="1"/>
    <col min="6146" max="6148" width="11.42578125" style="99"/>
    <col min="6149" max="6149" width="14.140625" style="99" bestFit="1" customWidth="1"/>
    <col min="6150" max="6151" width="11.42578125" style="99"/>
    <col min="6152" max="6152" width="13.42578125" style="99" customWidth="1"/>
    <col min="6153" max="6153" width="11.42578125" style="99"/>
    <col min="6154" max="6154" width="13.42578125" style="99" bestFit="1" customWidth="1"/>
    <col min="6155" max="6400" width="11.42578125" style="99"/>
    <col min="6401" max="6401" width="16.42578125" style="99" customWidth="1"/>
    <col min="6402" max="6404" width="11.42578125" style="99"/>
    <col min="6405" max="6405" width="14.140625" style="99" bestFit="1" customWidth="1"/>
    <col min="6406" max="6407" width="11.42578125" style="99"/>
    <col min="6408" max="6408" width="13.42578125" style="99" customWidth="1"/>
    <col min="6409" max="6409" width="11.42578125" style="99"/>
    <col min="6410" max="6410" width="13.42578125" style="99" bestFit="1" customWidth="1"/>
    <col min="6411" max="6656" width="11.42578125" style="99"/>
    <col min="6657" max="6657" width="16.42578125" style="99" customWidth="1"/>
    <col min="6658" max="6660" width="11.42578125" style="99"/>
    <col min="6661" max="6661" width="14.140625" style="99" bestFit="1" customWidth="1"/>
    <col min="6662" max="6663" width="11.42578125" style="99"/>
    <col min="6664" max="6664" width="13.42578125" style="99" customWidth="1"/>
    <col min="6665" max="6665" width="11.42578125" style="99"/>
    <col min="6666" max="6666" width="13.42578125" style="99" bestFit="1" customWidth="1"/>
    <col min="6667" max="6912" width="11.42578125" style="99"/>
    <col min="6913" max="6913" width="16.42578125" style="99" customWidth="1"/>
    <col min="6914" max="6916" width="11.42578125" style="99"/>
    <col min="6917" max="6917" width="14.140625" style="99" bestFit="1" customWidth="1"/>
    <col min="6918" max="6919" width="11.42578125" style="99"/>
    <col min="6920" max="6920" width="13.42578125" style="99" customWidth="1"/>
    <col min="6921" max="6921" width="11.42578125" style="99"/>
    <col min="6922" max="6922" width="13.42578125" style="99" bestFit="1" customWidth="1"/>
    <col min="6923" max="7168" width="11.42578125" style="99"/>
    <col min="7169" max="7169" width="16.42578125" style="99" customWidth="1"/>
    <col min="7170" max="7172" width="11.42578125" style="99"/>
    <col min="7173" max="7173" width="14.140625" style="99" bestFit="1" customWidth="1"/>
    <col min="7174" max="7175" width="11.42578125" style="99"/>
    <col min="7176" max="7176" width="13.42578125" style="99" customWidth="1"/>
    <col min="7177" max="7177" width="11.42578125" style="99"/>
    <col min="7178" max="7178" width="13.42578125" style="99" bestFit="1" customWidth="1"/>
    <col min="7179" max="7424" width="11.42578125" style="99"/>
    <col min="7425" max="7425" width="16.42578125" style="99" customWidth="1"/>
    <col min="7426" max="7428" width="11.42578125" style="99"/>
    <col min="7429" max="7429" width="14.140625" style="99" bestFit="1" customWidth="1"/>
    <col min="7430" max="7431" width="11.42578125" style="99"/>
    <col min="7432" max="7432" width="13.42578125" style="99" customWidth="1"/>
    <col min="7433" max="7433" width="11.42578125" style="99"/>
    <col min="7434" max="7434" width="13.42578125" style="99" bestFit="1" customWidth="1"/>
    <col min="7435" max="7680" width="11.42578125" style="99"/>
    <col min="7681" max="7681" width="16.42578125" style="99" customWidth="1"/>
    <col min="7682" max="7684" width="11.42578125" style="99"/>
    <col min="7685" max="7685" width="14.140625" style="99" bestFit="1" customWidth="1"/>
    <col min="7686" max="7687" width="11.42578125" style="99"/>
    <col min="7688" max="7688" width="13.42578125" style="99" customWidth="1"/>
    <col min="7689" max="7689" width="11.42578125" style="99"/>
    <col min="7690" max="7690" width="13.42578125" style="99" bestFit="1" customWidth="1"/>
    <col min="7691" max="7936" width="11.42578125" style="99"/>
    <col min="7937" max="7937" width="16.42578125" style="99" customWidth="1"/>
    <col min="7938" max="7940" width="11.42578125" style="99"/>
    <col min="7941" max="7941" width="14.140625" style="99" bestFit="1" customWidth="1"/>
    <col min="7942" max="7943" width="11.42578125" style="99"/>
    <col min="7944" max="7944" width="13.42578125" style="99" customWidth="1"/>
    <col min="7945" max="7945" width="11.42578125" style="99"/>
    <col min="7946" max="7946" width="13.42578125" style="99" bestFit="1" customWidth="1"/>
    <col min="7947" max="8192" width="11.42578125" style="99"/>
    <col min="8193" max="8193" width="16.42578125" style="99" customWidth="1"/>
    <col min="8194" max="8196" width="11.42578125" style="99"/>
    <col min="8197" max="8197" width="14.140625" style="99" bestFit="1" customWidth="1"/>
    <col min="8198" max="8199" width="11.42578125" style="99"/>
    <col min="8200" max="8200" width="13.42578125" style="99" customWidth="1"/>
    <col min="8201" max="8201" width="11.42578125" style="99"/>
    <col min="8202" max="8202" width="13.42578125" style="99" bestFit="1" customWidth="1"/>
    <col min="8203" max="8448" width="11.42578125" style="99"/>
    <col min="8449" max="8449" width="16.42578125" style="99" customWidth="1"/>
    <col min="8450" max="8452" width="11.42578125" style="99"/>
    <col min="8453" max="8453" width="14.140625" style="99" bestFit="1" customWidth="1"/>
    <col min="8454" max="8455" width="11.42578125" style="99"/>
    <col min="8456" max="8456" width="13.42578125" style="99" customWidth="1"/>
    <col min="8457" max="8457" width="11.42578125" style="99"/>
    <col min="8458" max="8458" width="13.42578125" style="99" bestFit="1" customWidth="1"/>
    <col min="8459" max="8704" width="11.42578125" style="99"/>
    <col min="8705" max="8705" width="16.42578125" style="99" customWidth="1"/>
    <col min="8706" max="8708" width="11.42578125" style="99"/>
    <col min="8709" max="8709" width="14.140625" style="99" bestFit="1" customWidth="1"/>
    <col min="8710" max="8711" width="11.42578125" style="99"/>
    <col min="8712" max="8712" width="13.42578125" style="99" customWidth="1"/>
    <col min="8713" max="8713" width="11.42578125" style="99"/>
    <col min="8714" max="8714" width="13.42578125" style="99" bestFit="1" customWidth="1"/>
    <col min="8715" max="8960" width="11.42578125" style="99"/>
    <col min="8961" max="8961" width="16.42578125" style="99" customWidth="1"/>
    <col min="8962" max="8964" width="11.42578125" style="99"/>
    <col min="8965" max="8965" width="14.140625" style="99" bestFit="1" customWidth="1"/>
    <col min="8966" max="8967" width="11.42578125" style="99"/>
    <col min="8968" max="8968" width="13.42578125" style="99" customWidth="1"/>
    <col min="8969" max="8969" width="11.42578125" style="99"/>
    <col min="8970" max="8970" width="13.42578125" style="99" bestFit="1" customWidth="1"/>
    <col min="8971" max="9216" width="11.42578125" style="99"/>
    <col min="9217" max="9217" width="16.42578125" style="99" customWidth="1"/>
    <col min="9218" max="9220" width="11.42578125" style="99"/>
    <col min="9221" max="9221" width="14.140625" style="99" bestFit="1" customWidth="1"/>
    <col min="9222" max="9223" width="11.42578125" style="99"/>
    <col min="9224" max="9224" width="13.42578125" style="99" customWidth="1"/>
    <col min="9225" max="9225" width="11.42578125" style="99"/>
    <col min="9226" max="9226" width="13.42578125" style="99" bestFit="1" customWidth="1"/>
    <col min="9227" max="9472" width="11.42578125" style="99"/>
    <col min="9473" max="9473" width="16.42578125" style="99" customWidth="1"/>
    <col min="9474" max="9476" width="11.42578125" style="99"/>
    <col min="9477" max="9477" width="14.140625" style="99" bestFit="1" customWidth="1"/>
    <col min="9478" max="9479" width="11.42578125" style="99"/>
    <col min="9480" max="9480" width="13.42578125" style="99" customWidth="1"/>
    <col min="9481" max="9481" width="11.42578125" style="99"/>
    <col min="9482" max="9482" width="13.42578125" style="99" bestFit="1" customWidth="1"/>
    <col min="9483" max="9728" width="11.42578125" style="99"/>
    <col min="9729" max="9729" width="16.42578125" style="99" customWidth="1"/>
    <col min="9730" max="9732" width="11.42578125" style="99"/>
    <col min="9733" max="9733" width="14.140625" style="99" bestFit="1" customWidth="1"/>
    <col min="9734" max="9735" width="11.42578125" style="99"/>
    <col min="9736" max="9736" width="13.42578125" style="99" customWidth="1"/>
    <col min="9737" max="9737" width="11.42578125" style="99"/>
    <col min="9738" max="9738" width="13.42578125" style="99" bestFit="1" customWidth="1"/>
    <col min="9739" max="9984" width="11.42578125" style="99"/>
    <col min="9985" max="9985" width="16.42578125" style="99" customWidth="1"/>
    <col min="9986" max="9988" width="11.42578125" style="99"/>
    <col min="9989" max="9989" width="14.140625" style="99" bestFit="1" customWidth="1"/>
    <col min="9990" max="9991" width="11.42578125" style="99"/>
    <col min="9992" max="9992" width="13.42578125" style="99" customWidth="1"/>
    <col min="9993" max="9993" width="11.42578125" style="99"/>
    <col min="9994" max="9994" width="13.42578125" style="99" bestFit="1" customWidth="1"/>
    <col min="9995" max="10240" width="11.42578125" style="99"/>
    <col min="10241" max="10241" width="16.42578125" style="99" customWidth="1"/>
    <col min="10242" max="10244" width="11.42578125" style="99"/>
    <col min="10245" max="10245" width="14.140625" style="99" bestFit="1" customWidth="1"/>
    <col min="10246" max="10247" width="11.42578125" style="99"/>
    <col min="10248" max="10248" width="13.42578125" style="99" customWidth="1"/>
    <col min="10249" max="10249" width="11.42578125" style="99"/>
    <col min="10250" max="10250" width="13.42578125" style="99" bestFit="1" customWidth="1"/>
    <col min="10251" max="10496" width="11.42578125" style="99"/>
    <col min="10497" max="10497" width="16.42578125" style="99" customWidth="1"/>
    <col min="10498" max="10500" width="11.42578125" style="99"/>
    <col min="10501" max="10501" width="14.140625" style="99" bestFit="1" customWidth="1"/>
    <col min="10502" max="10503" width="11.42578125" style="99"/>
    <col min="10504" max="10504" width="13.42578125" style="99" customWidth="1"/>
    <col min="10505" max="10505" width="11.42578125" style="99"/>
    <col min="10506" max="10506" width="13.42578125" style="99" bestFit="1" customWidth="1"/>
    <col min="10507" max="10752" width="11.42578125" style="99"/>
    <col min="10753" max="10753" width="16.42578125" style="99" customWidth="1"/>
    <col min="10754" max="10756" width="11.42578125" style="99"/>
    <col min="10757" max="10757" width="14.140625" style="99" bestFit="1" customWidth="1"/>
    <col min="10758" max="10759" width="11.42578125" style="99"/>
    <col min="10760" max="10760" width="13.42578125" style="99" customWidth="1"/>
    <col min="10761" max="10761" width="11.42578125" style="99"/>
    <col min="10762" max="10762" width="13.42578125" style="99" bestFit="1" customWidth="1"/>
    <col min="10763" max="11008" width="11.42578125" style="99"/>
    <col min="11009" max="11009" width="16.42578125" style="99" customWidth="1"/>
    <col min="11010" max="11012" width="11.42578125" style="99"/>
    <col min="11013" max="11013" width="14.140625" style="99" bestFit="1" customWidth="1"/>
    <col min="11014" max="11015" width="11.42578125" style="99"/>
    <col min="11016" max="11016" width="13.42578125" style="99" customWidth="1"/>
    <col min="11017" max="11017" width="11.42578125" style="99"/>
    <col min="11018" max="11018" width="13.42578125" style="99" bestFit="1" customWidth="1"/>
    <col min="11019" max="11264" width="11.42578125" style="99"/>
    <col min="11265" max="11265" width="16.42578125" style="99" customWidth="1"/>
    <col min="11266" max="11268" width="11.42578125" style="99"/>
    <col min="11269" max="11269" width="14.140625" style="99" bestFit="1" customWidth="1"/>
    <col min="11270" max="11271" width="11.42578125" style="99"/>
    <col min="11272" max="11272" width="13.42578125" style="99" customWidth="1"/>
    <col min="11273" max="11273" width="11.42578125" style="99"/>
    <col min="11274" max="11274" width="13.42578125" style="99" bestFit="1" customWidth="1"/>
    <col min="11275" max="11520" width="11.42578125" style="99"/>
    <col min="11521" max="11521" width="16.42578125" style="99" customWidth="1"/>
    <col min="11522" max="11524" width="11.42578125" style="99"/>
    <col min="11525" max="11525" width="14.140625" style="99" bestFit="1" customWidth="1"/>
    <col min="11526" max="11527" width="11.42578125" style="99"/>
    <col min="11528" max="11528" width="13.42578125" style="99" customWidth="1"/>
    <col min="11529" max="11529" width="11.42578125" style="99"/>
    <col min="11530" max="11530" width="13.42578125" style="99" bestFit="1" customWidth="1"/>
    <col min="11531" max="11776" width="11.42578125" style="99"/>
    <col min="11777" max="11777" width="16.42578125" style="99" customWidth="1"/>
    <col min="11778" max="11780" width="11.42578125" style="99"/>
    <col min="11781" max="11781" width="14.140625" style="99" bestFit="1" customWidth="1"/>
    <col min="11782" max="11783" width="11.42578125" style="99"/>
    <col min="11784" max="11784" width="13.42578125" style="99" customWidth="1"/>
    <col min="11785" max="11785" width="11.42578125" style="99"/>
    <col min="11786" max="11786" width="13.42578125" style="99" bestFit="1" customWidth="1"/>
    <col min="11787" max="12032" width="11.42578125" style="99"/>
    <col min="12033" max="12033" width="16.42578125" style="99" customWidth="1"/>
    <col min="12034" max="12036" width="11.42578125" style="99"/>
    <col min="12037" max="12037" width="14.140625" style="99" bestFit="1" customWidth="1"/>
    <col min="12038" max="12039" width="11.42578125" style="99"/>
    <col min="12040" max="12040" width="13.42578125" style="99" customWidth="1"/>
    <col min="12041" max="12041" width="11.42578125" style="99"/>
    <col min="12042" max="12042" width="13.42578125" style="99" bestFit="1" customWidth="1"/>
    <col min="12043" max="12288" width="11.42578125" style="99"/>
    <col min="12289" max="12289" width="16.42578125" style="99" customWidth="1"/>
    <col min="12290" max="12292" width="11.42578125" style="99"/>
    <col min="12293" max="12293" width="14.140625" style="99" bestFit="1" customWidth="1"/>
    <col min="12294" max="12295" width="11.42578125" style="99"/>
    <col min="12296" max="12296" width="13.42578125" style="99" customWidth="1"/>
    <col min="12297" max="12297" width="11.42578125" style="99"/>
    <col min="12298" max="12298" width="13.42578125" style="99" bestFit="1" customWidth="1"/>
    <col min="12299" max="12544" width="11.42578125" style="99"/>
    <col min="12545" max="12545" width="16.42578125" style="99" customWidth="1"/>
    <col min="12546" max="12548" width="11.42578125" style="99"/>
    <col min="12549" max="12549" width="14.140625" style="99" bestFit="1" customWidth="1"/>
    <col min="12550" max="12551" width="11.42578125" style="99"/>
    <col min="12552" max="12552" width="13.42578125" style="99" customWidth="1"/>
    <col min="12553" max="12553" width="11.42578125" style="99"/>
    <col min="12554" max="12554" width="13.42578125" style="99" bestFit="1" customWidth="1"/>
    <col min="12555" max="12800" width="11.42578125" style="99"/>
    <col min="12801" max="12801" width="16.42578125" style="99" customWidth="1"/>
    <col min="12802" max="12804" width="11.42578125" style="99"/>
    <col min="12805" max="12805" width="14.140625" style="99" bestFit="1" customWidth="1"/>
    <col min="12806" max="12807" width="11.42578125" style="99"/>
    <col min="12808" max="12808" width="13.42578125" style="99" customWidth="1"/>
    <col min="12809" max="12809" width="11.42578125" style="99"/>
    <col min="12810" max="12810" width="13.42578125" style="99" bestFit="1" customWidth="1"/>
    <col min="12811" max="13056" width="11.42578125" style="99"/>
    <col min="13057" max="13057" width="16.42578125" style="99" customWidth="1"/>
    <col min="13058" max="13060" width="11.42578125" style="99"/>
    <col min="13061" max="13061" width="14.140625" style="99" bestFit="1" customWidth="1"/>
    <col min="13062" max="13063" width="11.42578125" style="99"/>
    <col min="13064" max="13064" width="13.42578125" style="99" customWidth="1"/>
    <col min="13065" max="13065" width="11.42578125" style="99"/>
    <col min="13066" max="13066" width="13.42578125" style="99" bestFit="1" customWidth="1"/>
    <col min="13067" max="13312" width="11.42578125" style="99"/>
    <col min="13313" max="13313" width="16.42578125" style="99" customWidth="1"/>
    <col min="13314" max="13316" width="11.42578125" style="99"/>
    <col min="13317" max="13317" width="14.140625" style="99" bestFit="1" customWidth="1"/>
    <col min="13318" max="13319" width="11.42578125" style="99"/>
    <col min="13320" max="13320" width="13.42578125" style="99" customWidth="1"/>
    <col min="13321" max="13321" width="11.42578125" style="99"/>
    <col min="13322" max="13322" width="13.42578125" style="99" bestFit="1" customWidth="1"/>
    <col min="13323" max="13568" width="11.42578125" style="99"/>
    <col min="13569" max="13569" width="16.42578125" style="99" customWidth="1"/>
    <col min="13570" max="13572" width="11.42578125" style="99"/>
    <col min="13573" max="13573" width="14.140625" style="99" bestFit="1" customWidth="1"/>
    <col min="13574" max="13575" width="11.42578125" style="99"/>
    <col min="13576" max="13576" width="13.42578125" style="99" customWidth="1"/>
    <col min="13577" max="13577" width="11.42578125" style="99"/>
    <col min="13578" max="13578" width="13.42578125" style="99" bestFit="1" customWidth="1"/>
    <col min="13579" max="13824" width="11.42578125" style="99"/>
    <col min="13825" max="13825" width="16.42578125" style="99" customWidth="1"/>
    <col min="13826" max="13828" width="11.42578125" style="99"/>
    <col min="13829" max="13829" width="14.140625" style="99" bestFit="1" customWidth="1"/>
    <col min="13830" max="13831" width="11.42578125" style="99"/>
    <col min="13832" max="13832" width="13.42578125" style="99" customWidth="1"/>
    <col min="13833" max="13833" width="11.42578125" style="99"/>
    <col min="13834" max="13834" width="13.42578125" style="99" bestFit="1" customWidth="1"/>
    <col min="13835" max="14080" width="11.42578125" style="99"/>
    <col min="14081" max="14081" width="16.42578125" style="99" customWidth="1"/>
    <col min="14082" max="14084" width="11.42578125" style="99"/>
    <col min="14085" max="14085" width="14.140625" style="99" bestFit="1" customWidth="1"/>
    <col min="14086" max="14087" width="11.42578125" style="99"/>
    <col min="14088" max="14088" width="13.42578125" style="99" customWidth="1"/>
    <col min="14089" max="14089" width="11.42578125" style="99"/>
    <col min="14090" max="14090" width="13.42578125" style="99" bestFit="1" customWidth="1"/>
    <col min="14091" max="14336" width="11.42578125" style="99"/>
    <col min="14337" max="14337" width="16.42578125" style="99" customWidth="1"/>
    <col min="14338" max="14340" width="11.42578125" style="99"/>
    <col min="14341" max="14341" width="14.140625" style="99" bestFit="1" customWidth="1"/>
    <col min="14342" max="14343" width="11.42578125" style="99"/>
    <col min="14344" max="14344" width="13.42578125" style="99" customWidth="1"/>
    <col min="14345" max="14345" width="11.42578125" style="99"/>
    <col min="14346" max="14346" width="13.42578125" style="99" bestFit="1" customWidth="1"/>
    <col min="14347" max="14592" width="11.42578125" style="99"/>
    <col min="14593" max="14593" width="16.42578125" style="99" customWidth="1"/>
    <col min="14594" max="14596" width="11.42578125" style="99"/>
    <col min="14597" max="14597" width="14.140625" style="99" bestFit="1" customWidth="1"/>
    <col min="14598" max="14599" width="11.42578125" style="99"/>
    <col min="14600" max="14600" width="13.42578125" style="99" customWidth="1"/>
    <col min="14601" max="14601" width="11.42578125" style="99"/>
    <col min="14602" max="14602" width="13.42578125" style="99" bestFit="1" customWidth="1"/>
    <col min="14603" max="14848" width="11.42578125" style="99"/>
    <col min="14849" max="14849" width="16.42578125" style="99" customWidth="1"/>
    <col min="14850" max="14852" width="11.42578125" style="99"/>
    <col min="14853" max="14853" width="14.140625" style="99" bestFit="1" customWidth="1"/>
    <col min="14854" max="14855" width="11.42578125" style="99"/>
    <col min="14856" max="14856" width="13.42578125" style="99" customWidth="1"/>
    <col min="14857" max="14857" width="11.42578125" style="99"/>
    <col min="14858" max="14858" width="13.42578125" style="99" bestFit="1" customWidth="1"/>
    <col min="14859" max="15104" width="11.42578125" style="99"/>
    <col min="15105" max="15105" width="16.42578125" style="99" customWidth="1"/>
    <col min="15106" max="15108" width="11.42578125" style="99"/>
    <col min="15109" max="15109" width="14.140625" style="99" bestFit="1" customWidth="1"/>
    <col min="15110" max="15111" width="11.42578125" style="99"/>
    <col min="15112" max="15112" width="13.42578125" style="99" customWidth="1"/>
    <col min="15113" max="15113" width="11.42578125" style="99"/>
    <col min="15114" max="15114" width="13.42578125" style="99" bestFit="1" customWidth="1"/>
    <col min="15115" max="15360" width="11.42578125" style="99"/>
    <col min="15361" max="15361" width="16.42578125" style="99" customWidth="1"/>
    <col min="15362" max="15364" width="11.42578125" style="99"/>
    <col min="15365" max="15365" width="14.140625" style="99" bestFit="1" customWidth="1"/>
    <col min="15366" max="15367" width="11.42578125" style="99"/>
    <col min="15368" max="15368" width="13.42578125" style="99" customWidth="1"/>
    <col min="15369" max="15369" width="11.42578125" style="99"/>
    <col min="15370" max="15370" width="13.42578125" style="99" bestFit="1" customWidth="1"/>
    <col min="15371" max="15616" width="11.42578125" style="99"/>
    <col min="15617" max="15617" width="16.42578125" style="99" customWidth="1"/>
    <col min="15618" max="15620" width="11.42578125" style="99"/>
    <col min="15621" max="15621" width="14.140625" style="99" bestFit="1" customWidth="1"/>
    <col min="15622" max="15623" width="11.42578125" style="99"/>
    <col min="15624" max="15624" width="13.42578125" style="99" customWidth="1"/>
    <col min="15625" max="15625" width="11.42578125" style="99"/>
    <col min="15626" max="15626" width="13.42578125" style="99" bestFit="1" customWidth="1"/>
    <col min="15627" max="15872" width="11.42578125" style="99"/>
    <col min="15873" max="15873" width="16.42578125" style="99" customWidth="1"/>
    <col min="15874" max="15876" width="11.42578125" style="99"/>
    <col min="15877" max="15877" width="14.140625" style="99" bestFit="1" customWidth="1"/>
    <col min="15878" max="15879" width="11.42578125" style="99"/>
    <col min="15880" max="15880" width="13.42578125" style="99" customWidth="1"/>
    <col min="15881" max="15881" width="11.42578125" style="99"/>
    <col min="15882" max="15882" width="13.42578125" style="99" bestFit="1" customWidth="1"/>
    <col min="15883" max="16128" width="11.42578125" style="99"/>
    <col min="16129" max="16129" width="16.42578125" style="99" customWidth="1"/>
    <col min="16130" max="16132" width="11.42578125" style="99"/>
    <col min="16133" max="16133" width="14.140625" style="99" bestFit="1" customWidth="1"/>
    <col min="16134" max="16135" width="11.42578125" style="99"/>
    <col min="16136" max="16136" width="13.42578125" style="99" customWidth="1"/>
    <col min="16137" max="16137" width="11.42578125" style="99"/>
    <col min="16138" max="16138" width="13.42578125" style="99" bestFit="1" customWidth="1"/>
    <col min="16139" max="16384" width="11.42578125" style="99"/>
  </cols>
  <sheetData>
    <row r="5" spans="2:9" x14ac:dyDescent="0.2">
      <c r="B5" s="98"/>
      <c r="C5" s="98"/>
      <c r="D5" s="98"/>
      <c r="E5" s="98"/>
      <c r="F5" s="98"/>
      <c r="G5" s="98"/>
      <c r="H5" s="98"/>
    </row>
    <row r="6" spans="2:9" ht="23.25" x14ac:dyDescent="0.35">
      <c r="B6" s="100"/>
      <c r="C6" s="98"/>
      <c r="D6" s="98"/>
      <c r="E6" s="98"/>
      <c r="F6" s="98"/>
      <c r="G6" s="98"/>
      <c r="H6" s="98"/>
      <c r="I6" s="101"/>
    </row>
    <row r="7" spans="2:9" x14ac:dyDescent="0.2">
      <c r="B7" s="98"/>
      <c r="C7" s="98"/>
      <c r="D7" s="98"/>
      <c r="E7" s="98"/>
      <c r="F7" s="98"/>
      <c r="G7" s="98"/>
      <c r="H7" s="98"/>
      <c r="I7" s="98"/>
    </row>
    <row r="8" spans="2:9" x14ac:dyDescent="0.2">
      <c r="B8" s="98"/>
      <c r="C8" s="98"/>
      <c r="D8" s="98"/>
      <c r="F8" s="98"/>
      <c r="G8" s="98"/>
      <c r="H8" s="98"/>
    </row>
    <row r="9" spans="2:9" x14ac:dyDescent="0.2">
      <c r="B9" s="98"/>
      <c r="C9" s="98"/>
      <c r="D9" s="98"/>
      <c r="E9" s="98"/>
      <c r="F9" s="98"/>
      <c r="G9" s="98"/>
      <c r="H9" s="98"/>
    </row>
    <row r="10" spans="2:9" ht="23.25" x14ac:dyDescent="0.35">
      <c r="B10" s="98"/>
      <c r="C10" s="98"/>
      <c r="D10" s="98"/>
      <c r="I10" s="101"/>
    </row>
    <row r="11" spans="2:9" x14ac:dyDescent="0.2">
      <c r="B11" s="98"/>
      <c r="C11" s="98"/>
      <c r="D11" s="98"/>
    </row>
    <row r="12" spans="2:9" ht="27" customHeight="1" x14ac:dyDescent="0.35">
      <c r="B12" s="98"/>
      <c r="C12" s="98"/>
      <c r="D12" s="98"/>
      <c r="E12" s="98"/>
      <c r="F12" s="98"/>
      <c r="G12" s="98"/>
      <c r="H12" s="98"/>
      <c r="I12" s="101"/>
    </row>
    <row r="13" spans="2:9" ht="19.5" customHeight="1" x14ac:dyDescent="0.35">
      <c r="B13" s="98"/>
      <c r="C13" s="93"/>
      <c r="D13" s="93"/>
      <c r="E13" s="93"/>
      <c r="F13" s="93"/>
      <c r="G13" s="93"/>
      <c r="H13" s="93"/>
      <c r="I13" s="101"/>
    </row>
    <row r="14" spans="2:9" x14ac:dyDescent="0.2">
      <c r="B14" s="98"/>
      <c r="C14" s="98"/>
      <c r="D14" s="98"/>
      <c r="F14" s="98"/>
      <c r="G14" s="98"/>
      <c r="H14" s="98"/>
    </row>
    <row r="15" spans="2:9" x14ac:dyDescent="0.2">
      <c r="B15" s="98"/>
      <c r="C15" s="98"/>
      <c r="D15" s="98"/>
      <c r="F15" s="98"/>
      <c r="G15" s="98"/>
      <c r="H15" s="98"/>
      <c r="I15" s="98"/>
    </row>
    <row r="16" spans="2:9" ht="34.5" x14ac:dyDescent="0.45">
      <c r="B16" s="98"/>
      <c r="C16" s="98"/>
      <c r="D16" s="98"/>
      <c r="E16" s="102"/>
      <c r="F16" s="98"/>
      <c r="G16" s="98"/>
      <c r="H16" s="98"/>
      <c r="I16" s="98"/>
    </row>
    <row r="17" spans="2:9" ht="33" x14ac:dyDescent="0.45">
      <c r="B17" s="98"/>
      <c r="C17" s="98"/>
      <c r="D17" s="98"/>
      <c r="E17" s="103"/>
      <c r="F17" s="98"/>
      <c r="G17" s="98"/>
      <c r="H17" s="98"/>
      <c r="I17" s="98"/>
    </row>
    <row r="18" spans="2:9" ht="33" x14ac:dyDescent="0.45">
      <c r="D18" s="103"/>
    </row>
    <row r="19" spans="2:9" ht="18.75" x14ac:dyDescent="0.3">
      <c r="E19" s="104"/>
      <c r="I19" s="105"/>
    </row>
    <row r="21" spans="2:9" x14ac:dyDescent="0.2">
      <c r="E21" s="106"/>
    </row>
    <row r="22" spans="2:9" ht="26.25" x14ac:dyDescent="0.4">
      <c r="E22" s="107"/>
    </row>
    <row r="25" spans="2:9" ht="18.75" x14ac:dyDescent="0.3">
      <c r="E25" s="108"/>
    </row>
    <row r="26" spans="2:9" ht="18.75" x14ac:dyDescent="0.3">
      <c r="E26" s="109"/>
    </row>
    <row r="28" spans="2:9" x14ac:dyDescent="0.2">
      <c r="D28" s="93"/>
      <c r="E28" s="93"/>
      <c r="F28" s="93"/>
      <c r="G28" s="93"/>
      <c r="H28" s="93"/>
    </row>
    <row r="33" spans="1:9" ht="35.25" x14ac:dyDescent="0.2">
      <c r="A33" s="110"/>
    </row>
    <row r="36" spans="1:9" ht="33" x14ac:dyDescent="0.2">
      <c r="B36" s="111"/>
    </row>
    <row r="39" spans="1:9" ht="18" x14ac:dyDescent="0.25">
      <c r="B39" s="112"/>
    </row>
    <row r="41" spans="1:9" ht="18.75" x14ac:dyDescent="0.3">
      <c r="I41" s="113"/>
    </row>
    <row r="43" spans="1:9" ht="18.75" x14ac:dyDescent="0.3">
      <c r="B43" s="193"/>
      <c r="C43" s="193"/>
      <c r="D43" s="193"/>
    </row>
    <row r="57" spans="10:10" ht="18.75" x14ac:dyDescent="0.3">
      <c r="J57" s="114"/>
    </row>
  </sheetData>
  <mergeCells count="1">
    <mergeCell ref="B43:D43"/>
  </mergeCells>
  <pageMargins left="0.78740157480314965" right="0.78740157480314965" top="0.98425196850393704" bottom="0.98425196850393704" header="0.51181102362204722" footer="0.51181102362204722"/>
  <pageSetup paperSize="9" scale="77"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H68"/>
  <sheetViews>
    <sheetView showGridLines="0" showRowColHeaders="0" zoomScaleNormal="100" zoomScaleSheetLayoutView="70" workbookViewId="0"/>
  </sheetViews>
  <sheetFormatPr defaultColWidth="11.42578125" defaultRowHeight="12.75" x14ac:dyDescent="0.2"/>
  <cols>
    <col min="1" max="1" width="26.42578125" style="1" customWidth="1"/>
    <col min="2" max="2" width="8.140625" style="1" customWidth="1"/>
    <col min="3" max="4" width="10.42578125" style="1" customWidth="1"/>
    <col min="5" max="5" width="9.85546875" style="1" customWidth="1"/>
    <col min="6" max="6" width="1.5703125" style="1" customWidth="1"/>
    <col min="7" max="7" width="7.5703125" style="1" customWidth="1"/>
    <col min="8" max="8" width="8.85546875" style="1" customWidth="1"/>
    <col min="9" max="16384" width="11.42578125" style="1"/>
  </cols>
  <sheetData>
    <row r="1" spans="1:8" ht="5.25" customHeight="1" x14ac:dyDescent="0.2"/>
    <row r="2" spans="1:8" x14ac:dyDescent="0.2">
      <c r="A2" s="92" t="s">
        <v>0</v>
      </c>
      <c r="B2" s="2"/>
      <c r="C2" s="2"/>
      <c r="D2" s="2"/>
      <c r="E2" s="2"/>
      <c r="F2" s="2"/>
      <c r="G2" s="2"/>
    </row>
    <row r="3" spans="1:8" ht="6" customHeight="1" x14ac:dyDescent="0.2">
      <c r="A3" s="3"/>
      <c r="B3" s="2"/>
      <c r="C3" s="2"/>
      <c r="D3" s="2"/>
      <c r="E3" s="2"/>
      <c r="F3" s="2"/>
      <c r="G3" s="2"/>
    </row>
    <row r="4" spans="1:8" ht="16.5" thickBot="1" x14ac:dyDescent="0.3">
      <c r="A4" s="4" t="s">
        <v>149</v>
      </c>
      <c r="B4" s="5"/>
      <c r="C4" s="5"/>
      <c r="D4" s="5"/>
      <c r="E4" s="5"/>
      <c r="F4" s="5"/>
      <c r="G4" s="5"/>
      <c r="H4" s="6"/>
    </row>
    <row r="5" spans="1:8" x14ac:dyDescent="0.2">
      <c r="A5" s="7"/>
      <c r="B5" s="8"/>
      <c r="C5" s="9"/>
      <c r="D5" s="8"/>
      <c r="E5" s="10"/>
      <c r="F5" s="11"/>
      <c r="G5" s="197" t="s">
        <v>1</v>
      </c>
      <c r="H5" s="198"/>
    </row>
    <row r="6" spans="1:8" x14ac:dyDescent="0.2">
      <c r="A6" s="12"/>
      <c r="B6" s="13"/>
      <c r="C6" s="14" t="s">
        <v>236</v>
      </c>
      <c r="D6" s="15" t="s">
        <v>237</v>
      </c>
      <c r="E6" s="15" t="s">
        <v>238</v>
      </c>
      <c r="F6" s="16"/>
      <c r="G6" s="17" t="s">
        <v>239</v>
      </c>
      <c r="H6" s="18" t="s">
        <v>240</v>
      </c>
    </row>
    <row r="7" spans="1:8" x14ac:dyDescent="0.2">
      <c r="A7" s="199" t="s">
        <v>42</v>
      </c>
      <c r="B7" s="19" t="s">
        <v>3</v>
      </c>
      <c r="C7" s="20">
        <v>154164.24328634961</v>
      </c>
      <c r="D7" s="20">
        <v>177509.24782434295</v>
      </c>
      <c r="E7" s="21">
        <v>214593.35876105269</v>
      </c>
      <c r="F7" s="22" t="s">
        <v>241</v>
      </c>
      <c r="G7" s="23">
        <v>39.197880251946685</v>
      </c>
      <c r="H7" s="24">
        <v>20.891368416707451</v>
      </c>
    </row>
    <row r="8" spans="1:8" x14ac:dyDescent="0.2">
      <c r="A8" s="200"/>
      <c r="B8" s="25" t="s">
        <v>241</v>
      </c>
      <c r="C8" s="26" t="s">
        <v>241</v>
      </c>
      <c r="D8" s="26" t="s">
        <v>241</v>
      </c>
      <c r="E8" s="26" t="s">
        <v>241</v>
      </c>
      <c r="F8" s="27"/>
      <c r="G8" s="28" t="s">
        <v>241</v>
      </c>
      <c r="H8" s="29" t="s">
        <v>241</v>
      </c>
    </row>
    <row r="9" spans="1:8" x14ac:dyDescent="0.2">
      <c r="A9" s="30" t="s">
        <v>18</v>
      </c>
      <c r="B9" s="31" t="s">
        <v>3</v>
      </c>
      <c r="C9" s="20">
        <v>9654.8295664633042</v>
      </c>
      <c r="D9" s="20">
        <v>9931.9197217391302</v>
      </c>
      <c r="E9" s="21">
        <v>13497.019426086958</v>
      </c>
      <c r="F9" s="22" t="s">
        <v>241</v>
      </c>
      <c r="G9" s="32">
        <v>39.795522367062347</v>
      </c>
      <c r="H9" s="33">
        <v>35.895373746774084</v>
      </c>
    </row>
    <row r="10" spans="1:8" x14ac:dyDescent="0.2">
      <c r="A10" s="34"/>
      <c r="B10" s="25" t="s">
        <v>241</v>
      </c>
      <c r="C10" s="26" t="s">
        <v>241</v>
      </c>
      <c r="D10" s="26" t="s">
        <v>241</v>
      </c>
      <c r="E10" s="26" t="s">
        <v>241</v>
      </c>
      <c r="F10" s="27"/>
      <c r="G10" s="35" t="s">
        <v>241</v>
      </c>
      <c r="H10" s="29" t="s">
        <v>241</v>
      </c>
    </row>
    <row r="11" spans="1:8" x14ac:dyDescent="0.2">
      <c r="A11" s="30" t="s">
        <v>19</v>
      </c>
      <c r="B11" s="31" t="s">
        <v>3</v>
      </c>
      <c r="C11" s="20">
        <v>6431.7652215443477</v>
      </c>
      <c r="D11" s="20">
        <v>6782.0657391304348</v>
      </c>
      <c r="E11" s="21">
        <v>8872.3980869565221</v>
      </c>
      <c r="F11" s="22" t="s">
        <v>241</v>
      </c>
      <c r="G11" s="37">
        <v>37.946547819202692</v>
      </c>
      <c r="H11" s="33">
        <v>30.821469862279741</v>
      </c>
    </row>
    <row r="12" spans="1:8" x14ac:dyDescent="0.2">
      <c r="A12" s="34"/>
      <c r="B12" s="25" t="s">
        <v>241</v>
      </c>
      <c r="C12" s="26" t="s">
        <v>241</v>
      </c>
      <c r="D12" s="26" t="s">
        <v>241</v>
      </c>
      <c r="E12" s="26" t="s">
        <v>241</v>
      </c>
      <c r="F12" s="27"/>
      <c r="G12" s="28" t="s">
        <v>241</v>
      </c>
      <c r="H12" s="29" t="s">
        <v>241</v>
      </c>
    </row>
    <row r="13" spans="1:8" x14ac:dyDescent="0.2">
      <c r="A13" s="30" t="s">
        <v>20</v>
      </c>
      <c r="B13" s="31" t="s">
        <v>3</v>
      </c>
      <c r="C13" s="20">
        <v>20706.316772163977</v>
      </c>
      <c r="D13" s="20">
        <v>22790.459875776396</v>
      </c>
      <c r="E13" s="21">
        <v>26709.618136645964</v>
      </c>
      <c r="F13" s="22" t="s">
        <v>241</v>
      </c>
      <c r="G13" s="23">
        <v>28.99260853843586</v>
      </c>
      <c r="H13" s="24">
        <v>17.196486083350933</v>
      </c>
    </row>
    <row r="14" spans="1:8" x14ac:dyDescent="0.2">
      <c r="A14" s="34"/>
      <c r="B14" s="25" t="s">
        <v>241</v>
      </c>
      <c r="C14" s="26" t="s">
        <v>241</v>
      </c>
      <c r="D14" s="26" t="s">
        <v>241</v>
      </c>
      <c r="E14" s="26" t="s">
        <v>241</v>
      </c>
      <c r="F14" s="27"/>
      <c r="G14" s="38" t="s">
        <v>241</v>
      </c>
      <c r="H14" s="24" t="s">
        <v>241</v>
      </c>
    </row>
    <row r="15" spans="1:8" x14ac:dyDescent="0.2">
      <c r="A15" s="30" t="s">
        <v>21</v>
      </c>
      <c r="B15" s="31" t="s">
        <v>3</v>
      </c>
      <c r="C15" s="20">
        <v>1533.384058547826</v>
      </c>
      <c r="D15" s="20">
        <v>1303.4257971014492</v>
      </c>
      <c r="E15" s="21">
        <v>1392.4719565217392</v>
      </c>
      <c r="F15" s="22" t="s">
        <v>241</v>
      </c>
      <c r="G15" s="37">
        <v>-9.1896156895967778</v>
      </c>
      <c r="H15" s="33">
        <v>6.8317014760878862</v>
      </c>
    </row>
    <row r="16" spans="1:8" x14ac:dyDescent="0.2">
      <c r="A16" s="34"/>
      <c r="B16" s="25" t="s">
        <v>241</v>
      </c>
      <c r="C16" s="26" t="s">
        <v>241</v>
      </c>
      <c r="D16" s="26" t="s">
        <v>241</v>
      </c>
      <c r="E16" s="26" t="s">
        <v>241</v>
      </c>
      <c r="F16" s="27"/>
      <c r="G16" s="28" t="s">
        <v>241</v>
      </c>
      <c r="H16" s="29" t="s">
        <v>241</v>
      </c>
    </row>
    <row r="17" spans="1:8" x14ac:dyDescent="0.2">
      <c r="A17" s="30" t="s">
        <v>22</v>
      </c>
      <c r="B17" s="31" t="s">
        <v>3</v>
      </c>
      <c r="C17" s="20">
        <v>5296.3840585478265</v>
      </c>
      <c r="D17" s="20">
        <v>7081.4257971014495</v>
      </c>
      <c r="E17" s="21">
        <v>6695.4719565217392</v>
      </c>
      <c r="F17" s="22" t="s">
        <v>241</v>
      </c>
      <c r="G17" s="37">
        <v>26.415907202120792</v>
      </c>
      <c r="H17" s="33">
        <v>-5.4502278444785475</v>
      </c>
    </row>
    <row r="18" spans="1:8" x14ac:dyDescent="0.2">
      <c r="A18" s="34"/>
      <c r="B18" s="25" t="s">
        <v>241</v>
      </c>
      <c r="C18" s="26" t="s">
        <v>241</v>
      </c>
      <c r="D18" s="26" t="s">
        <v>241</v>
      </c>
      <c r="E18" s="26" t="s">
        <v>241</v>
      </c>
      <c r="F18" s="27"/>
      <c r="G18" s="28" t="s">
        <v>241</v>
      </c>
      <c r="H18" s="29" t="s">
        <v>241</v>
      </c>
    </row>
    <row r="19" spans="1:8" x14ac:dyDescent="0.2">
      <c r="A19" s="30" t="s">
        <v>190</v>
      </c>
      <c r="B19" s="31" t="s">
        <v>3</v>
      </c>
      <c r="C19" s="20">
        <v>78412.291930409934</v>
      </c>
      <c r="D19" s="20">
        <v>79580.649689440994</v>
      </c>
      <c r="E19" s="21">
        <v>142574.04534161492</v>
      </c>
      <c r="F19" s="22" t="s">
        <v>241</v>
      </c>
      <c r="G19" s="23">
        <v>81.826142090257804</v>
      </c>
      <c r="H19" s="24">
        <v>79.156674264412402</v>
      </c>
    </row>
    <row r="20" spans="1:8" x14ac:dyDescent="0.2">
      <c r="A20" s="30"/>
      <c r="B20" s="25" t="s">
        <v>241</v>
      </c>
      <c r="C20" s="26" t="s">
        <v>241</v>
      </c>
      <c r="D20" s="26" t="s">
        <v>241</v>
      </c>
      <c r="E20" s="26" t="s">
        <v>241</v>
      </c>
      <c r="F20" s="27"/>
      <c r="G20" s="38" t="s">
        <v>241</v>
      </c>
      <c r="H20" s="24" t="s">
        <v>241</v>
      </c>
    </row>
    <row r="21" spans="1:8" x14ac:dyDescent="0.2">
      <c r="A21" s="39" t="s">
        <v>12</v>
      </c>
      <c r="B21" s="31" t="s">
        <v>3</v>
      </c>
      <c r="C21" s="20">
        <v>1364.2304351286957</v>
      </c>
      <c r="D21" s="20">
        <v>1491.2554782608695</v>
      </c>
      <c r="E21" s="21">
        <v>1460.2831739130434</v>
      </c>
      <c r="F21" s="22" t="s">
        <v>241</v>
      </c>
      <c r="G21" s="37">
        <v>7.0408001691654363</v>
      </c>
      <c r="H21" s="33">
        <v>-2.0769281185774133</v>
      </c>
    </row>
    <row r="22" spans="1:8" x14ac:dyDescent="0.2">
      <c r="A22" s="34"/>
      <c r="B22" s="25" t="s">
        <v>241</v>
      </c>
      <c r="C22" s="26" t="s">
        <v>241</v>
      </c>
      <c r="D22" s="26" t="s">
        <v>241</v>
      </c>
      <c r="E22" s="26" t="s">
        <v>241</v>
      </c>
      <c r="F22" s="27"/>
      <c r="G22" s="28" t="s">
        <v>241</v>
      </c>
      <c r="H22" s="29" t="s">
        <v>241</v>
      </c>
    </row>
    <row r="23" spans="1:8" x14ac:dyDescent="0.2">
      <c r="A23" s="39" t="s">
        <v>23</v>
      </c>
      <c r="B23" s="31" t="s">
        <v>3</v>
      </c>
      <c r="C23" s="20">
        <v>4566.3840585478265</v>
      </c>
      <c r="D23" s="20">
        <v>4781.4257971014495</v>
      </c>
      <c r="E23" s="21">
        <v>5200.4719565217392</v>
      </c>
      <c r="F23" s="22" t="s">
        <v>241</v>
      </c>
      <c r="G23" s="23">
        <v>13.885995786687317</v>
      </c>
      <c r="H23" s="24">
        <v>8.7640418821164161</v>
      </c>
    </row>
    <row r="24" spans="1:8" x14ac:dyDescent="0.2">
      <c r="A24" s="34"/>
      <c r="B24" s="25" t="s">
        <v>241</v>
      </c>
      <c r="C24" s="26" t="s">
        <v>241</v>
      </c>
      <c r="D24" s="26" t="s">
        <v>241</v>
      </c>
      <c r="E24" s="26" t="s">
        <v>241</v>
      </c>
      <c r="F24" s="27"/>
      <c r="G24" s="28" t="s">
        <v>241</v>
      </c>
      <c r="H24" s="29" t="s">
        <v>241</v>
      </c>
    </row>
    <row r="25" spans="1:8" x14ac:dyDescent="0.2">
      <c r="A25" s="30" t="s">
        <v>24</v>
      </c>
      <c r="B25" s="31" t="s">
        <v>3</v>
      </c>
      <c r="C25" s="20">
        <v>27731.768117095653</v>
      </c>
      <c r="D25" s="20">
        <v>47693.851594202897</v>
      </c>
      <c r="E25" s="21">
        <v>10875.943913043478</v>
      </c>
      <c r="F25" s="22" t="s">
        <v>241</v>
      </c>
      <c r="G25" s="23">
        <v>-60.781642673772232</v>
      </c>
      <c r="H25" s="24">
        <v>-77.196339675855768</v>
      </c>
    </row>
    <row r="26" spans="1:8" ht="13.5" thickBot="1" x14ac:dyDescent="0.25">
      <c r="A26" s="41"/>
      <c r="B26" s="42" t="s">
        <v>241</v>
      </c>
      <c r="C26" s="43" t="s">
        <v>241</v>
      </c>
      <c r="D26" s="43" t="s">
        <v>241</v>
      </c>
      <c r="E26" s="43" t="s">
        <v>241</v>
      </c>
      <c r="F26" s="44"/>
      <c r="G26" s="45" t="s">
        <v>241</v>
      </c>
      <c r="H26" s="46" t="s">
        <v>241</v>
      </c>
    </row>
    <row r="31" spans="1:8" x14ac:dyDescent="0.2">
      <c r="A31" s="47"/>
      <c r="B31" s="48"/>
      <c r="C31" s="49"/>
      <c r="D31" s="55"/>
      <c r="E31" s="49"/>
      <c r="F31" s="49"/>
      <c r="G31" s="50"/>
      <c r="H31" s="51"/>
    </row>
    <row r="32" spans="1:8" ht="16.5" thickBot="1" x14ac:dyDescent="0.3">
      <c r="A32" s="4" t="s">
        <v>43</v>
      </c>
      <c r="B32" s="5"/>
      <c r="C32" s="5"/>
      <c r="D32" s="5"/>
      <c r="E32" s="5"/>
      <c r="F32" s="5"/>
      <c r="G32" s="5"/>
      <c r="H32" s="6"/>
    </row>
    <row r="33" spans="1:8" x14ac:dyDescent="0.2">
      <c r="A33" s="7"/>
      <c r="B33" s="8"/>
      <c r="C33" s="203" t="s">
        <v>16</v>
      </c>
      <c r="D33" s="197"/>
      <c r="E33" s="197"/>
      <c r="F33" s="204"/>
      <c r="G33" s="197" t="s">
        <v>1</v>
      </c>
      <c r="H33" s="198"/>
    </row>
    <row r="34" spans="1:8" x14ac:dyDescent="0.2">
      <c r="A34" s="12"/>
      <c r="B34" s="13"/>
      <c r="C34" s="14" t="s">
        <v>236</v>
      </c>
      <c r="D34" s="15" t="s">
        <v>237</v>
      </c>
      <c r="E34" s="15" t="s">
        <v>238</v>
      </c>
      <c r="F34" s="16"/>
      <c r="G34" s="17" t="s">
        <v>239</v>
      </c>
      <c r="H34" s="18" t="s">
        <v>240</v>
      </c>
    </row>
    <row r="35" spans="1:8" ht="12.75" customHeight="1" x14ac:dyDescent="0.2">
      <c r="A35" s="199" t="s">
        <v>42</v>
      </c>
      <c r="B35" s="19" t="s">
        <v>3</v>
      </c>
      <c r="C35" s="80">
        <v>1382.3195291147865</v>
      </c>
      <c r="D35" s="80">
        <v>1546.2412040680647</v>
      </c>
      <c r="E35" s="83">
        <v>1738.0038904658556</v>
      </c>
      <c r="F35" s="22" t="s">
        <v>241</v>
      </c>
      <c r="G35" s="23">
        <v>25.730979983972531</v>
      </c>
      <c r="H35" s="24">
        <v>12.401861099890183</v>
      </c>
    </row>
    <row r="36" spans="1:8" ht="12.75" customHeight="1" x14ac:dyDescent="0.2">
      <c r="A36" s="200"/>
      <c r="B36" s="25" t="s">
        <v>241</v>
      </c>
      <c r="C36" s="82" t="s">
        <v>241</v>
      </c>
      <c r="D36" s="82" t="s">
        <v>241</v>
      </c>
      <c r="E36" s="82" t="s">
        <v>241</v>
      </c>
      <c r="F36" s="27"/>
      <c r="G36" s="28" t="s">
        <v>241</v>
      </c>
      <c r="H36" s="29" t="s">
        <v>241</v>
      </c>
    </row>
    <row r="37" spans="1:8" x14ac:dyDescent="0.2">
      <c r="A37" s="30" t="s">
        <v>18</v>
      </c>
      <c r="B37" s="31" t="s">
        <v>3</v>
      </c>
      <c r="C37" s="80">
        <v>442.9725861208529</v>
      </c>
      <c r="D37" s="80">
        <v>492.1797290928065</v>
      </c>
      <c r="E37" s="83">
        <v>496.66997622316154</v>
      </c>
      <c r="F37" s="22" t="s">
        <v>241</v>
      </c>
      <c r="G37" s="32">
        <v>12.122057162169114</v>
      </c>
      <c r="H37" s="33">
        <v>0.9123185830167273</v>
      </c>
    </row>
    <row r="38" spans="1:8" x14ac:dyDescent="0.2">
      <c r="A38" s="34"/>
      <c r="B38" s="25" t="s">
        <v>241</v>
      </c>
      <c r="C38" s="82" t="s">
        <v>241</v>
      </c>
      <c r="D38" s="82" t="s">
        <v>241</v>
      </c>
      <c r="E38" s="82" t="s">
        <v>241</v>
      </c>
      <c r="F38" s="27"/>
      <c r="G38" s="35" t="s">
        <v>241</v>
      </c>
      <c r="H38" s="29" t="s">
        <v>241</v>
      </c>
    </row>
    <row r="39" spans="1:8" x14ac:dyDescent="0.2">
      <c r="A39" s="30" t="s">
        <v>19</v>
      </c>
      <c r="B39" s="31" t="s">
        <v>3</v>
      </c>
      <c r="C39" s="80">
        <v>139.92775588724291</v>
      </c>
      <c r="D39" s="80">
        <v>143.40503966759903</v>
      </c>
      <c r="E39" s="83">
        <v>225.58190716607879</v>
      </c>
      <c r="F39" s="22" t="s">
        <v>241</v>
      </c>
      <c r="G39" s="37">
        <v>61.213124398177314</v>
      </c>
      <c r="H39" s="33">
        <v>57.304030380633009</v>
      </c>
    </row>
    <row r="40" spans="1:8" x14ac:dyDescent="0.2">
      <c r="A40" s="34"/>
      <c r="B40" s="25" t="s">
        <v>241</v>
      </c>
      <c r="C40" s="82" t="s">
        <v>241</v>
      </c>
      <c r="D40" s="82" t="s">
        <v>241</v>
      </c>
      <c r="E40" s="82" t="s">
        <v>241</v>
      </c>
      <c r="F40" s="27"/>
      <c r="G40" s="28" t="s">
        <v>241</v>
      </c>
      <c r="H40" s="29" t="s">
        <v>241</v>
      </c>
    </row>
    <row r="41" spans="1:8" x14ac:dyDescent="0.2">
      <c r="A41" s="30" t="s">
        <v>20</v>
      </c>
      <c r="B41" s="31" t="s">
        <v>3</v>
      </c>
      <c r="C41" s="80">
        <v>246.86392278839622</v>
      </c>
      <c r="D41" s="80">
        <v>244.72721945667448</v>
      </c>
      <c r="E41" s="83">
        <v>266.03232587117066</v>
      </c>
      <c r="F41" s="22" t="s">
        <v>241</v>
      </c>
      <c r="G41" s="23">
        <v>7.7647648414000798</v>
      </c>
      <c r="H41" s="24">
        <v>8.7056545903623714</v>
      </c>
    </row>
    <row r="42" spans="1:8" x14ac:dyDescent="0.2">
      <c r="A42" s="34"/>
      <c r="B42" s="25" t="s">
        <v>241</v>
      </c>
      <c r="C42" s="82" t="s">
        <v>241</v>
      </c>
      <c r="D42" s="82" t="s">
        <v>241</v>
      </c>
      <c r="E42" s="82" t="s">
        <v>241</v>
      </c>
      <c r="F42" s="27"/>
      <c r="G42" s="38" t="s">
        <v>241</v>
      </c>
      <c r="H42" s="24" t="s">
        <v>241</v>
      </c>
    </row>
    <row r="43" spans="1:8" x14ac:dyDescent="0.2">
      <c r="A43" s="30" t="s">
        <v>21</v>
      </c>
      <c r="B43" s="31" t="s">
        <v>3</v>
      </c>
      <c r="C43" s="80">
        <v>8.9882224831339776</v>
      </c>
      <c r="D43" s="80">
        <v>9.2872953346467142</v>
      </c>
      <c r="E43" s="83">
        <v>9.1229695792220813</v>
      </c>
      <c r="F43" s="22" t="s">
        <v>241</v>
      </c>
      <c r="G43" s="37">
        <v>1.4991517660021287</v>
      </c>
      <c r="H43" s="33">
        <v>-1.7693607180941768</v>
      </c>
    </row>
    <row r="44" spans="1:8" x14ac:dyDescent="0.2">
      <c r="A44" s="34"/>
      <c r="B44" s="25" t="s">
        <v>241</v>
      </c>
      <c r="C44" s="82" t="s">
        <v>241</v>
      </c>
      <c r="D44" s="82" t="s">
        <v>241</v>
      </c>
      <c r="E44" s="82" t="s">
        <v>241</v>
      </c>
      <c r="F44" s="27"/>
      <c r="G44" s="28" t="s">
        <v>241</v>
      </c>
      <c r="H44" s="29" t="s">
        <v>241</v>
      </c>
    </row>
    <row r="45" spans="1:8" x14ac:dyDescent="0.2">
      <c r="A45" s="30" t="s">
        <v>22</v>
      </c>
      <c r="B45" s="31" t="s">
        <v>3</v>
      </c>
      <c r="C45" s="80">
        <v>24.568454492397105</v>
      </c>
      <c r="D45" s="80">
        <v>33.964077106086407</v>
      </c>
      <c r="E45" s="83">
        <v>29.893299271651255</v>
      </c>
      <c r="F45" s="22" t="s">
        <v>241</v>
      </c>
      <c r="G45" s="37">
        <v>21.673503235223706</v>
      </c>
      <c r="H45" s="33">
        <v>-11.985539373615609</v>
      </c>
    </row>
    <row r="46" spans="1:8" x14ac:dyDescent="0.2">
      <c r="A46" s="34"/>
      <c r="B46" s="25" t="s">
        <v>241</v>
      </c>
      <c r="C46" s="82" t="s">
        <v>241</v>
      </c>
      <c r="D46" s="82" t="s">
        <v>241</v>
      </c>
      <c r="E46" s="82" t="s">
        <v>241</v>
      </c>
      <c r="F46" s="27"/>
      <c r="G46" s="28" t="s">
        <v>241</v>
      </c>
      <c r="H46" s="29" t="s">
        <v>241</v>
      </c>
    </row>
    <row r="47" spans="1:8" x14ac:dyDescent="0.2">
      <c r="A47" s="30" t="s">
        <v>190</v>
      </c>
      <c r="B47" s="31" t="s">
        <v>3</v>
      </c>
      <c r="C47" s="80">
        <v>265.38455931916405</v>
      </c>
      <c r="D47" s="80">
        <v>283.32529641478544</v>
      </c>
      <c r="E47" s="83">
        <v>475.55157261504684</v>
      </c>
      <c r="F47" s="22" t="s">
        <v>241</v>
      </c>
      <c r="G47" s="23">
        <v>79.193384059366451</v>
      </c>
      <c r="H47" s="24">
        <v>67.846492576802632</v>
      </c>
    </row>
    <row r="48" spans="1:8" x14ac:dyDescent="0.2">
      <c r="A48" s="30"/>
      <c r="B48" s="25" t="s">
        <v>241</v>
      </c>
      <c r="C48" s="82" t="s">
        <v>241</v>
      </c>
      <c r="D48" s="82" t="s">
        <v>241</v>
      </c>
      <c r="E48" s="82" t="s">
        <v>241</v>
      </c>
      <c r="F48" s="27"/>
      <c r="G48" s="38" t="s">
        <v>241</v>
      </c>
      <c r="H48" s="24" t="s">
        <v>241</v>
      </c>
    </row>
    <row r="49" spans="1:8" x14ac:dyDescent="0.2">
      <c r="A49" s="39" t="s">
        <v>12</v>
      </c>
      <c r="B49" s="31" t="s">
        <v>3</v>
      </c>
      <c r="C49" s="80">
        <v>11.175463042254536</v>
      </c>
      <c r="D49" s="80">
        <v>14.339730904194479</v>
      </c>
      <c r="E49" s="83">
        <v>25.186969873632851</v>
      </c>
      <c r="F49" s="22" t="s">
        <v>241</v>
      </c>
      <c r="G49" s="37">
        <v>125.37741638445468</v>
      </c>
      <c r="H49" s="33">
        <v>75.644648019618501</v>
      </c>
    </row>
    <row r="50" spans="1:8" x14ac:dyDescent="0.2">
      <c r="A50" s="34"/>
      <c r="B50" s="25" t="s">
        <v>241</v>
      </c>
      <c r="C50" s="82" t="s">
        <v>241</v>
      </c>
      <c r="D50" s="82" t="s">
        <v>241</v>
      </c>
      <c r="E50" s="82" t="s">
        <v>241</v>
      </c>
      <c r="F50" s="27"/>
      <c r="G50" s="28" t="s">
        <v>241</v>
      </c>
      <c r="H50" s="29" t="s">
        <v>241</v>
      </c>
    </row>
    <row r="51" spans="1:8" x14ac:dyDescent="0.2">
      <c r="A51" s="39" t="s">
        <v>23</v>
      </c>
      <c r="B51" s="31" t="s">
        <v>3</v>
      </c>
      <c r="C51" s="80">
        <v>97.447353648543157</v>
      </c>
      <c r="D51" s="80">
        <v>106.80605752157327</v>
      </c>
      <c r="E51" s="83">
        <v>107.90494900501409</v>
      </c>
      <c r="F51" s="22" t="s">
        <v>241</v>
      </c>
      <c r="G51" s="23">
        <v>10.731533453630405</v>
      </c>
      <c r="H51" s="24">
        <v>1.0288662543497225</v>
      </c>
    </row>
    <row r="52" spans="1:8" x14ac:dyDescent="0.2">
      <c r="A52" s="34"/>
      <c r="B52" s="25" t="s">
        <v>241</v>
      </c>
      <c r="C52" s="82" t="s">
        <v>241</v>
      </c>
      <c r="D52" s="82" t="s">
        <v>241</v>
      </c>
      <c r="E52" s="82" t="s">
        <v>241</v>
      </c>
      <c r="F52" s="27"/>
      <c r="G52" s="38" t="s">
        <v>241</v>
      </c>
      <c r="H52" s="24" t="s">
        <v>241</v>
      </c>
    </row>
    <row r="53" spans="1:8" x14ac:dyDescent="0.2">
      <c r="A53" s="30" t="s">
        <v>24</v>
      </c>
      <c r="B53" s="31" t="s">
        <v>3</v>
      </c>
      <c r="C53" s="80">
        <v>144.99121133280178</v>
      </c>
      <c r="D53" s="80">
        <v>218.20675856969845</v>
      </c>
      <c r="E53" s="83">
        <v>102.05992086087724</v>
      </c>
      <c r="F53" s="22" t="s">
        <v>241</v>
      </c>
      <c r="G53" s="37">
        <v>-29.609581213431852</v>
      </c>
      <c r="H53" s="33">
        <v>-53.227882798012509</v>
      </c>
    </row>
    <row r="54" spans="1:8" ht="13.5" thickBot="1" x14ac:dyDescent="0.25">
      <c r="A54" s="41"/>
      <c r="B54" s="42" t="s">
        <v>241</v>
      </c>
      <c r="C54" s="86" t="s">
        <v>241</v>
      </c>
      <c r="D54" s="86" t="s">
        <v>241</v>
      </c>
      <c r="E54" s="86" t="s">
        <v>241</v>
      </c>
      <c r="F54" s="44"/>
      <c r="G54" s="45" t="s">
        <v>241</v>
      </c>
      <c r="H54" s="46" t="s">
        <v>241</v>
      </c>
    </row>
    <row r="59" spans="1:8" x14ac:dyDescent="0.2">
      <c r="A59" s="47"/>
      <c r="B59" s="48"/>
      <c r="C59" s="49"/>
      <c r="D59" s="49"/>
      <c r="E59" s="49"/>
      <c r="F59" s="49"/>
      <c r="G59" s="50"/>
      <c r="H59" s="51"/>
    </row>
    <row r="60" spans="1:8" x14ac:dyDescent="0.2">
      <c r="A60" s="52"/>
      <c r="B60" s="52"/>
      <c r="C60" s="52"/>
      <c r="D60" s="52"/>
      <c r="E60" s="52"/>
      <c r="F60" s="52"/>
      <c r="G60" s="52"/>
      <c r="H60" s="52"/>
    </row>
    <row r="61" spans="1:8" ht="12.75" customHeight="1" x14ac:dyDescent="0.2">
      <c r="A61" s="54" t="s">
        <v>235</v>
      </c>
      <c r="H61" s="194">
        <v>14</v>
      </c>
    </row>
    <row r="62" spans="1:8" ht="12.75" customHeight="1" x14ac:dyDescent="0.2">
      <c r="A62" s="54" t="s">
        <v>242</v>
      </c>
      <c r="H62" s="195"/>
    </row>
    <row r="67" ht="12.75" customHeight="1" x14ac:dyDescent="0.2"/>
    <row r="68" ht="12.75" customHeight="1" x14ac:dyDescent="0.2"/>
  </sheetData>
  <mergeCells count="6">
    <mergeCell ref="H61:H62"/>
    <mergeCell ref="A35:A36"/>
    <mergeCell ref="A7:A8"/>
    <mergeCell ref="G5:H5"/>
    <mergeCell ref="G33:H33"/>
    <mergeCell ref="C33:F33"/>
  </mergeCells>
  <phoneticPr fontId="0" type="noConversion"/>
  <hyperlinks>
    <hyperlink ref="A2" location="Innhold!A33" display="Tilbake til innholdsfortegnelsen" xr:uid="{00000000-0004-0000-0900-000000000000}"/>
  </hyperlinks>
  <pageMargins left="0.78740157480314965" right="0.78740157480314965" top="0.98425196850393704" bottom="0.19685039370078741" header="3.937007874015748E-2" footer="3.937007874015748E-2"/>
  <pageSetup paperSize="9" scale="99" orientation="portrait"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H68"/>
  <sheetViews>
    <sheetView showGridLines="0" showRowColHeaders="0" zoomScaleNormal="100" zoomScaleSheetLayoutView="70" workbookViewId="0"/>
  </sheetViews>
  <sheetFormatPr defaultColWidth="11.42578125" defaultRowHeight="12.75" x14ac:dyDescent="0.2"/>
  <cols>
    <col min="1" max="1" width="26.42578125" style="1" customWidth="1"/>
    <col min="2" max="2" width="8.140625" style="1" customWidth="1"/>
    <col min="3" max="4" width="10.42578125" style="1" customWidth="1"/>
    <col min="5" max="5" width="9.85546875" style="1" customWidth="1"/>
    <col min="6" max="6" width="1.5703125" style="1" customWidth="1"/>
    <col min="7" max="7" width="7.5703125" style="1" customWidth="1"/>
    <col min="8" max="8" width="8.85546875" style="1" customWidth="1"/>
    <col min="9" max="16384" width="11.42578125" style="1"/>
  </cols>
  <sheetData>
    <row r="1" spans="1:8" ht="5.25" customHeight="1" x14ac:dyDescent="0.2"/>
    <row r="2" spans="1:8" x14ac:dyDescent="0.2">
      <c r="A2" s="92" t="s">
        <v>0</v>
      </c>
      <c r="B2" s="2"/>
      <c r="C2" s="2"/>
      <c r="D2" s="2"/>
      <c r="E2" s="2"/>
      <c r="F2" s="2"/>
      <c r="G2" s="2"/>
    </row>
    <row r="3" spans="1:8" ht="6" customHeight="1" x14ac:dyDescent="0.2">
      <c r="A3" s="3"/>
      <c r="B3" s="2"/>
      <c r="C3" s="2"/>
      <c r="D3" s="2"/>
      <c r="E3" s="2"/>
      <c r="F3" s="2"/>
      <c r="G3" s="2"/>
    </row>
    <row r="4" spans="1:8" ht="16.5" thickBot="1" x14ac:dyDescent="0.3">
      <c r="A4" s="4" t="s">
        <v>150</v>
      </c>
      <c r="B4" s="5"/>
      <c r="C4" s="5"/>
      <c r="D4" s="5"/>
      <c r="E4" s="5"/>
      <c r="F4" s="5"/>
      <c r="G4" s="5"/>
      <c r="H4" s="6"/>
    </row>
    <row r="5" spans="1:8" x14ac:dyDescent="0.2">
      <c r="A5" s="7"/>
      <c r="B5" s="8"/>
      <c r="C5" s="9"/>
      <c r="D5" s="8"/>
      <c r="E5" s="10"/>
      <c r="F5" s="11"/>
      <c r="G5" s="197" t="s">
        <v>1</v>
      </c>
      <c r="H5" s="198"/>
    </row>
    <row r="6" spans="1:8" x14ac:dyDescent="0.2">
      <c r="A6" s="12"/>
      <c r="B6" s="13"/>
      <c r="C6" s="14" t="s">
        <v>236</v>
      </c>
      <c r="D6" s="15" t="s">
        <v>237</v>
      </c>
      <c r="E6" s="15" t="s">
        <v>238</v>
      </c>
      <c r="F6" s="16"/>
      <c r="G6" s="17" t="s">
        <v>239</v>
      </c>
      <c r="H6" s="18" t="s">
        <v>240</v>
      </c>
    </row>
    <row r="7" spans="1:8" x14ac:dyDescent="0.2">
      <c r="A7" s="199" t="s">
        <v>44</v>
      </c>
      <c r="B7" s="19" t="s">
        <v>3</v>
      </c>
      <c r="C7" s="20">
        <v>110274.26144282252</v>
      </c>
      <c r="D7" s="20">
        <v>130489.07753884791</v>
      </c>
      <c r="E7" s="21">
        <v>131285.51443171315</v>
      </c>
      <c r="F7" s="22" t="s">
        <v>241</v>
      </c>
      <c r="G7" s="23">
        <v>19.053632927557643</v>
      </c>
      <c r="H7" s="24">
        <v>0.61034755390016926</v>
      </c>
    </row>
    <row r="8" spans="1:8" x14ac:dyDescent="0.2">
      <c r="A8" s="200"/>
      <c r="B8" s="25" t="s">
        <v>241</v>
      </c>
      <c r="C8" s="26" t="s">
        <v>241</v>
      </c>
      <c r="D8" s="26" t="s">
        <v>241</v>
      </c>
      <c r="E8" s="26" t="s">
        <v>241</v>
      </c>
      <c r="F8" s="27"/>
      <c r="G8" s="28" t="s">
        <v>241</v>
      </c>
      <c r="H8" s="29" t="s">
        <v>241</v>
      </c>
    </row>
    <row r="9" spans="1:8" x14ac:dyDescent="0.2">
      <c r="A9" s="30" t="s">
        <v>18</v>
      </c>
      <c r="B9" s="31" t="s">
        <v>3</v>
      </c>
      <c r="C9" s="20">
        <v>11102.819455970435</v>
      </c>
      <c r="D9" s="20">
        <v>12430.674886956522</v>
      </c>
      <c r="E9" s="21">
        <v>14911.881165217392</v>
      </c>
      <c r="F9" s="22" t="s">
        <v>241</v>
      </c>
      <c r="G9" s="32">
        <v>34.307157063593138</v>
      </c>
      <c r="H9" s="33">
        <v>19.960350510529352</v>
      </c>
    </row>
    <row r="10" spans="1:8" x14ac:dyDescent="0.2">
      <c r="A10" s="34"/>
      <c r="B10" s="25" t="s">
        <v>241</v>
      </c>
      <c r="C10" s="26" t="s">
        <v>241</v>
      </c>
      <c r="D10" s="26" t="s">
        <v>241</v>
      </c>
      <c r="E10" s="26" t="s">
        <v>241</v>
      </c>
      <c r="F10" s="27"/>
      <c r="G10" s="35" t="s">
        <v>241</v>
      </c>
      <c r="H10" s="29" t="s">
        <v>241</v>
      </c>
    </row>
    <row r="11" spans="1:8" x14ac:dyDescent="0.2">
      <c r="A11" s="30" t="s">
        <v>19</v>
      </c>
      <c r="B11" s="31" t="s">
        <v>3</v>
      </c>
      <c r="C11" s="20">
        <v>49201.064853234784</v>
      </c>
      <c r="D11" s="20">
        <v>56876.582956521743</v>
      </c>
      <c r="E11" s="21">
        <v>56415.937217391307</v>
      </c>
      <c r="F11" s="22" t="s">
        <v>241</v>
      </c>
      <c r="G11" s="37">
        <v>14.664057344446221</v>
      </c>
      <c r="H11" s="33">
        <v>-0.80990403288215873</v>
      </c>
    </row>
    <row r="12" spans="1:8" x14ac:dyDescent="0.2">
      <c r="A12" s="34"/>
      <c r="B12" s="25" t="s">
        <v>241</v>
      </c>
      <c r="C12" s="26" t="s">
        <v>241</v>
      </c>
      <c r="D12" s="26" t="s">
        <v>241</v>
      </c>
      <c r="E12" s="26" t="s">
        <v>241</v>
      </c>
      <c r="F12" s="27"/>
      <c r="G12" s="28" t="s">
        <v>241</v>
      </c>
      <c r="H12" s="29" t="s">
        <v>241</v>
      </c>
    </row>
    <row r="13" spans="1:8" x14ac:dyDescent="0.2">
      <c r="A13" s="30" t="s">
        <v>20</v>
      </c>
      <c r="B13" s="31" t="s">
        <v>3</v>
      </c>
      <c r="C13" s="20">
        <v>3289.2213586832299</v>
      </c>
      <c r="D13" s="20">
        <v>3234.7537888198758</v>
      </c>
      <c r="E13" s="21">
        <v>3652.7796273291924</v>
      </c>
      <c r="F13" s="22" t="s">
        <v>241</v>
      </c>
      <c r="G13" s="23">
        <v>11.05301921034301</v>
      </c>
      <c r="H13" s="24">
        <v>12.922956917281297</v>
      </c>
    </row>
    <row r="14" spans="1:8" x14ac:dyDescent="0.2">
      <c r="A14" s="34"/>
      <c r="B14" s="25" t="s">
        <v>241</v>
      </c>
      <c r="C14" s="26" t="s">
        <v>241</v>
      </c>
      <c r="D14" s="26" t="s">
        <v>241</v>
      </c>
      <c r="E14" s="26" t="s">
        <v>241</v>
      </c>
      <c r="F14" s="27"/>
      <c r="G14" s="38" t="s">
        <v>241</v>
      </c>
      <c r="H14" s="24" t="s">
        <v>241</v>
      </c>
    </row>
    <row r="15" spans="1:8" x14ac:dyDescent="0.2">
      <c r="A15" s="30" t="s">
        <v>21</v>
      </c>
      <c r="B15" s="31" t="s">
        <v>3</v>
      </c>
      <c r="C15" s="20">
        <v>2811.5645629492756</v>
      </c>
      <c r="D15" s="20">
        <v>3121.8865217391303</v>
      </c>
      <c r="E15" s="21">
        <v>3363.6857246376812</v>
      </c>
      <c r="F15" s="22" t="s">
        <v>241</v>
      </c>
      <c r="G15" s="37">
        <v>19.637506069191659</v>
      </c>
      <c r="H15" s="33">
        <v>7.745291227429064</v>
      </c>
    </row>
    <row r="16" spans="1:8" x14ac:dyDescent="0.2">
      <c r="A16" s="34"/>
      <c r="B16" s="25" t="s">
        <v>241</v>
      </c>
      <c r="C16" s="26" t="s">
        <v>241</v>
      </c>
      <c r="D16" s="26" t="s">
        <v>241</v>
      </c>
      <c r="E16" s="26" t="s">
        <v>241</v>
      </c>
      <c r="F16" s="27"/>
      <c r="G16" s="28" t="s">
        <v>241</v>
      </c>
      <c r="H16" s="29" t="s">
        <v>241</v>
      </c>
    </row>
    <row r="17" spans="1:8" x14ac:dyDescent="0.2">
      <c r="A17" s="30" t="s">
        <v>22</v>
      </c>
      <c r="B17" s="31" t="s">
        <v>3</v>
      </c>
      <c r="C17" s="20">
        <v>492.56456294927534</v>
      </c>
      <c r="D17" s="20">
        <v>548.88652173913044</v>
      </c>
      <c r="E17" s="21">
        <v>492.68572463768118</v>
      </c>
      <c r="F17" s="22" t="s">
        <v>241</v>
      </c>
      <c r="G17" s="37">
        <v>2.4598133426479762E-2</v>
      </c>
      <c r="H17" s="33">
        <v>-10.239055774840082</v>
      </c>
    </row>
    <row r="18" spans="1:8" x14ac:dyDescent="0.2">
      <c r="A18" s="34"/>
      <c r="B18" s="25" t="s">
        <v>241</v>
      </c>
      <c r="C18" s="26" t="s">
        <v>241</v>
      </c>
      <c r="D18" s="26" t="s">
        <v>241</v>
      </c>
      <c r="E18" s="26" t="s">
        <v>241</v>
      </c>
      <c r="F18" s="27"/>
      <c r="G18" s="28" t="s">
        <v>241</v>
      </c>
      <c r="H18" s="29" t="s">
        <v>241</v>
      </c>
    </row>
    <row r="19" spans="1:8" x14ac:dyDescent="0.2">
      <c r="A19" s="30" t="s">
        <v>190</v>
      </c>
      <c r="B19" s="31" t="s">
        <v>3</v>
      </c>
      <c r="C19" s="20">
        <v>29414.553396708074</v>
      </c>
      <c r="D19" s="20">
        <v>38409.884472049685</v>
      </c>
      <c r="E19" s="21">
        <v>35585.449068322981</v>
      </c>
      <c r="F19" s="22" t="s">
        <v>241</v>
      </c>
      <c r="G19" s="23">
        <v>20.979056144043057</v>
      </c>
      <c r="H19" s="24">
        <v>-7.3534077036394194</v>
      </c>
    </row>
    <row r="20" spans="1:8" x14ac:dyDescent="0.2">
      <c r="A20" s="30"/>
      <c r="B20" s="25" t="s">
        <v>241</v>
      </c>
      <c r="C20" s="26" t="s">
        <v>241</v>
      </c>
      <c r="D20" s="26" t="s">
        <v>241</v>
      </c>
      <c r="E20" s="26" t="s">
        <v>241</v>
      </c>
      <c r="F20" s="27"/>
      <c r="G20" s="38" t="s">
        <v>241</v>
      </c>
      <c r="H20" s="24" t="s">
        <v>241</v>
      </c>
    </row>
    <row r="21" spans="1:8" x14ac:dyDescent="0.2">
      <c r="A21" s="39" t="s">
        <v>12</v>
      </c>
      <c r="B21" s="31" t="s">
        <v>3</v>
      </c>
      <c r="C21" s="20">
        <v>397.33873776956523</v>
      </c>
      <c r="D21" s="20">
        <v>407.13191304347828</v>
      </c>
      <c r="E21" s="21">
        <v>448.41143478260869</v>
      </c>
      <c r="F21" s="22" t="s">
        <v>241</v>
      </c>
      <c r="G21" s="37">
        <v>12.853691864965569</v>
      </c>
      <c r="H21" s="33">
        <v>10.139102442387539</v>
      </c>
    </row>
    <row r="22" spans="1:8" x14ac:dyDescent="0.2">
      <c r="A22" s="34"/>
      <c r="B22" s="25" t="s">
        <v>241</v>
      </c>
      <c r="C22" s="26" t="s">
        <v>241</v>
      </c>
      <c r="D22" s="26" t="s">
        <v>241</v>
      </c>
      <c r="E22" s="26" t="s">
        <v>241</v>
      </c>
      <c r="F22" s="27"/>
      <c r="G22" s="28" t="s">
        <v>241</v>
      </c>
      <c r="H22" s="29" t="s">
        <v>241</v>
      </c>
    </row>
    <row r="23" spans="1:8" x14ac:dyDescent="0.2">
      <c r="A23" s="39" t="s">
        <v>23</v>
      </c>
      <c r="B23" s="31" t="s">
        <v>3</v>
      </c>
      <c r="C23" s="20">
        <v>6183.5645629492756</v>
      </c>
      <c r="D23" s="20">
        <v>6115.8865217391303</v>
      </c>
      <c r="E23" s="21">
        <v>6141.6857246376812</v>
      </c>
      <c r="F23" s="22" t="s">
        <v>241</v>
      </c>
      <c r="G23" s="23">
        <v>-0.6772604682180372</v>
      </c>
      <c r="H23" s="24">
        <v>0.4218391365969012</v>
      </c>
    </row>
    <row r="24" spans="1:8" x14ac:dyDescent="0.2">
      <c r="A24" s="34"/>
      <c r="B24" s="25" t="s">
        <v>241</v>
      </c>
      <c r="C24" s="26" t="s">
        <v>241</v>
      </c>
      <c r="D24" s="26" t="s">
        <v>241</v>
      </c>
      <c r="E24" s="26" t="s">
        <v>241</v>
      </c>
      <c r="F24" s="27"/>
      <c r="G24" s="28" t="s">
        <v>241</v>
      </c>
      <c r="H24" s="29" t="s">
        <v>241</v>
      </c>
    </row>
    <row r="25" spans="1:8" x14ac:dyDescent="0.2">
      <c r="A25" s="30" t="s">
        <v>24</v>
      </c>
      <c r="B25" s="31" t="s">
        <v>3</v>
      </c>
      <c r="C25" s="20">
        <v>11500.129125898551</v>
      </c>
      <c r="D25" s="20">
        <v>16033.773043478261</v>
      </c>
      <c r="E25" s="21">
        <v>17105.371449275364</v>
      </c>
      <c r="F25" s="22" t="s">
        <v>241</v>
      </c>
      <c r="G25" s="23">
        <v>48.740690317586797</v>
      </c>
      <c r="H25" s="24">
        <v>6.6833826504297207</v>
      </c>
    </row>
    <row r="26" spans="1:8" ht="13.5" thickBot="1" x14ac:dyDescent="0.25">
      <c r="A26" s="41"/>
      <c r="B26" s="42" t="s">
        <v>241</v>
      </c>
      <c r="C26" s="43" t="s">
        <v>241</v>
      </c>
      <c r="D26" s="43" t="s">
        <v>241</v>
      </c>
      <c r="E26" s="43" t="s">
        <v>241</v>
      </c>
      <c r="F26" s="44"/>
      <c r="G26" s="45" t="s">
        <v>241</v>
      </c>
      <c r="H26" s="46" t="s">
        <v>241</v>
      </c>
    </row>
    <row r="31" spans="1:8" x14ac:dyDescent="0.2">
      <c r="A31" s="47"/>
      <c r="B31" s="48"/>
      <c r="C31" s="49"/>
      <c r="D31" s="55"/>
      <c r="E31" s="49"/>
      <c r="F31" s="49"/>
      <c r="G31" s="50"/>
      <c r="H31" s="51"/>
    </row>
    <row r="32" spans="1:8" ht="16.5" thickBot="1" x14ac:dyDescent="0.3">
      <c r="A32" s="4" t="s">
        <v>99</v>
      </c>
      <c r="B32" s="5"/>
      <c r="C32" s="5"/>
      <c r="D32" s="5"/>
      <c r="E32" s="5"/>
      <c r="F32" s="5"/>
      <c r="G32" s="5"/>
      <c r="H32" s="6"/>
    </row>
    <row r="33" spans="1:8" x14ac:dyDescent="0.2">
      <c r="A33" s="7"/>
      <c r="B33" s="8"/>
      <c r="C33" s="203" t="s">
        <v>16</v>
      </c>
      <c r="D33" s="197"/>
      <c r="E33" s="197"/>
      <c r="F33" s="204"/>
      <c r="G33" s="197" t="s">
        <v>1</v>
      </c>
      <c r="H33" s="198"/>
    </row>
    <row r="34" spans="1:8" x14ac:dyDescent="0.2">
      <c r="A34" s="12"/>
      <c r="B34" s="13"/>
      <c r="C34" s="14" t="s">
        <v>236</v>
      </c>
      <c r="D34" s="15" t="s">
        <v>237</v>
      </c>
      <c r="E34" s="15" t="s">
        <v>238</v>
      </c>
      <c r="F34" s="16"/>
      <c r="G34" s="17" t="s">
        <v>239</v>
      </c>
      <c r="H34" s="18" t="s">
        <v>240</v>
      </c>
    </row>
    <row r="35" spans="1:8" ht="12.75" customHeight="1" x14ac:dyDescent="0.2">
      <c r="A35" s="199" t="s">
        <v>44</v>
      </c>
      <c r="B35" s="19" t="s">
        <v>3</v>
      </c>
      <c r="C35" s="80">
        <v>4897.4303161549869</v>
      </c>
      <c r="D35" s="80">
        <v>6096.22890689415</v>
      </c>
      <c r="E35" s="83">
        <v>6018.8124026764308</v>
      </c>
      <c r="F35" s="22" t="s">
        <v>241</v>
      </c>
      <c r="G35" s="23">
        <v>22.897356657069295</v>
      </c>
      <c r="H35" s="24">
        <v>-1.2699080923646022</v>
      </c>
    </row>
    <row r="36" spans="1:8" ht="12.75" customHeight="1" x14ac:dyDescent="0.2">
      <c r="A36" s="200"/>
      <c r="B36" s="25" t="s">
        <v>241</v>
      </c>
      <c r="C36" s="82" t="s">
        <v>241</v>
      </c>
      <c r="D36" s="82" t="s">
        <v>241</v>
      </c>
      <c r="E36" s="82" t="s">
        <v>241</v>
      </c>
      <c r="F36" s="27"/>
      <c r="G36" s="28" t="s">
        <v>241</v>
      </c>
      <c r="H36" s="29" t="s">
        <v>241</v>
      </c>
    </row>
    <row r="37" spans="1:8" x14ac:dyDescent="0.2">
      <c r="A37" s="30" t="s">
        <v>18</v>
      </c>
      <c r="B37" s="31" t="s">
        <v>3</v>
      </c>
      <c r="C37" s="80">
        <v>1802.8785468535359</v>
      </c>
      <c r="D37" s="80">
        <v>2186.7087796288647</v>
      </c>
      <c r="E37" s="83">
        <v>1995.7239796712192</v>
      </c>
      <c r="F37" s="22" t="s">
        <v>241</v>
      </c>
      <c r="G37" s="32">
        <v>10.696529344932614</v>
      </c>
      <c r="H37" s="33">
        <v>-8.7338927678362381</v>
      </c>
    </row>
    <row r="38" spans="1:8" x14ac:dyDescent="0.2">
      <c r="A38" s="34"/>
      <c r="B38" s="25" t="s">
        <v>241</v>
      </c>
      <c r="C38" s="82" t="s">
        <v>241</v>
      </c>
      <c r="D38" s="82" t="s">
        <v>241</v>
      </c>
      <c r="E38" s="82" t="s">
        <v>241</v>
      </c>
      <c r="F38" s="27"/>
      <c r="G38" s="35" t="s">
        <v>241</v>
      </c>
      <c r="H38" s="29" t="s">
        <v>241</v>
      </c>
    </row>
    <row r="39" spans="1:8" x14ac:dyDescent="0.2">
      <c r="A39" s="30" t="s">
        <v>19</v>
      </c>
      <c r="B39" s="31" t="s">
        <v>3</v>
      </c>
      <c r="C39" s="80">
        <v>2124.9045713998535</v>
      </c>
      <c r="D39" s="80">
        <v>2512.6743999063692</v>
      </c>
      <c r="E39" s="83">
        <v>2750.8206373646663</v>
      </c>
      <c r="F39" s="22" t="s">
        <v>241</v>
      </c>
      <c r="G39" s="37">
        <v>29.456196498860606</v>
      </c>
      <c r="H39" s="33">
        <v>9.4777993307517647</v>
      </c>
    </row>
    <row r="40" spans="1:8" x14ac:dyDescent="0.2">
      <c r="A40" s="34"/>
      <c r="B40" s="25" t="s">
        <v>241</v>
      </c>
      <c r="C40" s="82" t="s">
        <v>241</v>
      </c>
      <c r="D40" s="82" t="s">
        <v>241</v>
      </c>
      <c r="E40" s="82" t="s">
        <v>241</v>
      </c>
      <c r="F40" s="27"/>
      <c r="G40" s="28" t="s">
        <v>241</v>
      </c>
      <c r="H40" s="29" t="s">
        <v>241</v>
      </c>
    </row>
    <row r="41" spans="1:8" x14ac:dyDescent="0.2">
      <c r="A41" s="30" t="s">
        <v>20</v>
      </c>
      <c r="B41" s="31" t="s">
        <v>3</v>
      </c>
      <c r="C41" s="80">
        <v>57.244954894481054</v>
      </c>
      <c r="D41" s="80">
        <v>59.419368311101771</v>
      </c>
      <c r="E41" s="83">
        <v>65.364362678259369</v>
      </c>
      <c r="F41" s="22" t="s">
        <v>241</v>
      </c>
      <c r="G41" s="23">
        <v>14.18362159380635</v>
      </c>
      <c r="H41" s="24">
        <v>10.005145689249687</v>
      </c>
    </row>
    <row r="42" spans="1:8" x14ac:dyDescent="0.2">
      <c r="A42" s="34"/>
      <c r="B42" s="25" t="s">
        <v>241</v>
      </c>
      <c r="C42" s="82" t="s">
        <v>241</v>
      </c>
      <c r="D42" s="82" t="s">
        <v>241</v>
      </c>
      <c r="E42" s="82" t="s">
        <v>241</v>
      </c>
      <c r="F42" s="27"/>
      <c r="G42" s="38" t="s">
        <v>241</v>
      </c>
      <c r="H42" s="24" t="s">
        <v>241</v>
      </c>
    </row>
    <row r="43" spans="1:8" x14ac:dyDescent="0.2">
      <c r="A43" s="30" t="s">
        <v>21</v>
      </c>
      <c r="B43" s="31" t="s">
        <v>3</v>
      </c>
      <c r="C43" s="80">
        <v>25.130934273230871</v>
      </c>
      <c r="D43" s="80">
        <v>28.451073242228507</v>
      </c>
      <c r="E43" s="83">
        <v>34.491750088898648</v>
      </c>
      <c r="F43" s="22" t="s">
        <v>241</v>
      </c>
      <c r="G43" s="37">
        <v>37.248180723781502</v>
      </c>
      <c r="H43" s="33">
        <v>21.231806600899205</v>
      </c>
    </row>
    <row r="44" spans="1:8" x14ac:dyDescent="0.2">
      <c r="A44" s="34"/>
      <c r="B44" s="25" t="s">
        <v>241</v>
      </c>
      <c r="C44" s="82" t="s">
        <v>241</v>
      </c>
      <c r="D44" s="82" t="s">
        <v>241</v>
      </c>
      <c r="E44" s="82" t="s">
        <v>241</v>
      </c>
      <c r="F44" s="27"/>
      <c r="G44" s="28" t="s">
        <v>241</v>
      </c>
      <c r="H44" s="29" t="s">
        <v>241</v>
      </c>
    </row>
    <row r="45" spans="1:8" x14ac:dyDescent="0.2">
      <c r="A45" s="30" t="s">
        <v>22</v>
      </c>
      <c r="B45" s="31" t="s">
        <v>3</v>
      </c>
      <c r="C45" s="80">
        <v>3.1847164883244869</v>
      </c>
      <c r="D45" s="80">
        <v>3.8473118467760594</v>
      </c>
      <c r="E45" s="83">
        <v>3.6111542972530906</v>
      </c>
      <c r="F45" s="22" t="s">
        <v>241</v>
      </c>
      <c r="G45" s="37">
        <v>13.390134113726319</v>
      </c>
      <c r="H45" s="33">
        <v>-6.1382481828412807</v>
      </c>
    </row>
    <row r="46" spans="1:8" x14ac:dyDescent="0.2">
      <c r="A46" s="34"/>
      <c r="B46" s="25" t="s">
        <v>241</v>
      </c>
      <c r="C46" s="82" t="s">
        <v>241</v>
      </c>
      <c r="D46" s="82" t="s">
        <v>241</v>
      </c>
      <c r="E46" s="82" t="s">
        <v>241</v>
      </c>
      <c r="F46" s="27"/>
      <c r="G46" s="28" t="s">
        <v>241</v>
      </c>
      <c r="H46" s="29" t="s">
        <v>241</v>
      </c>
    </row>
    <row r="47" spans="1:8" x14ac:dyDescent="0.2">
      <c r="A47" s="30" t="s">
        <v>190</v>
      </c>
      <c r="B47" s="31" t="s">
        <v>3</v>
      </c>
      <c r="C47" s="80">
        <v>412.25535556975365</v>
      </c>
      <c r="D47" s="80">
        <v>672.03403952948145</v>
      </c>
      <c r="E47" s="83">
        <v>516.77609510899015</v>
      </c>
      <c r="F47" s="22" t="s">
        <v>241</v>
      </c>
      <c r="G47" s="23">
        <v>25.353397627735987</v>
      </c>
      <c r="H47" s="24">
        <v>-23.102690531746532</v>
      </c>
    </row>
    <row r="48" spans="1:8" x14ac:dyDescent="0.2">
      <c r="A48" s="30"/>
      <c r="B48" s="25" t="s">
        <v>241</v>
      </c>
      <c r="C48" s="82" t="s">
        <v>241</v>
      </c>
      <c r="D48" s="82" t="s">
        <v>241</v>
      </c>
      <c r="E48" s="82" t="s">
        <v>241</v>
      </c>
      <c r="F48" s="27"/>
      <c r="G48" s="38" t="s">
        <v>241</v>
      </c>
      <c r="H48" s="24" t="s">
        <v>241</v>
      </c>
    </row>
    <row r="49" spans="1:8" x14ac:dyDescent="0.2">
      <c r="A49" s="39" t="s">
        <v>12</v>
      </c>
      <c r="B49" s="31" t="s">
        <v>3</v>
      </c>
      <c r="C49" s="80">
        <v>7.0997260827995685</v>
      </c>
      <c r="D49" s="80">
        <v>6.6752799770858973</v>
      </c>
      <c r="E49" s="83">
        <v>9.1074185128509839</v>
      </c>
      <c r="F49" s="22" t="s">
        <v>241</v>
      </c>
      <c r="G49" s="37">
        <v>28.278449149121826</v>
      </c>
      <c r="H49" s="33">
        <v>36.435004136363432</v>
      </c>
    </row>
    <row r="50" spans="1:8" x14ac:dyDescent="0.2">
      <c r="A50" s="34"/>
      <c r="B50" s="25" t="s">
        <v>241</v>
      </c>
      <c r="C50" s="82" t="s">
        <v>241</v>
      </c>
      <c r="D50" s="82" t="s">
        <v>241</v>
      </c>
      <c r="E50" s="82" t="s">
        <v>241</v>
      </c>
      <c r="F50" s="27"/>
      <c r="G50" s="28" t="s">
        <v>241</v>
      </c>
      <c r="H50" s="29" t="s">
        <v>241</v>
      </c>
    </row>
    <row r="51" spans="1:8" x14ac:dyDescent="0.2">
      <c r="A51" s="39" t="s">
        <v>23</v>
      </c>
      <c r="B51" s="31" t="s">
        <v>3</v>
      </c>
      <c r="C51" s="80">
        <v>157.79113540605209</v>
      </c>
      <c r="D51" s="80">
        <v>160.8923280870801</v>
      </c>
      <c r="E51" s="83">
        <v>160.26388859581527</v>
      </c>
      <c r="F51" s="22" t="s">
        <v>241</v>
      </c>
      <c r="G51" s="23">
        <v>1.5671052644370178</v>
      </c>
      <c r="H51" s="24">
        <v>-0.39059630669568435</v>
      </c>
    </row>
    <row r="52" spans="1:8" x14ac:dyDescent="0.2">
      <c r="A52" s="34"/>
      <c r="B52" s="25" t="s">
        <v>241</v>
      </c>
      <c r="C52" s="82" t="s">
        <v>241</v>
      </c>
      <c r="D52" s="82" t="s">
        <v>241</v>
      </c>
      <c r="E52" s="82" t="s">
        <v>241</v>
      </c>
      <c r="F52" s="27"/>
      <c r="G52" s="28" t="s">
        <v>241</v>
      </c>
      <c r="H52" s="29" t="s">
        <v>241</v>
      </c>
    </row>
    <row r="53" spans="1:8" x14ac:dyDescent="0.2">
      <c r="A53" s="30" t="s">
        <v>24</v>
      </c>
      <c r="B53" s="31" t="s">
        <v>3</v>
      </c>
      <c r="C53" s="80">
        <v>306.94037518695728</v>
      </c>
      <c r="D53" s="80">
        <v>465.5263263651608</v>
      </c>
      <c r="E53" s="83">
        <v>482.65311635847695</v>
      </c>
      <c r="F53" s="22" t="s">
        <v>241</v>
      </c>
      <c r="G53" s="23">
        <v>57.246538864264153</v>
      </c>
      <c r="H53" s="24">
        <v>3.6790164214862955</v>
      </c>
    </row>
    <row r="54" spans="1:8" ht="13.5" thickBot="1" x14ac:dyDescent="0.25">
      <c r="A54" s="41"/>
      <c r="B54" s="42" t="s">
        <v>241</v>
      </c>
      <c r="C54" s="86" t="s">
        <v>241</v>
      </c>
      <c r="D54" s="86" t="s">
        <v>241</v>
      </c>
      <c r="E54" s="86" t="s">
        <v>241</v>
      </c>
      <c r="F54" s="44"/>
      <c r="G54" s="45" t="s">
        <v>241</v>
      </c>
      <c r="H54" s="46" t="s">
        <v>241</v>
      </c>
    </row>
    <row r="59" spans="1:8" x14ac:dyDescent="0.2">
      <c r="A59" s="47"/>
      <c r="B59" s="48"/>
      <c r="C59" s="49"/>
      <c r="D59" s="49"/>
      <c r="E59" s="49"/>
      <c r="F59" s="49"/>
      <c r="G59" s="50"/>
      <c r="H59" s="51"/>
    </row>
    <row r="60" spans="1:8" x14ac:dyDescent="0.2">
      <c r="A60" s="52"/>
      <c r="B60" s="52"/>
      <c r="C60" s="52"/>
      <c r="D60" s="52"/>
      <c r="E60" s="52"/>
      <c r="F60" s="52"/>
      <c r="G60" s="52"/>
      <c r="H60" s="52"/>
    </row>
    <row r="61" spans="1:8" ht="12.75" customHeight="1" x14ac:dyDescent="0.2">
      <c r="A61" s="54" t="s">
        <v>235</v>
      </c>
      <c r="G61" s="53"/>
      <c r="H61" s="202">
        <v>15</v>
      </c>
    </row>
    <row r="62" spans="1:8" ht="12.75" customHeight="1" x14ac:dyDescent="0.2">
      <c r="A62" s="54" t="s">
        <v>242</v>
      </c>
      <c r="G62" s="53"/>
      <c r="H62" s="195"/>
    </row>
    <row r="67" ht="12.75" customHeight="1" x14ac:dyDescent="0.2"/>
    <row r="68" ht="12.75" customHeight="1" x14ac:dyDescent="0.2"/>
  </sheetData>
  <mergeCells count="6">
    <mergeCell ref="H61:H62"/>
    <mergeCell ref="A35:A36"/>
    <mergeCell ref="A7:A8"/>
    <mergeCell ref="G5:H5"/>
    <mergeCell ref="G33:H33"/>
    <mergeCell ref="C33:F33"/>
  </mergeCells>
  <phoneticPr fontId="0" type="noConversion"/>
  <hyperlinks>
    <hyperlink ref="A2" location="Innhold!A35" display="Tilbake til innholdsfortegnelsen" xr:uid="{00000000-0004-0000-0A00-000000000000}"/>
  </hyperlinks>
  <pageMargins left="0.78740157480314965" right="0.78740157480314965" top="0.98425196850393704" bottom="0.19685039370078741" header="3.937007874015748E-2" footer="3.937007874015748E-2"/>
  <pageSetup paperSize="9" scale="99" orientation="portrait" horizontalDpi="300" verticalDpi="3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H68"/>
  <sheetViews>
    <sheetView showGridLines="0" showRowColHeaders="0" zoomScaleNormal="100" zoomScaleSheetLayoutView="70" workbookViewId="0"/>
  </sheetViews>
  <sheetFormatPr defaultColWidth="11.42578125" defaultRowHeight="12.75" x14ac:dyDescent="0.2"/>
  <cols>
    <col min="1" max="1" width="26.42578125" style="1" customWidth="1"/>
    <col min="2" max="2" width="8.140625" style="1" customWidth="1"/>
    <col min="3" max="4" width="10.42578125" style="1" customWidth="1"/>
    <col min="5" max="5" width="9.85546875" style="1" customWidth="1"/>
    <col min="6" max="6" width="1.5703125" style="1" customWidth="1"/>
    <col min="7" max="7" width="7.5703125" style="1" customWidth="1"/>
    <col min="8" max="8" width="8.85546875" style="1" customWidth="1"/>
    <col min="9" max="16384" width="11.42578125" style="1"/>
  </cols>
  <sheetData>
    <row r="1" spans="1:8" ht="5.25" customHeight="1" x14ac:dyDescent="0.2"/>
    <row r="2" spans="1:8" x14ac:dyDescent="0.2">
      <c r="A2" s="92" t="s">
        <v>0</v>
      </c>
      <c r="B2" s="2"/>
      <c r="C2" s="2"/>
      <c r="D2" s="2"/>
      <c r="E2" s="2"/>
      <c r="F2" s="2"/>
      <c r="G2" s="2"/>
    </row>
    <row r="3" spans="1:8" ht="6" customHeight="1" x14ac:dyDescent="0.2">
      <c r="A3" s="3"/>
      <c r="B3" s="2"/>
      <c r="C3" s="2"/>
      <c r="D3" s="2"/>
      <c r="E3" s="2"/>
      <c r="F3" s="2"/>
      <c r="G3" s="2"/>
    </row>
    <row r="4" spans="1:8" ht="16.5" thickBot="1" x14ac:dyDescent="0.3">
      <c r="A4" s="4" t="s">
        <v>151</v>
      </c>
      <c r="B4" s="5"/>
      <c r="C4" s="5"/>
      <c r="D4" s="5"/>
      <c r="E4" s="5"/>
      <c r="F4" s="5"/>
      <c r="G4" s="5"/>
      <c r="H4" s="6"/>
    </row>
    <row r="5" spans="1:8" x14ac:dyDescent="0.2">
      <c r="A5" s="7"/>
      <c r="B5" s="8"/>
      <c r="C5" s="9"/>
      <c r="D5" s="8"/>
      <c r="E5" s="10"/>
      <c r="F5" s="11"/>
      <c r="G5" s="197" t="s">
        <v>1</v>
      </c>
      <c r="H5" s="198"/>
    </row>
    <row r="6" spans="1:8" x14ac:dyDescent="0.2">
      <c r="A6" s="12"/>
      <c r="B6" s="13"/>
      <c r="C6" s="14" t="s">
        <v>236</v>
      </c>
      <c r="D6" s="15" t="s">
        <v>237</v>
      </c>
      <c r="E6" s="15" t="s">
        <v>238</v>
      </c>
      <c r="F6" s="16"/>
      <c r="G6" s="17" t="s">
        <v>239</v>
      </c>
      <c r="H6" s="18" t="s">
        <v>240</v>
      </c>
    </row>
    <row r="7" spans="1:8" ht="12.75" customHeight="1" x14ac:dyDescent="0.2">
      <c r="A7" s="199" t="s">
        <v>45</v>
      </c>
      <c r="B7" s="19" t="s">
        <v>3</v>
      </c>
      <c r="C7" s="20">
        <v>14731.573261968293</v>
      </c>
      <c r="D7" s="20">
        <v>18679.167529953433</v>
      </c>
      <c r="E7" s="21">
        <v>16571.543347459843</v>
      </c>
      <c r="F7" s="22" t="s">
        <v>241</v>
      </c>
      <c r="G7" s="23">
        <v>12.489976818984445</v>
      </c>
      <c r="H7" s="24">
        <v>-11.283287540056904</v>
      </c>
    </row>
    <row r="8" spans="1:8" ht="12.75" customHeight="1" x14ac:dyDescent="0.2">
      <c r="A8" s="200"/>
      <c r="B8" s="25" t="s">
        <v>241</v>
      </c>
      <c r="C8" s="26" t="s">
        <v>241</v>
      </c>
      <c r="D8" s="26" t="s">
        <v>241</v>
      </c>
      <c r="E8" s="26" t="s">
        <v>241</v>
      </c>
      <c r="F8" s="27"/>
      <c r="G8" s="28" t="s">
        <v>241</v>
      </c>
      <c r="H8" s="29" t="s">
        <v>241</v>
      </c>
    </row>
    <row r="9" spans="1:8" x14ac:dyDescent="0.2">
      <c r="A9" s="30" t="s">
        <v>18</v>
      </c>
      <c r="B9" s="31" t="s">
        <v>3</v>
      </c>
      <c r="C9" s="20">
        <v>1820.9106131151304</v>
      </c>
      <c r="D9" s="20">
        <v>2277.1434434782609</v>
      </c>
      <c r="E9" s="21">
        <v>2580.9849043478262</v>
      </c>
      <c r="F9" s="22" t="s">
        <v>241</v>
      </c>
      <c r="G9" s="32">
        <v>41.74143891294014</v>
      </c>
      <c r="H9" s="33">
        <v>13.34309710439048</v>
      </c>
    </row>
    <row r="10" spans="1:8" x14ac:dyDescent="0.2">
      <c r="A10" s="34"/>
      <c r="B10" s="25" t="s">
        <v>241</v>
      </c>
      <c r="C10" s="26" t="s">
        <v>241</v>
      </c>
      <c r="D10" s="26" t="s">
        <v>241</v>
      </c>
      <c r="E10" s="26" t="s">
        <v>241</v>
      </c>
      <c r="F10" s="27"/>
      <c r="G10" s="35" t="s">
        <v>241</v>
      </c>
      <c r="H10" s="29" t="s">
        <v>241</v>
      </c>
    </row>
    <row r="11" spans="1:8" x14ac:dyDescent="0.2">
      <c r="A11" s="30" t="s">
        <v>19</v>
      </c>
      <c r="B11" s="31" t="s">
        <v>3</v>
      </c>
      <c r="C11" s="20">
        <v>4173.0353770504353</v>
      </c>
      <c r="D11" s="20">
        <v>5894.81147826087</v>
      </c>
      <c r="E11" s="21">
        <v>4867.6163478260869</v>
      </c>
      <c r="F11" s="22" t="s">
        <v>241</v>
      </c>
      <c r="G11" s="37">
        <v>16.644502335050703</v>
      </c>
      <c r="H11" s="33">
        <v>-17.425411045339033</v>
      </c>
    </row>
    <row r="12" spans="1:8" x14ac:dyDescent="0.2">
      <c r="A12" s="34"/>
      <c r="B12" s="25" t="s">
        <v>241</v>
      </c>
      <c r="C12" s="26" t="s">
        <v>241</v>
      </c>
      <c r="D12" s="26" t="s">
        <v>241</v>
      </c>
      <c r="E12" s="26" t="s">
        <v>241</v>
      </c>
      <c r="F12" s="27"/>
      <c r="G12" s="28" t="s">
        <v>241</v>
      </c>
      <c r="H12" s="29" t="s">
        <v>241</v>
      </c>
    </row>
    <row r="13" spans="1:8" x14ac:dyDescent="0.2">
      <c r="A13" s="30" t="s">
        <v>20</v>
      </c>
      <c r="B13" s="31" t="s">
        <v>3</v>
      </c>
      <c r="C13" s="20">
        <v>1459.2073224049691</v>
      </c>
      <c r="D13" s="20">
        <v>1345.5768944099379</v>
      </c>
      <c r="E13" s="21">
        <v>1141.9125465838511</v>
      </c>
      <c r="F13" s="22" t="s">
        <v>241</v>
      </c>
      <c r="G13" s="23">
        <v>-21.744324534924459</v>
      </c>
      <c r="H13" s="24">
        <v>-15.135838663118378</v>
      </c>
    </row>
    <row r="14" spans="1:8" x14ac:dyDescent="0.2">
      <c r="A14" s="34"/>
      <c r="B14" s="25" t="s">
        <v>241</v>
      </c>
      <c r="C14" s="26" t="s">
        <v>241</v>
      </c>
      <c r="D14" s="26" t="s">
        <v>241</v>
      </c>
      <c r="E14" s="26" t="s">
        <v>241</v>
      </c>
      <c r="F14" s="27"/>
      <c r="G14" s="38" t="s">
        <v>241</v>
      </c>
      <c r="H14" s="24" t="s">
        <v>241</v>
      </c>
    </row>
    <row r="15" spans="1:8" x14ac:dyDescent="0.2">
      <c r="A15" s="30" t="s">
        <v>21</v>
      </c>
      <c r="B15" s="31" t="s">
        <v>3</v>
      </c>
      <c r="C15" s="20">
        <v>347.81046903478261</v>
      </c>
      <c r="D15" s="20">
        <v>407.91826086956519</v>
      </c>
      <c r="E15" s="21">
        <v>405.30782608695654</v>
      </c>
      <c r="F15" s="22" t="s">
        <v>241</v>
      </c>
      <c r="G15" s="37">
        <v>16.531232430046245</v>
      </c>
      <c r="H15" s="33">
        <v>-0.63994065307200287</v>
      </c>
    </row>
    <row r="16" spans="1:8" x14ac:dyDescent="0.2">
      <c r="A16" s="34"/>
      <c r="B16" s="25" t="s">
        <v>241</v>
      </c>
      <c r="C16" s="26" t="s">
        <v>241</v>
      </c>
      <c r="D16" s="26" t="s">
        <v>241</v>
      </c>
      <c r="E16" s="26" t="s">
        <v>241</v>
      </c>
      <c r="F16" s="27"/>
      <c r="G16" s="28" t="s">
        <v>241</v>
      </c>
      <c r="H16" s="29" t="s">
        <v>241</v>
      </c>
    </row>
    <row r="17" spans="1:8" x14ac:dyDescent="0.2">
      <c r="A17" s="30" t="s">
        <v>22</v>
      </c>
      <c r="B17" s="31" t="s">
        <v>3</v>
      </c>
      <c r="C17" s="20">
        <v>317.81046903478261</v>
      </c>
      <c r="D17" s="20">
        <v>440.91826086956519</v>
      </c>
      <c r="E17" s="21">
        <v>382.30782608695654</v>
      </c>
      <c r="F17" s="22" t="s">
        <v>241</v>
      </c>
      <c r="G17" s="37">
        <v>20.294283334358965</v>
      </c>
      <c r="H17" s="33">
        <v>-13.292811839323463</v>
      </c>
    </row>
    <row r="18" spans="1:8" x14ac:dyDescent="0.2">
      <c r="A18" s="34"/>
      <c r="B18" s="25" t="s">
        <v>241</v>
      </c>
      <c r="C18" s="26" t="s">
        <v>241</v>
      </c>
      <c r="D18" s="26" t="s">
        <v>241</v>
      </c>
      <c r="E18" s="26" t="s">
        <v>241</v>
      </c>
      <c r="F18" s="27"/>
      <c r="G18" s="28" t="s">
        <v>241</v>
      </c>
      <c r="H18" s="29" t="s">
        <v>241</v>
      </c>
    </row>
    <row r="19" spans="1:8" x14ac:dyDescent="0.2">
      <c r="A19" s="30" t="s">
        <v>190</v>
      </c>
      <c r="B19" s="31" t="s">
        <v>3</v>
      </c>
      <c r="C19" s="20">
        <v>3838.5183060124223</v>
      </c>
      <c r="D19" s="20">
        <v>5269.4422360248445</v>
      </c>
      <c r="E19" s="21">
        <v>4367.781366459627</v>
      </c>
      <c r="F19" s="22" t="s">
        <v>241</v>
      </c>
      <c r="G19" s="23">
        <v>13.788212488610483</v>
      </c>
      <c r="H19" s="24">
        <v>-17.11112541287504</v>
      </c>
    </row>
    <row r="20" spans="1:8" x14ac:dyDescent="0.2">
      <c r="A20" s="30"/>
      <c r="B20" s="25" t="s">
        <v>241</v>
      </c>
      <c r="C20" s="26" t="s">
        <v>241</v>
      </c>
      <c r="D20" s="26" t="s">
        <v>241</v>
      </c>
      <c r="E20" s="26" t="s">
        <v>241</v>
      </c>
      <c r="F20" s="27"/>
      <c r="G20" s="38" t="s">
        <v>241</v>
      </c>
      <c r="H20" s="24" t="s">
        <v>241</v>
      </c>
    </row>
    <row r="21" spans="1:8" x14ac:dyDescent="0.2">
      <c r="A21" s="39" t="s">
        <v>12</v>
      </c>
      <c r="B21" s="31" t="s">
        <v>3</v>
      </c>
      <c r="C21" s="20">
        <v>52.086281420869568</v>
      </c>
      <c r="D21" s="20">
        <v>41.150956521739133</v>
      </c>
      <c r="E21" s="21">
        <v>47.384695652173917</v>
      </c>
      <c r="F21" s="22" t="s">
        <v>241</v>
      </c>
      <c r="G21" s="37">
        <v>-9.0265337444724025</v>
      </c>
      <c r="H21" s="33">
        <v>15.148467149582871</v>
      </c>
    </row>
    <row r="22" spans="1:8" x14ac:dyDescent="0.2">
      <c r="A22" s="34"/>
      <c r="B22" s="25" t="s">
        <v>241</v>
      </c>
      <c r="C22" s="26" t="s">
        <v>241</v>
      </c>
      <c r="D22" s="26" t="s">
        <v>241</v>
      </c>
      <c r="E22" s="26" t="s">
        <v>241</v>
      </c>
      <c r="F22" s="27"/>
      <c r="G22" s="28" t="s">
        <v>241</v>
      </c>
      <c r="H22" s="29" t="s">
        <v>241</v>
      </c>
    </row>
    <row r="23" spans="1:8" x14ac:dyDescent="0.2">
      <c r="A23" s="39" t="s">
        <v>23</v>
      </c>
      <c r="B23" s="31" t="s">
        <v>3</v>
      </c>
      <c r="C23" s="20">
        <v>1810.8104690347827</v>
      </c>
      <c r="D23" s="20">
        <v>1789.9182608695651</v>
      </c>
      <c r="E23" s="21">
        <v>1685.3078260869565</v>
      </c>
      <c r="F23" s="22" t="s">
        <v>241</v>
      </c>
      <c r="G23" s="23">
        <v>-6.9307442768829901</v>
      </c>
      <c r="H23" s="24">
        <v>-5.844425249440576</v>
      </c>
    </row>
    <row r="24" spans="1:8" x14ac:dyDescent="0.2">
      <c r="A24" s="34"/>
      <c r="B24" s="25" t="s">
        <v>241</v>
      </c>
      <c r="C24" s="26" t="s">
        <v>241</v>
      </c>
      <c r="D24" s="26" t="s">
        <v>241</v>
      </c>
      <c r="E24" s="26" t="s">
        <v>241</v>
      </c>
      <c r="F24" s="27"/>
      <c r="G24" s="28" t="s">
        <v>241</v>
      </c>
      <c r="H24" s="29" t="s">
        <v>241</v>
      </c>
    </row>
    <row r="25" spans="1:8" x14ac:dyDescent="0.2">
      <c r="A25" s="30" t="s">
        <v>24</v>
      </c>
      <c r="B25" s="31" t="s">
        <v>3</v>
      </c>
      <c r="C25" s="20">
        <v>1313.6209380695652</v>
      </c>
      <c r="D25" s="20">
        <v>2014.8365217391304</v>
      </c>
      <c r="E25" s="21">
        <v>1670.6156521739131</v>
      </c>
      <c r="F25" s="22" t="s">
        <v>241</v>
      </c>
      <c r="G25" s="23">
        <v>27.176387324411124</v>
      </c>
      <c r="H25" s="24">
        <v>-17.084307627504131</v>
      </c>
    </row>
    <row r="26" spans="1:8" ht="13.5" thickBot="1" x14ac:dyDescent="0.25">
      <c r="A26" s="41"/>
      <c r="B26" s="42" t="s">
        <v>241</v>
      </c>
      <c r="C26" s="43" t="s">
        <v>241</v>
      </c>
      <c r="D26" s="43" t="s">
        <v>241</v>
      </c>
      <c r="E26" s="43" t="s">
        <v>241</v>
      </c>
      <c r="F26" s="44"/>
      <c r="G26" s="45" t="s">
        <v>241</v>
      </c>
      <c r="H26" s="46" t="s">
        <v>241</v>
      </c>
    </row>
    <row r="31" spans="1:8" x14ac:dyDescent="0.2">
      <c r="A31" s="47"/>
      <c r="B31" s="48"/>
      <c r="C31" s="49"/>
      <c r="D31" s="55"/>
      <c r="E31" s="49"/>
      <c r="F31" s="49"/>
      <c r="G31" s="50"/>
      <c r="H31" s="51"/>
    </row>
    <row r="32" spans="1:8" ht="16.5" thickBot="1" x14ac:dyDescent="0.3">
      <c r="A32" s="4" t="s">
        <v>98</v>
      </c>
      <c r="B32" s="5"/>
      <c r="C32" s="5"/>
      <c r="D32" s="5"/>
      <c r="E32" s="5"/>
      <c r="F32" s="5"/>
      <c r="G32" s="5"/>
      <c r="H32" s="6"/>
    </row>
    <row r="33" spans="1:8" x14ac:dyDescent="0.2">
      <c r="A33" s="7"/>
      <c r="B33" s="8"/>
      <c r="C33" s="203" t="s">
        <v>16</v>
      </c>
      <c r="D33" s="197"/>
      <c r="E33" s="197"/>
      <c r="F33" s="204"/>
      <c r="G33" s="197" t="s">
        <v>1</v>
      </c>
      <c r="H33" s="198"/>
    </row>
    <row r="34" spans="1:8" x14ac:dyDescent="0.2">
      <c r="A34" s="12"/>
      <c r="B34" s="13"/>
      <c r="C34" s="14" t="s">
        <v>236</v>
      </c>
      <c r="D34" s="15" t="s">
        <v>237</v>
      </c>
      <c r="E34" s="15" t="s">
        <v>238</v>
      </c>
      <c r="F34" s="16"/>
      <c r="G34" s="17" t="s">
        <v>239</v>
      </c>
      <c r="H34" s="18" t="s">
        <v>240</v>
      </c>
    </row>
    <row r="35" spans="1:8" ht="12.75" customHeight="1" x14ac:dyDescent="0.2">
      <c r="A35" s="199" t="s">
        <v>45</v>
      </c>
      <c r="B35" s="19" t="s">
        <v>3</v>
      </c>
      <c r="C35" s="80">
        <v>686.74772083152152</v>
      </c>
      <c r="D35" s="80">
        <v>905.69526492151999</v>
      </c>
      <c r="E35" s="83">
        <v>854.86210765784256</v>
      </c>
      <c r="F35" s="22" t="s">
        <v>241</v>
      </c>
      <c r="G35" s="23">
        <v>24.479788097842729</v>
      </c>
      <c r="H35" s="24">
        <v>-5.6126115739472482</v>
      </c>
    </row>
    <row r="36" spans="1:8" ht="12.75" customHeight="1" x14ac:dyDescent="0.2">
      <c r="A36" s="200"/>
      <c r="B36" s="25" t="s">
        <v>241</v>
      </c>
      <c r="C36" s="82" t="s">
        <v>241</v>
      </c>
      <c r="D36" s="82" t="s">
        <v>241</v>
      </c>
      <c r="E36" s="82" t="s">
        <v>241</v>
      </c>
      <c r="F36" s="27"/>
      <c r="G36" s="28" t="s">
        <v>241</v>
      </c>
      <c r="H36" s="29" t="s">
        <v>241</v>
      </c>
    </row>
    <row r="37" spans="1:8" x14ac:dyDescent="0.2">
      <c r="A37" s="30" t="s">
        <v>18</v>
      </c>
      <c r="B37" s="31" t="s">
        <v>3</v>
      </c>
      <c r="C37" s="80">
        <v>286.64897173246362</v>
      </c>
      <c r="D37" s="80">
        <v>346.73780852116766</v>
      </c>
      <c r="E37" s="83">
        <v>369.27527649632401</v>
      </c>
      <c r="F37" s="22" t="s">
        <v>241</v>
      </c>
      <c r="G37" s="32">
        <v>28.824908829946025</v>
      </c>
      <c r="H37" s="33">
        <v>6.4998588043450951</v>
      </c>
    </row>
    <row r="38" spans="1:8" x14ac:dyDescent="0.2">
      <c r="A38" s="34"/>
      <c r="B38" s="25" t="s">
        <v>241</v>
      </c>
      <c r="C38" s="82" t="s">
        <v>241</v>
      </c>
      <c r="D38" s="82" t="s">
        <v>241</v>
      </c>
      <c r="E38" s="82" t="s">
        <v>241</v>
      </c>
      <c r="F38" s="27"/>
      <c r="G38" s="35" t="s">
        <v>241</v>
      </c>
      <c r="H38" s="29" t="s">
        <v>241</v>
      </c>
    </row>
    <row r="39" spans="1:8" x14ac:dyDescent="0.2">
      <c r="A39" s="30" t="s">
        <v>19</v>
      </c>
      <c r="B39" s="31" t="s">
        <v>3</v>
      </c>
      <c r="C39" s="80">
        <v>192.21336694659252</v>
      </c>
      <c r="D39" s="80">
        <v>273.02541210104232</v>
      </c>
      <c r="E39" s="83">
        <v>251.67091707511869</v>
      </c>
      <c r="F39" s="22" t="s">
        <v>241</v>
      </c>
      <c r="G39" s="37">
        <v>30.933098500400746</v>
      </c>
      <c r="H39" s="33">
        <v>-7.8214312952014353</v>
      </c>
    </row>
    <row r="40" spans="1:8" x14ac:dyDescent="0.2">
      <c r="A40" s="34"/>
      <c r="B40" s="25" t="s">
        <v>241</v>
      </c>
      <c r="C40" s="82" t="s">
        <v>241</v>
      </c>
      <c r="D40" s="82" t="s">
        <v>241</v>
      </c>
      <c r="E40" s="82" t="s">
        <v>241</v>
      </c>
      <c r="F40" s="27"/>
      <c r="G40" s="28" t="s">
        <v>241</v>
      </c>
      <c r="H40" s="29" t="s">
        <v>241</v>
      </c>
    </row>
    <row r="41" spans="1:8" x14ac:dyDescent="0.2">
      <c r="A41" s="30" t="s">
        <v>20</v>
      </c>
      <c r="B41" s="31" t="s">
        <v>3</v>
      </c>
      <c r="C41" s="80">
        <v>41.102573676525452</v>
      </c>
      <c r="D41" s="80">
        <v>40.027541686244533</v>
      </c>
      <c r="E41" s="83">
        <v>36.015530267074276</v>
      </c>
      <c r="F41" s="22" t="s">
        <v>241</v>
      </c>
      <c r="G41" s="23">
        <v>-12.376459560624781</v>
      </c>
      <c r="H41" s="24">
        <v>-10.023127202310761</v>
      </c>
    </row>
    <row r="42" spans="1:8" x14ac:dyDescent="0.2">
      <c r="A42" s="34"/>
      <c r="B42" s="25" t="s">
        <v>241</v>
      </c>
      <c r="C42" s="82" t="s">
        <v>241</v>
      </c>
      <c r="D42" s="82" t="s">
        <v>241</v>
      </c>
      <c r="E42" s="82" t="s">
        <v>241</v>
      </c>
      <c r="F42" s="27"/>
      <c r="G42" s="38" t="s">
        <v>241</v>
      </c>
      <c r="H42" s="24" t="s">
        <v>241</v>
      </c>
    </row>
    <row r="43" spans="1:8" x14ac:dyDescent="0.2">
      <c r="A43" s="30" t="s">
        <v>21</v>
      </c>
      <c r="B43" s="31" t="s">
        <v>3</v>
      </c>
      <c r="C43" s="80">
        <v>7.0947170836556257</v>
      </c>
      <c r="D43" s="80">
        <v>7.601790667744897</v>
      </c>
      <c r="E43" s="83">
        <v>7.0481779669671774</v>
      </c>
      <c r="F43" s="22" t="s">
        <v>241</v>
      </c>
      <c r="G43" s="37">
        <v>-0.65596860508591703</v>
      </c>
      <c r="H43" s="33">
        <v>-7.282661743459343</v>
      </c>
    </row>
    <row r="44" spans="1:8" x14ac:dyDescent="0.2">
      <c r="A44" s="34"/>
      <c r="B44" s="25" t="s">
        <v>241</v>
      </c>
      <c r="C44" s="82" t="s">
        <v>241</v>
      </c>
      <c r="D44" s="82" t="s">
        <v>241</v>
      </c>
      <c r="E44" s="82" t="s">
        <v>241</v>
      </c>
      <c r="F44" s="27"/>
      <c r="G44" s="28" t="s">
        <v>241</v>
      </c>
      <c r="H44" s="29" t="s">
        <v>241</v>
      </c>
    </row>
    <row r="45" spans="1:8" x14ac:dyDescent="0.2">
      <c r="A45" s="30" t="s">
        <v>22</v>
      </c>
      <c r="B45" s="31" t="s">
        <v>3</v>
      </c>
      <c r="C45" s="80">
        <v>1.5883499493006208</v>
      </c>
      <c r="D45" s="80">
        <v>2.4576141366135205</v>
      </c>
      <c r="E45" s="83">
        <v>2.0929110289082646</v>
      </c>
      <c r="F45" s="22" t="s">
        <v>241</v>
      </c>
      <c r="G45" s="37">
        <v>31.766367344287772</v>
      </c>
      <c r="H45" s="33">
        <v>-14.839722081343481</v>
      </c>
    </row>
    <row r="46" spans="1:8" x14ac:dyDescent="0.2">
      <c r="A46" s="34"/>
      <c r="B46" s="25" t="s">
        <v>241</v>
      </c>
      <c r="C46" s="82" t="s">
        <v>241</v>
      </c>
      <c r="D46" s="82" t="s">
        <v>241</v>
      </c>
      <c r="E46" s="82" t="s">
        <v>241</v>
      </c>
      <c r="F46" s="27"/>
      <c r="G46" s="28" t="s">
        <v>241</v>
      </c>
      <c r="H46" s="29" t="s">
        <v>241</v>
      </c>
    </row>
    <row r="47" spans="1:8" x14ac:dyDescent="0.2">
      <c r="A47" s="30" t="s">
        <v>190</v>
      </c>
      <c r="B47" s="31" t="s">
        <v>3</v>
      </c>
      <c r="C47" s="80">
        <v>79.981695300758318</v>
      </c>
      <c r="D47" s="80">
        <v>137.86343215799471</v>
      </c>
      <c r="E47" s="83">
        <v>98.114514318619769</v>
      </c>
      <c r="F47" s="22" t="s">
        <v>241</v>
      </c>
      <c r="G47" s="23">
        <v>22.671211143594675</v>
      </c>
      <c r="H47" s="24">
        <v>-28.832096530007874</v>
      </c>
    </row>
    <row r="48" spans="1:8" x14ac:dyDescent="0.2">
      <c r="A48" s="30"/>
      <c r="B48" s="25" t="s">
        <v>241</v>
      </c>
      <c r="C48" s="82" t="s">
        <v>241</v>
      </c>
      <c r="D48" s="82" t="s">
        <v>241</v>
      </c>
      <c r="E48" s="82" t="s">
        <v>241</v>
      </c>
      <c r="F48" s="27"/>
      <c r="G48" s="38" t="s">
        <v>241</v>
      </c>
      <c r="H48" s="24" t="s">
        <v>241</v>
      </c>
    </row>
    <row r="49" spans="1:8" x14ac:dyDescent="0.2">
      <c r="A49" s="39" t="s">
        <v>12</v>
      </c>
      <c r="B49" s="31" t="s">
        <v>3</v>
      </c>
      <c r="C49" s="80">
        <v>2.5641033850159589</v>
      </c>
      <c r="D49" s="80">
        <v>1.5168175094124985</v>
      </c>
      <c r="E49" s="83">
        <v>0.94551141068839084</v>
      </c>
      <c r="F49" s="22" t="s">
        <v>241</v>
      </c>
      <c r="G49" s="37">
        <v>-63.125066788892134</v>
      </c>
      <c r="H49" s="33">
        <v>-37.664787964202027</v>
      </c>
    </row>
    <row r="50" spans="1:8" x14ac:dyDescent="0.2">
      <c r="A50" s="34"/>
      <c r="B50" s="25" t="s">
        <v>241</v>
      </c>
      <c r="C50" s="82" t="s">
        <v>241</v>
      </c>
      <c r="D50" s="82" t="s">
        <v>241</v>
      </c>
      <c r="E50" s="82" t="s">
        <v>241</v>
      </c>
      <c r="F50" s="27"/>
      <c r="G50" s="28" t="s">
        <v>241</v>
      </c>
      <c r="H50" s="29" t="s">
        <v>241</v>
      </c>
    </row>
    <row r="51" spans="1:8" x14ac:dyDescent="0.2">
      <c r="A51" s="39" t="s">
        <v>23</v>
      </c>
      <c r="B51" s="31" t="s">
        <v>3</v>
      </c>
      <c r="C51" s="80">
        <v>47.186503860942473</v>
      </c>
      <c r="D51" s="80">
        <v>48.171002876129229</v>
      </c>
      <c r="E51" s="83">
        <v>45.637182320147758</v>
      </c>
      <c r="F51" s="22" t="s">
        <v>241</v>
      </c>
      <c r="G51" s="23">
        <v>-3.2833997309072345</v>
      </c>
      <c r="H51" s="24">
        <v>-5.2600535689430075</v>
      </c>
    </row>
    <row r="52" spans="1:8" x14ac:dyDescent="0.2">
      <c r="A52" s="34"/>
      <c r="B52" s="25" t="s">
        <v>241</v>
      </c>
      <c r="C52" s="82" t="s">
        <v>241</v>
      </c>
      <c r="D52" s="82" t="s">
        <v>241</v>
      </c>
      <c r="E52" s="82" t="s">
        <v>241</v>
      </c>
      <c r="F52" s="27"/>
      <c r="G52" s="28" t="s">
        <v>241</v>
      </c>
      <c r="H52" s="29" t="s">
        <v>241</v>
      </c>
    </row>
    <row r="53" spans="1:8" x14ac:dyDescent="0.2">
      <c r="A53" s="30" t="s">
        <v>24</v>
      </c>
      <c r="B53" s="31" t="s">
        <v>3</v>
      </c>
      <c r="C53" s="80">
        <v>28.367438896267032</v>
      </c>
      <c r="D53" s="80">
        <v>48.293845265170518</v>
      </c>
      <c r="E53" s="83">
        <v>44.062086773994324</v>
      </c>
      <c r="F53" s="22" t="s">
        <v>241</v>
      </c>
      <c r="G53" s="23">
        <v>55.326277198018772</v>
      </c>
      <c r="H53" s="24">
        <v>-8.7625213273877307</v>
      </c>
    </row>
    <row r="54" spans="1:8" ht="13.5" thickBot="1" x14ac:dyDescent="0.25">
      <c r="A54" s="41"/>
      <c r="B54" s="42" t="s">
        <v>241</v>
      </c>
      <c r="C54" s="86" t="s">
        <v>241</v>
      </c>
      <c r="D54" s="86" t="s">
        <v>241</v>
      </c>
      <c r="E54" s="86" t="s">
        <v>241</v>
      </c>
      <c r="F54" s="44"/>
      <c r="G54" s="45" t="s">
        <v>241</v>
      </c>
      <c r="H54" s="46" t="s">
        <v>241</v>
      </c>
    </row>
    <row r="59" spans="1:8" x14ac:dyDescent="0.2">
      <c r="A59" s="47"/>
      <c r="B59" s="48"/>
      <c r="C59" s="49"/>
      <c r="D59" s="49"/>
      <c r="E59" s="49"/>
      <c r="F59" s="49"/>
      <c r="G59" s="50"/>
      <c r="H59" s="51"/>
    </row>
    <row r="60" spans="1:8" x14ac:dyDescent="0.2">
      <c r="A60" s="52"/>
      <c r="B60" s="52"/>
      <c r="C60" s="52"/>
      <c r="D60" s="52"/>
      <c r="E60" s="52"/>
      <c r="F60" s="52"/>
      <c r="G60" s="52"/>
      <c r="H60" s="52"/>
    </row>
    <row r="61" spans="1:8" ht="12.75" customHeight="1" x14ac:dyDescent="0.2">
      <c r="A61" s="54" t="s">
        <v>235</v>
      </c>
      <c r="H61" s="194">
        <v>16</v>
      </c>
    </row>
    <row r="62" spans="1:8" ht="12.75" customHeight="1" x14ac:dyDescent="0.2">
      <c r="A62" s="54" t="s">
        <v>242</v>
      </c>
      <c r="H62" s="195"/>
    </row>
    <row r="67" ht="12.75" customHeight="1" x14ac:dyDescent="0.2"/>
    <row r="68" ht="12.75" customHeight="1" x14ac:dyDescent="0.2"/>
  </sheetData>
  <mergeCells count="6">
    <mergeCell ref="H61:H62"/>
    <mergeCell ref="A35:A36"/>
    <mergeCell ref="A7:A8"/>
    <mergeCell ref="G5:H5"/>
    <mergeCell ref="G33:H33"/>
    <mergeCell ref="C33:F33"/>
  </mergeCells>
  <phoneticPr fontId="0" type="noConversion"/>
  <hyperlinks>
    <hyperlink ref="A2" location="Innhold!A37" display="Tilbake til innholdsfortegnelsen" xr:uid="{00000000-0004-0000-0B00-000000000000}"/>
  </hyperlinks>
  <pageMargins left="0.78740157480314965" right="0.78740157480314965" top="0.98425196850393704" bottom="0.19685039370078741" header="3.937007874015748E-2" footer="3.937007874015748E-2"/>
  <pageSetup paperSize="9" scale="99" orientation="portrait" horizontalDpi="300" verticalDpi="30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H68"/>
  <sheetViews>
    <sheetView showGridLines="0" showRowColHeaders="0" zoomScaleNormal="100" zoomScaleSheetLayoutView="70" workbookViewId="0"/>
  </sheetViews>
  <sheetFormatPr defaultColWidth="11.42578125" defaultRowHeight="12.75" x14ac:dyDescent="0.2"/>
  <cols>
    <col min="1" max="1" width="26.42578125" style="1" customWidth="1"/>
    <col min="2" max="2" width="8.140625" style="1" customWidth="1"/>
    <col min="3" max="4" width="10.42578125" style="1" customWidth="1"/>
    <col min="5" max="5" width="9.85546875" style="1" customWidth="1"/>
    <col min="6" max="6" width="1.5703125" style="1" customWidth="1"/>
    <col min="7" max="7" width="7.5703125" style="1" customWidth="1"/>
    <col min="8" max="8" width="8.85546875" style="1" customWidth="1"/>
    <col min="9" max="16384" width="11.42578125" style="1"/>
  </cols>
  <sheetData>
    <row r="1" spans="1:8" ht="5.25" customHeight="1" x14ac:dyDescent="0.2"/>
    <row r="2" spans="1:8" x14ac:dyDescent="0.2">
      <c r="A2" s="92" t="s">
        <v>0</v>
      </c>
      <c r="B2" s="2"/>
      <c r="C2" s="2"/>
      <c r="D2" s="2"/>
      <c r="E2" s="2"/>
      <c r="F2" s="2"/>
      <c r="G2" s="2"/>
    </row>
    <row r="3" spans="1:8" ht="6" customHeight="1" x14ac:dyDescent="0.2">
      <c r="A3" s="3"/>
      <c r="B3" s="2"/>
      <c r="C3" s="2"/>
      <c r="D3" s="2"/>
      <c r="E3" s="2"/>
      <c r="F3" s="2"/>
      <c r="G3" s="2"/>
    </row>
    <row r="4" spans="1:8" ht="16.5" thickBot="1" x14ac:dyDescent="0.3">
      <c r="A4" s="4" t="s">
        <v>164</v>
      </c>
      <c r="B4" s="5"/>
      <c r="C4" s="5"/>
      <c r="D4" s="5"/>
      <c r="E4" s="5"/>
      <c r="F4" s="5"/>
      <c r="G4" s="5"/>
      <c r="H4" s="6"/>
    </row>
    <row r="5" spans="1:8" x14ac:dyDescent="0.2">
      <c r="A5" s="7"/>
      <c r="B5" s="8"/>
      <c r="C5" s="9"/>
      <c r="D5" s="8"/>
      <c r="E5" s="10"/>
      <c r="F5" s="11"/>
      <c r="G5" s="197" t="s">
        <v>1</v>
      </c>
      <c r="H5" s="198"/>
    </row>
    <row r="6" spans="1:8" x14ac:dyDescent="0.2">
      <c r="A6" s="12"/>
      <c r="B6" s="13"/>
      <c r="C6" s="14" t="s">
        <v>236</v>
      </c>
      <c r="D6" s="15" t="s">
        <v>237</v>
      </c>
      <c r="E6" s="15" t="s">
        <v>238</v>
      </c>
      <c r="F6" s="16"/>
      <c r="G6" s="17" t="s">
        <v>239</v>
      </c>
      <c r="H6" s="18" t="s">
        <v>240</v>
      </c>
    </row>
    <row r="7" spans="1:8" x14ac:dyDescent="0.2">
      <c r="A7" s="199" t="s">
        <v>166</v>
      </c>
      <c r="B7" s="19" t="s">
        <v>3</v>
      </c>
      <c r="C7" s="20">
        <v>39410.456254180601</v>
      </c>
      <c r="D7" s="20">
        <v>47104.096671444495</v>
      </c>
      <c r="E7" s="79">
        <v>46862.684981684979</v>
      </c>
      <c r="F7" s="22" t="s">
        <v>241</v>
      </c>
      <c r="G7" s="23">
        <v>18.909267833492422</v>
      </c>
      <c r="H7" s="24">
        <v>-0.51250678140245043</v>
      </c>
    </row>
    <row r="8" spans="1:8" x14ac:dyDescent="0.2">
      <c r="A8" s="200"/>
      <c r="B8" s="25" t="s">
        <v>241</v>
      </c>
      <c r="C8" s="26" t="s">
        <v>241</v>
      </c>
      <c r="D8" s="26" t="s">
        <v>241</v>
      </c>
      <c r="E8" s="26" t="s">
        <v>241</v>
      </c>
      <c r="F8" s="27"/>
      <c r="G8" s="28" t="s">
        <v>241</v>
      </c>
      <c r="H8" s="29" t="s">
        <v>241</v>
      </c>
    </row>
    <row r="9" spans="1:8" x14ac:dyDescent="0.2">
      <c r="A9" s="30" t="s">
        <v>18</v>
      </c>
      <c r="B9" s="31" t="s">
        <v>3</v>
      </c>
      <c r="C9" s="20">
        <v>4635.9603435869567</v>
      </c>
      <c r="D9" s="20">
        <v>5019.7944202898552</v>
      </c>
      <c r="E9" s="36">
        <v>5139.9516666666668</v>
      </c>
      <c r="F9" s="22" t="s">
        <v>241</v>
      </c>
      <c r="G9" s="32">
        <v>10.871346727046415</v>
      </c>
      <c r="H9" s="33">
        <v>2.3936686707953641</v>
      </c>
    </row>
    <row r="10" spans="1:8" x14ac:dyDescent="0.2">
      <c r="A10" s="34"/>
      <c r="B10" s="25" t="s">
        <v>241</v>
      </c>
      <c r="C10" s="26" t="s">
        <v>241</v>
      </c>
      <c r="D10" s="26" t="s">
        <v>241</v>
      </c>
      <c r="E10" s="26" t="s">
        <v>241</v>
      </c>
      <c r="F10" s="27"/>
      <c r="G10" s="35" t="s">
        <v>241</v>
      </c>
      <c r="H10" s="29" t="s">
        <v>241</v>
      </c>
    </row>
    <row r="11" spans="1:8" x14ac:dyDescent="0.2">
      <c r="A11" s="30" t="s">
        <v>19</v>
      </c>
      <c r="B11" s="31" t="s">
        <v>3</v>
      </c>
      <c r="C11" s="20">
        <v>19048.779306284585</v>
      </c>
      <c r="D11" s="20">
        <v>20725.509011857706</v>
      </c>
      <c r="E11" s="36">
        <v>20375.569090909092</v>
      </c>
      <c r="F11" s="22" t="s">
        <v>241</v>
      </c>
      <c r="G11" s="37">
        <v>6.9652220926659254</v>
      </c>
      <c r="H11" s="33">
        <v>-1.6884503089810892</v>
      </c>
    </row>
    <row r="12" spans="1:8" x14ac:dyDescent="0.2">
      <c r="A12" s="34"/>
      <c r="B12" s="25" t="s">
        <v>241</v>
      </c>
      <c r="C12" s="26" t="s">
        <v>241</v>
      </c>
      <c r="D12" s="26" t="s">
        <v>241</v>
      </c>
      <c r="E12" s="26" t="s">
        <v>241</v>
      </c>
      <c r="F12" s="27"/>
      <c r="G12" s="28" t="s">
        <v>241</v>
      </c>
      <c r="H12" s="29" t="s">
        <v>241</v>
      </c>
    </row>
    <row r="13" spans="1:8" x14ac:dyDescent="0.2">
      <c r="A13" s="30" t="s">
        <v>20</v>
      </c>
      <c r="B13" s="31" t="s">
        <v>3</v>
      </c>
      <c r="C13" s="20">
        <v>2691.7762061521739</v>
      </c>
      <c r="D13" s="20">
        <v>2919.2766521739131</v>
      </c>
      <c r="E13" s="36">
        <v>2841.5709999999999</v>
      </c>
      <c r="F13" s="22" t="s">
        <v>241</v>
      </c>
      <c r="G13" s="23">
        <v>5.5649051918009889</v>
      </c>
      <c r="H13" s="24">
        <v>-2.6618118606897951</v>
      </c>
    </row>
    <row r="14" spans="1:8" x14ac:dyDescent="0.2">
      <c r="A14" s="34"/>
      <c r="B14" s="25" t="s">
        <v>241</v>
      </c>
      <c r="C14" s="26" t="s">
        <v>241</v>
      </c>
      <c r="D14" s="26" t="s">
        <v>241</v>
      </c>
      <c r="E14" s="26" t="s">
        <v>241</v>
      </c>
      <c r="F14" s="27"/>
      <c r="G14" s="38" t="s">
        <v>241</v>
      </c>
      <c r="H14" s="24" t="s">
        <v>241</v>
      </c>
    </row>
    <row r="15" spans="1:8" x14ac:dyDescent="0.2">
      <c r="A15" s="30" t="s">
        <v>21</v>
      </c>
      <c r="B15" s="31" t="s">
        <v>3</v>
      </c>
      <c r="C15" s="20">
        <v>1241.7762061521739</v>
      </c>
      <c r="D15" s="20">
        <v>1228.2766521739131</v>
      </c>
      <c r="E15" s="36">
        <v>1158.5709999999999</v>
      </c>
      <c r="F15" s="22" t="s">
        <v>241</v>
      </c>
      <c r="G15" s="37">
        <v>-6.7004993121906864</v>
      </c>
      <c r="H15" s="33">
        <v>-5.6750775202428514</v>
      </c>
    </row>
    <row r="16" spans="1:8" x14ac:dyDescent="0.2">
      <c r="A16" s="34"/>
      <c r="B16" s="25" t="s">
        <v>241</v>
      </c>
      <c r="C16" s="26" t="s">
        <v>241</v>
      </c>
      <c r="D16" s="26" t="s">
        <v>241</v>
      </c>
      <c r="E16" s="26" t="s">
        <v>241</v>
      </c>
      <c r="F16" s="27"/>
      <c r="G16" s="28" t="s">
        <v>241</v>
      </c>
      <c r="H16" s="29" t="s">
        <v>241</v>
      </c>
    </row>
    <row r="17" spans="1:8" x14ac:dyDescent="0.2">
      <c r="A17" s="30" t="s">
        <v>190</v>
      </c>
      <c r="B17" s="31" t="s">
        <v>3</v>
      </c>
      <c r="C17" s="20">
        <v>7349.9603435869567</v>
      </c>
      <c r="D17" s="20">
        <v>9925.7944202898543</v>
      </c>
      <c r="E17" s="36">
        <v>9831.9516666666677</v>
      </c>
      <c r="F17" s="22" t="s">
        <v>241</v>
      </c>
      <c r="G17" s="37">
        <v>33.768771626711128</v>
      </c>
      <c r="H17" s="33">
        <v>-0.94544325269680485</v>
      </c>
    </row>
    <row r="18" spans="1:8" x14ac:dyDescent="0.2">
      <c r="A18" s="34"/>
      <c r="B18" s="25" t="s">
        <v>241</v>
      </c>
      <c r="C18" s="26" t="s">
        <v>241</v>
      </c>
      <c r="D18" s="26" t="s">
        <v>241</v>
      </c>
      <c r="E18" s="26" t="s">
        <v>241</v>
      </c>
      <c r="F18" s="27"/>
      <c r="G18" s="28" t="s">
        <v>241</v>
      </c>
      <c r="H18" s="29" t="s">
        <v>241</v>
      </c>
    </row>
    <row r="19" spans="1:8" x14ac:dyDescent="0.2">
      <c r="A19" s="39" t="s">
        <v>12</v>
      </c>
      <c r="B19" s="31" t="s">
        <v>3</v>
      </c>
      <c r="C19" s="20">
        <v>424.77620615217393</v>
      </c>
      <c r="D19" s="20">
        <v>522.27665217391302</v>
      </c>
      <c r="E19" s="36">
        <v>425.57100000000003</v>
      </c>
      <c r="F19" s="22" t="s">
        <v>241</v>
      </c>
      <c r="G19" s="37">
        <v>0.18710884374284831</v>
      </c>
      <c r="H19" s="33">
        <v>-18.516173712033165</v>
      </c>
    </row>
    <row r="20" spans="1:8" x14ac:dyDescent="0.2">
      <c r="A20" s="34"/>
      <c r="B20" s="25" t="s">
        <v>241</v>
      </c>
      <c r="C20" s="26" t="s">
        <v>241</v>
      </c>
      <c r="D20" s="26" t="s">
        <v>241</v>
      </c>
      <c r="E20" s="26" t="s">
        <v>241</v>
      </c>
      <c r="F20" s="27"/>
      <c r="G20" s="28" t="s">
        <v>241</v>
      </c>
      <c r="H20" s="29" t="s">
        <v>241</v>
      </c>
    </row>
    <row r="21" spans="1:8" x14ac:dyDescent="0.2">
      <c r="A21" s="39" t="s">
        <v>23</v>
      </c>
      <c r="B21" s="31" t="s">
        <v>3</v>
      </c>
      <c r="C21" s="20">
        <v>599.18413743478254</v>
      </c>
      <c r="D21" s="20">
        <v>670.51776811594209</v>
      </c>
      <c r="E21" s="36">
        <v>720.38066666666668</v>
      </c>
      <c r="F21" s="22" t="s">
        <v>241</v>
      </c>
      <c r="G21" s="23">
        <v>20.226925524221784</v>
      </c>
      <c r="H21" s="24">
        <v>7.436476842490265</v>
      </c>
    </row>
    <row r="22" spans="1:8" x14ac:dyDescent="0.2">
      <c r="A22" s="34"/>
      <c r="B22" s="25" t="s">
        <v>241</v>
      </c>
      <c r="C22" s="26" t="s">
        <v>241</v>
      </c>
      <c r="D22" s="26" t="s">
        <v>241</v>
      </c>
      <c r="E22" s="26" t="s">
        <v>241</v>
      </c>
      <c r="F22" s="27"/>
      <c r="G22" s="38" t="s">
        <v>241</v>
      </c>
      <c r="H22" s="24" t="s">
        <v>241</v>
      </c>
    </row>
    <row r="23" spans="1:8" x14ac:dyDescent="0.2">
      <c r="A23" s="30" t="s">
        <v>24</v>
      </c>
      <c r="B23" s="31" t="s">
        <v>3</v>
      </c>
      <c r="C23" s="20">
        <v>4643.2328618456522</v>
      </c>
      <c r="D23" s="20">
        <v>7429.382995652174</v>
      </c>
      <c r="E23" s="36">
        <v>7460.7713000000003</v>
      </c>
      <c r="F23" s="22" t="s">
        <v>241</v>
      </c>
      <c r="G23" s="37">
        <v>60.680532766439711</v>
      </c>
      <c r="H23" s="33">
        <v>0.42248870957648421</v>
      </c>
    </row>
    <row r="24" spans="1:8" ht="13.5" thickBot="1" x14ac:dyDescent="0.25">
      <c r="A24" s="41"/>
      <c r="B24" s="42" t="s">
        <v>241</v>
      </c>
      <c r="C24" s="43" t="s">
        <v>241</v>
      </c>
      <c r="D24" s="43" t="s">
        <v>241</v>
      </c>
      <c r="E24" s="43" t="s">
        <v>241</v>
      </c>
      <c r="F24" s="44"/>
      <c r="G24" s="45" t="s">
        <v>241</v>
      </c>
      <c r="H24" s="46" t="s">
        <v>241</v>
      </c>
    </row>
    <row r="29" spans="1:8" x14ac:dyDescent="0.2">
      <c r="A29" s="58"/>
      <c r="B29" s="58"/>
      <c r="C29" s="21"/>
      <c r="D29" s="21"/>
      <c r="E29" s="21"/>
      <c r="F29" s="59"/>
      <c r="G29" s="38"/>
      <c r="H29" s="60"/>
    </row>
    <row r="30" spans="1:8" x14ac:dyDescent="0.2">
      <c r="A30" s="58"/>
      <c r="B30" s="62"/>
      <c r="C30" s="21"/>
      <c r="D30" s="21"/>
      <c r="E30" s="21"/>
      <c r="F30" s="63"/>
      <c r="G30" s="38"/>
      <c r="H30" s="60"/>
    </row>
    <row r="31" spans="1:8" x14ac:dyDescent="0.2">
      <c r="A31" s="47"/>
      <c r="B31" s="48"/>
      <c r="C31" s="49"/>
      <c r="D31" s="55"/>
      <c r="E31" s="49"/>
      <c r="F31" s="49"/>
      <c r="G31" s="50"/>
      <c r="H31" s="51"/>
    </row>
    <row r="32" spans="1:8" ht="16.5" thickBot="1" x14ac:dyDescent="0.3">
      <c r="A32" s="4" t="s">
        <v>165</v>
      </c>
      <c r="B32" s="5"/>
      <c r="C32" s="5"/>
      <c r="D32" s="5"/>
      <c r="E32" s="5"/>
      <c r="F32" s="5"/>
      <c r="G32" s="5"/>
      <c r="H32" s="6"/>
    </row>
    <row r="33" spans="1:8" x14ac:dyDescent="0.2">
      <c r="A33" s="7"/>
      <c r="B33" s="8"/>
      <c r="C33" s="203" t="s">
        <v>16</v>
      </c>
      <c r="D33" s="197"/>
      <c r="E33" s="197"/>
      <c r="F33" s="204"/>
      <c r="G33" s="197" t="s">
        <v>1</v>
      </c>
      <c r="H33" s="198"/>
    </row>
    <row r="34" spans="1:8" x14ac:dyDescent="0.2">
      <c r="A34" s="12"/>
      <c r="B34" s="13"/>
      <c r="C34" s="14" t="s">
        <v>236</v>
      </c>
      <c r="D34" s="15" t="s">
        <v>237</v>
      </c>
      <c r="E34" s="15" t="s">
        <v>238</v>
      </c>
      <c r="F34" s="16"/>
      <c r="G34" s="17" t="s">
        <v>239</v>
      </c>
      <c r="H34" s="18" t="s">
        <v>240</v>
      </c>
    </row>
    <row r="35" spans="1:8" ht="12.75" customHeight="1" x14ac:dyDescent="0.2">
      <c r="A35" s="199" t="s">
        <v>166</v>
      </c>
      <c r="B35" s="19" t="s">
        <v>3</v>
      </c>
      <c r="C35" s="80">
        <v>5239.1371201696165</v>
      </c>
      <c r="D35" s="80">
        <v>6748.8583414238092</v>
      </c>
      <c r="E35" s="81">
        <v>5905.40679865111</v>
      </c>
      <c r="F35" s="22" t="s">
        <v>241</v>
      </c>
      <c r="G35" s="23">
        <v>12.717164357399426</v>
      </c>
      <c r="H35" s="24">
        <v>-12.497692203667683</v>
      </c>
    </row>
    <row r="36" spans="1:8" ht="12.75" customHeight="1" x14ac:dyDescent="0.2">
      <c r="A36" s="200"/>
      <c r="B36" s="25" t="s">
        <v>241</v>
      </c>
      <c r="C36" s="82" t="s">
        <v>241</v>
      </c>
      <c r="D36" s="82" t="s">
        <v>241</v>
      </c>
      <c r="E36" s="82" t="s">
        <v>241</v>
      </c>
      <c r="F36" s="27"/>
      <c r="G36" s="28" t="s">
        <v>241</v>
      </c>
      <c r="H36" s="29" t="s">
        <v>241</v>
      </c>
    </row>
    <row r="37" spans="1:8" x14ac:dyDescent="0.2">
      <c r="A37" s="30" t="s">
        <v>18</v>
      </c>
      <c r="B37" s="31" t="s">
        <v>3</v>
      </c>
      <c r="C37" s="80">
        <v>2587.0096344177168</v>
      </c>
      <c r="D37" s="80">
        <v>2971.2041967401642</v>
      </c>
      <c r="E37" s="83">
        <v>2576.6457160675845</v>
      </c>
      <c r="F37" s="22" t="s">
        <v>241</v>
      </c>
      <c r="G37" s="32">
        <v>-0.40061382888761443</v>
      </c>
      <c r="H37" s="33">
        <v>-13.279413145197722</v>
      </c>
    </row>
    <row r="38" spans="1:8" x14ac:dyDescent="0.2">
      <c r="A38" s="34"/>
      <c r="B38" s="25" t="s">
        <v>241</v>
      </c>
      <c r="C38" s="82" t="s">
        <v>241</v>
      </c>
      <c r="D38" s="82" t="s">
        <v>241</v>
      </c>
      <c r="E38" s="82" t="s">
        <v>241</v>
      </c>
      <c r="F38" s="27"/>
      <c r="G38" s="35" t="s">
        <v>241</v>
      </c>
      <c r="H38" s="29" t="s">
        <v>241</v>
      </c>
    </row>
    <row r="39" spans="1:8" x14ac:dyDescent="0.2">
      <c r="A39" s="30" t="s">
        <v>19</v>
      </c>
      <c r="B39" s="31" t="s">
        <v>3</v>
      </c>
      <c r="C39" s="80">
        <v>1378.9831204329903</v>
      </c>
      <c r="D39" s="80">
        <v>1607.9893875149667</v>
      </c>
      <c r="E39" s="83">
        <v>1645.1894379127918</v>
      </c>
      <c r="F39" s="22" t="s">
        <v>241</v>
      </c>
      <c r="G39" s="37">
        <v>19.304537781159709</v>
      </c>
      <c r="H39" s="33">
        <v>2.3134512383390415</v>
      </c>
    </row>
    <row r="40" spans="1:8" x14ac:dyDescent="0.2">
      <c r="A40" s="34"/>
      <c r="B40" s="25" t="s">
        <v>241</v>
      </c>
      <c r="C40" s="82" t="s">
        <v>241</v>
      </c>
      <c r="D40" s="82" t="s">
        <v>241</v>
      </c>
      <c r="E40" s="82" t="s">
        <v>241</v>
      </c>
      <c r="F40" s="27"/>
      <c r="G40" s="28" t="s">
        <v>241</v>
      </c>
      <c r="H40" s="29" t="s">
        <v>241</v>
      </c>
    </row>
    <row r="41" spans="1:8" x14ac:dyDescent="0.2">
      <c r="A41" s="30" t="s">
        <v>20</v>
      </c>
      <c r="B41" s="31" t="s">
        <v>3</v>
      </c>
      <c r="C41" s="80">
        <v>148.14294571007329</v>
      </c>
      <c r="D41" s="80">
        <v>142.96204945125854</v>
      </c>
      <c r="E41" s="83">
        <v>143.94542710324436</v>
      </c>
      <c r="F41" s="22" t="s">
        <v>241</v>
      </c>
      <c r="G41" s="23">
        <v>-2.833424559441255</v>
      </c>
      <c r="H41" s="24">
        <v>0.68785922960701384</v>
      </c>
    </row>
    <row r="42" spans="1:8" x14ac:dyDescent="0.2">
      <c r="A42" s="34"/>
      <c r="B42" s="25" t="s">
        <v>241</v>
      </c>
      <c r="C42" s="82" t="s">
        <v>241</v>
      </c>
      <c r="D42" s="82" t="s">
        <v>241</v>
      </c>
      <c r="E42" s="82" t="s">
        <v>241</v>
      </c>
      <c r="F42" s="27"/>
      <c r="G42" s="38" t="s">
        <v>241</v>
      </c>
      <c r="H42" s="24" t="s">
        <v>241</v>
      </c>
    </row>
    <row r="43" spans="1:8" x14ac:dyDescent="0.2">
      <c r="A43" s="30" t="s">
        <v>21</v>
      </c>
      <c r="B43" s="31" t="s">
        <v>3</v>
      </c>
      <c r="C43" s="80">
        <v>15.958275898992815</v>
      </c>
      <c r="D43" s="80">
        <v>18.466083758181643</v>
      </c>
      <c r="E43" s="83">
        <v>30.028634972271497</v>
      </c>
      <c r="F43" s="22" t="s">
        <v>241</v>
      </c>
      <c r="G43" s="37">
        <v>88.169669219509558</v>
      </c>
      <c r="H43" s="33">
        <v>62.615069689407818</v>
      </c>
    </row>
    <row r="44" spans="1:8" x14ac:dyDescent="0.2">
      <c r="A44" s="34"/>
      <c r="B44" s="25" t="s">
        <v>241</v>
      </c>
      <c r="C44" s="82" t="s">
        <v>241</v>
      </c>
      <c r="D44" s="82" t="s">
        <v>241</v>
      </c>
      <c r="E44" s="82" t="s">
        <v>241</v>
      </c>
      <c r="F44" s="27"/>
      <c r="G44" s="28" t="s">
        <v>241</v>
      </c>
      <c r="H44" s="29" t="s">
        <v>241</v>
      </c>
    </row>
    <row r="45" spans="1:8" x14ac:dyDescent="0.2">
      <c r="A45" s="30" t="s">
        <v>190</v>
      </c>
      <c r="B45" s="31" t="s">
        <v>3</v>
      </c>
      <c r="C45" s="80">
        <v>544.93154468208661</v>
      </c>
      <c r="D45" s="80">
        <v>1108.4103109400962</v>
      </c>
      <c r="E45" s="83">
        <v>778.23145115395801</v>
      </c>
      <c r="F45" s="22" t="s">
        <v>241</v>
      </c>
      <c r="G45" s="37">
        <v>42.812699824154748</v>
      </c>
      <c r="H45" s="33">
        <v>-29.788504899967734</v>
      </c>
    </row>
    <row r="46" spans="1:8" x14ac:dyDescent="0.2">
      <c r="A46" s="34"/>
      <c r="B46" s="25" t="s">
        <v>241</v>
      </c>
      <c r="C46" s="82" t="s">
        <v>241</v>
      </c>
      <c r="D46" s="82" t="s">
        <v>241</v>
      </c>
      <c r="E46" s="82" t="s">
        <v>241</v>
      </c>
      <c r="F46" s="27"/>
      <c r="G46" s="28" t="s">
        <v>241</v>
      </c>
      <c r="H46" s="29" t="s">
        <v>241</v>
      </c>
    </row>
    <row r="47" spans="1:8" x14ac:dyDescent="0.2">
      <c r="A47" s="39" t="s">
        <v>12</v>
      </c>
      <c r="B47" s="31" t="s">
        <v>3</v>
      </c>
      <c r="C47" s="80">
        <v>28.212716235554961</v>
      </c>
      <c r="D47" s="80">
        <v>22.158456164608786</v>
      </c>
      <c r="E47" s="83">
        <v>14.599101522754497</v>
      </c>
      <c r="F47" s="22" t="s">
        <v>241</v>
      </c>
      <c r="G47" s="37">
        <v>-48.253470524202704</v>
      </c>
      <c r="H47" s="33">
        <v>-34.114987911152397</v>
      </c>
    </row>
    <row r="48" spans="1:8" x14ac:dyDescent="0.2">
      <c r="A48" s="34"/>
      <c r="B48" s="25" t="s">
        <v>241</v>
      </c>
      <c r="C48" s="82" t="s">
        <v>241</v>
      </c>
      <c r="D48" s="82" t="s">
        <v>241</v>
      </c>
      <c r="E48" s="82" t="s">
        <v>241</v>
      </c>
      <c r="F48" s="27"/>
      <c r="G48" s="28" t="s">
        <v>241</v>
      </c>
      <c r="H48" s="29" t="s">
        <v>241</v>
      </c>
    </row>
    <row r="49" spans="1:8" x14ac:dyDescent="0.2">
      <c r="A49" s="39" t="s">
        <v>23</v>
      </c>
      <c r="B49" s="31" t="s">
        <v>3</v>
      </c>
      <c r="C49" s="80">
        <v>25.122719309237429</v>
      </c>
      <c r="D49" s="80">
        <v>35.592461416346296</v>
      </c>
      <c r="E49" s="83">
        <v>29.99032404112473</v>
      </c>
      <c r="F49" s="22" t="s">
        <v>241</v>
      </c>
      <c r="G49" s="23">
        <v>19.375309941458127</v>
      </c>
      <c r="H49" s="24">
        <v>-15.739673943001634</v>
      </c>
    </row>
    <row r="50" spans="1:8" x14ac:dyDescent="0.2">
      <c r="A50" s="34"/>
      <c r="B50" s="25" t="s">
        <v>241</v>
      </c>
      <c r="C50" s="82" t="s">
        <v>241</v>
      </c>
      <c r="D50" s="82" t="s">
        <v>241</v>
      </c>
      <c r="E50" s="82" t="s">
        <v>241</v>
      </c>
      <c r="F50" s="27"/>
      <c r="G50" s="38" t="s">
        <v>241</v>
      </c>
      <c r="H50" s="24" t="s">
        <v>241</v>
      </c>
    </row>
    <row r="51" spans="1:8" x14ac:dyDescent="0.2">
      <c r="A51" s="30" t="s">
        <v>24</v>
      </c>
      <c r="B51" s="31" t="s">
        <v>3</v>
      </c>
      <c r="C51" s="80">
        <v>510.77616348296391</v>
      </c>
      <c r="D51" s="80">
        <v>842.07539543818689</v>
      </c>
      <c r="E51" s="83">
        <v>686.77670587738146</v>
      </c>
      <c r="F51" s="22" t="s">
        <v>241</v>
      </c>
      <c r="G51" s="37">
        <v>34.457469822843024</v>
      </c>
      <c r="H51" s="33">
        <v>-18.442373497920968</v>
      </c>
    </row>
    <row r="52" spans="1:8" ht="13.5" thickBot="1" x14ac:dyDescent="0.25">
      <c r="A52" s="41"/>
      <c r="B52" s="42" t="s">
        <v>241</v>
      </c>
      <c r="C52" s="86" t="s">
        <v>241</v>
      </c>
      <c r="D52" s="86" t="s">
        <v>241</v>
      </c>
      <c r="E52" s="86" t="s">
        <v>241</v>
      </c>
      <c r="F52" s="44"/>
      <c r="G52" s="45" t="s">
        <v>241</v>
      </c>
      <c r="H52" s="46" t="s">
        <v>241</v>
      </c>
    </row>
    <row r="57" spans="1:8" x14ac:dyDescent="0.2">
      <c r="A57" s="47"/>
      <c r="B57" s="48"/>
      <c r="C57" s="49"/>
      <c r="D57" s="49"/>
      <c r="E57" s="49"/>
      <c r="F57" s="49"/>
      <c r="G57" s="50"/>
      <c r="H57" s="51"/>
    </row>
    <row r="58" spans="1:8" x14ac:dyDescent="0.2">
      <c r="A58" s="47"/>
      <c r="B58" s="48"/>
      <c r="C58" s="49"/>
      <c r="D58" s="49"/>
      <c r="E58" s="49"/>
      <c r="F58" s="49"/>
      <c r="G58" s="50"/>
      <c r="H58" s="51"/>
    </row>
    <row r="59" spans="1:8" x14ac:dyDescent="0.2">
      <c r="A59" s="47"/>
      <c r="B59" s="48"/>
      <c r="C59" s="49"/>
      <c r="D59" s="49"/>
      <c r="E59" s="49"/>
      <c r="F59" s="49"/>
      <c r="G59" s="50"/>
      <c r="H59" s="51"/>
    </row>
    <row r="60" spans="1:8" x14ac:dyDescent="0.2">
      <c r="A60" s="52"/>
      <c r="B60" s="52"/>
      <c r="C60" s="52"/>
      <c r="D60" s="52"/>
      <c r="E60" s="52"/>
      <c r="F60" s="52"/>
      <c r="G60" s="52"/>
      <c r="H60" s="52"/>
    </row>
    <row r="61" spans="1:8" ht="12.75" customHeight="1" x14ac:dyDescent="0.2">
      <c r="A61" s="54" t="s">
        <v>235</v>
      </c>
      <c r="G61" s="53"/>
      <c r="H61" s="202">
        <v>17</v>
      </c>
    </row>
    <row r="62" spans="1:8" ht="12.75" customHeight="1" x14ac:dyDescent="0.2">
      <c r="A62" s="54" t="s">
        <v>242</v>
      </c>
      <c r="G62" s="53"/>
      <c r="H62" s="195"/>
    </row>
    <row r="67" ht="12.75" customHeight="1" x14ac:dyDescent="0.2"/>
    <row r="68" ht="12.75" customHeight="1" x14ac:dyDescent="0.2"/>
  </sheetData>
  <mergeCells count="6">
    <mergeCell ref="H61:H62"/>
    <mergeCell ref="A35:A36"/>
    <mergeCell ref="A7:A8"/>
    <mergeCell ref="G5:H5"/>
    <mergeCell ref="G33:H33"/>
    <mergeCell ref="C33:F33"/>
  </mergeCells>
  <phoneticPr fontId="0" type="noConversion"/>
  <hyperlinks>
    <hyperlink ref="A2" location="Innhold!A40" display="Tilbake til innholdsfortegnelsen" xr:uid="{00000000-0004-0000-0C00-000000000000}"/>
  </hyperlinks>
  <pageMargins left="0.78740157480314965" right="0.78740157480314965" top="0.98425196850393704" bottom="0.19685039370078741" header="3.937007874015748E-2" footer="3.937007874015748E-2"/>
  <pageSetup paperSize="9" scale="99" orientation="portrait" horizontalDpi="300" verticalDpi="30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I68"/>
  <sheetViews>
    <sheetView showGridLines="0" showRowColHeaders="0" zoomScaleNormal="100" zoomScaleSheetLayoutView="70" workbookViewId="0"/>
  </sheetViews>
  <sheetFormatPr defaultColWidth="11.42578125" defaultRowHeight="12.75" x14ac:dyDescent="0.2"/>
  <cols>
    <col min="1" max="1" width="26.42578125" style="1" customWidth="1"/>
    <col min="2" max="2" width="8.140625" style="1" customWidth="1"/>
    <col min="3" max="4" width="10.42578125" style="1" customWidth="1"/>
    <col min="5" max="5" width="9.85546875" style="1" customWidth="1"/>
    <col min="6" max="6" width="1.5703125" style="1" customWidth="1"/>
    <col min="7" max="7" width="7.5703125" style="1" customWidth="1"/>
    <col min="8" max="8" width="8.85546875" style="1" customWidth="1"/>
    <col min="9" max="16384" width="11.42578125" style="1"/>
  </cols>
  <sheetData>
    <row r="1" spans="1:9" ht="5.25" customHeight="1" x14ac:dyDescent="0.2"/>
    <row r="2" spans="1:9" x14ac:dyDescent="0.2">
      <c r="A2" s="92" t="s">
        <v>0</v>
      </c>
      <c r="B2" s="2"/>
      <c r="C2" s="2"/>
      <c r="D2" s="2"/>
      <c r="E2" s="2"/>
      <c r="F2" s="2"/>
      <c r="G2" s="2"/>
    </row>
    <row r="3" spans="1:9" ht="6" customHeight="1" x14ac:dyDescent="0.2">
      <c r="A3" s="3"/>
      <c r="B3" s="2"/>
      <c r="C3" s="2"/>
      <c r="D3" s="2"/>
      <c r="E3" s="2"/>
      <c r="F3" s="2"/>
      <c r="G3" s="2"/>
    </row>
    <row r="4" spans="1:9" ht="16.5" thickBot="1" x14ac:dyDescent="0.3">
      <c r="A4" s="4" t="s">
        <v>152</v>
      </c>
      <c r="B4" s="5"/>
      <c r="C4" s="5"/>
      <c r="D4" s="5"/>
      <c r="E4" s="5"/>
      <c r="F4" s="5"/>
      <c r="G4" s="5"/>
      <c r="H4" s="6"/>
    </row>
    <row r="5" spans="1:9" x14ac:dyDescent="0.2">
      <c r="A5" s="7"/>
      <c r="B5" s="8"/>
      <c r="C5" s="9"/>
      <c r="D5" s="8"/>
      <c r="E5" s="10"/>
      <c r="F5" s="11"/>
      <c r="G5" s="197" t="s">
        <v>1</v>
      </c>
      <c r="H5" s="198"/>
    </row>
    <row r="6" spans="1:9" x14ac:dyDescent="0.2">
      <c r="A6" s="12"/>
      <c r="B6" s="13"/>
      <c r="C6" s="14" t="s">
        <v>236</v>
      </c>
      <c r="D6" s="15" t="s">
        <v>237</v>
      </c>
      <c r="E6" s="15" t="s">
        <v>238</v>
      </c>
      <c r="F6" s="16"/>
      <c r="G6" s="17" t="s">
        <v>239</v>
      </c>
      <c r="H6" s="18" t="s">
        <v>240</v>
      </c>
    </row>
    <row r="7" spans="1:9" x14ac:dyDescent="0.2">
      <c r="A7" s="199" t="s">
        <v>58</v>
      </c>
      <c r="B7" s="19" t="s">
        <v>3</v>
      </c>
      <c r="C7" s="20">
        <v>10163.02716734694</v>
      </c>
      <c r="D7" s="20">
        <v>10868.335804081633</v>
      </c>
      <c r="E7" s="79">
        <v>9550.4275265306132</v>
      </c>
      <c r="F7" s="22" t="s">
        <v>241</v>
      </c>
      <c r="G7" s="23">
        <v>-6.0277280649663538</v>
      </c>
      <c r="H7" s="24">
        <v>-12.126127691565031</v>
      </c>
    </row>
    <row r="8" spans="1:9" x14ac:dyDescent="0.2">
      <c r="A8" s="200"/>
      <c r="B8" s="25" t="s">
        <v>241</v>
      </c>
      <c r="C8" s="26" t="s">
        <v>241</v>
      </c>
      <c r="D8" s="26" t="s">
        <v>241</v>
      </c>
      <c r="E8" s="26" t="s">
        <v>241</v>
      </c>
      <c r="F8" s="27"/>
      <c r="G8" s="28" t="s">
        <v>241</v>
      </c>
      <c r="H8" s="29" t="s">
        <v>241</v>
      </c>
    </row>
    <row r="9" spans="1:9" x14ac:dyDescent="0.2">
      <c r="A9" s="30" t="s">
        <v>9</v>
      </c>
      <c r="B9" s="31" t="s">
        <v>3</v>
      </c>
      <c r="C9" s="20">
        <v>9762.3385142857151</v>
      </c>
      <c r="D9" s="20">
        <v>10478.467885714286</v>
      </c>
      <c r="E9" s="21">
        <v>9153.4100571428571</v>
      </c>
      <c r="F9" s="22" t="s">
        <v>241</v>
      </c>
      <c r="G9" s="32">
        <v>-6.2375265542347478</v>
      </c>
      <c r="H9" s="33">
        <v>-12.645530272397295</v>
      </c>
    </row>
    <row r="10" spans="1:9" x14ac:dyDescent="0.2">
      <c r="A10" s="34"/>
      <c r="B10" s="25" t="s">
        <v>241</v>
      </c>
      <c r="C10" s="26" t="s">
        <v>241</v>
      </c>
      <c r="D10" s="26" t="s">
        <v>241</v>
      </c>
      <c r="E10" s="26" t="s">
        <v>241</v>
      </c>
      <c r="F10" s="27"/>
      <c r="G10" s="35" t="s">
        <v>241</v>
      </c>
      <c r="H10" s="29" t="s">
        <v>241</v>
      </c>
    </row>
    <row r="11" spans="1:9" x14ac:dyDescent="0.2">
      <c r="A11" s="30" t="s">
        <v>46</v>
      </c>
      <c r="B11" s="31" t="s">
        <v>3</v>
      </c>
      <c r="C11" s="20">
        <v>400.6886530612245</v>
      </c>
      <c r="D11" s="20">
        <v>392.86791836734693</v>
      </c>
      <c r="E11" s="21">
        <v>399.01746938775511</v>
      </c>
      <c r="F11" s="22" t="s">
        <v>241</v>
      </c>
      <c r="G11" s="37">
        <v>-0.41707786349867604</v>
      </c>
      <c r="H11" s="33">
        <v>1.565297325870759</v>
      </c>
    </row>
    <row r="12" spans="1:9" ht="13.5" thickBot="1" x14ac:dyDescent="0.25">
      <c r="A12" s="56"/>
      <c r="B12" s="42" t="s">
        <v>241</v>
      </c>
      <c r="C12" s="43" t="s">
        <v>241</v>
      </c>
      <c r="D12" s="43" t="s">
        <v>241</v>
      </c>
      <c r="E12" s="43" t="s">
        <v>241</v>
      </c>
      <c r="F12" s="44"/>
      <c r="G12" s="57" t="s">
        <v>241</v>
      </c>
      <c r="H12" s="46" t="s">
        <v>241</v>
      </c>
    </row>
    <row r="13" spans="1:9" x14ac:dyDescent="0.2">
      <c r="A13" s="58"/>
      <c r="B13" s="58"/>
      <c r="C13" s="21"/>
      <c r="D13" s="21"/>
      <c r="E13" s="21"/>
      <c r="F13" s="59"/>
      <c r="G13" s="38"/>
      <c r="H13" s="60"/>
      <c r="I13" s="61"/>
    </row>
    <row r="14" spans="1:9" x14ac:dyDescent="0.2">
      <c r="A14" s="58"/>
      <c r="B14" s="62"/>
      <c r="C14" s="21"/>
      <c r="D14" s="21"/>
      <c r="E14" s="21"/>
      <c r="F14" s="63"/>
      <c r="G14" s="38"/>
      <c r="H14" s="60"/>
      <c r="I14" s="61"/>
    </row>
    <row r="15" spans="1:9" x14ac:dyDescent="0.2">
      <c r="A15" s="58"/>
      <c r="B15" s="58"/>
      <c r="C15" s="21"/>
      <c r="D15" s="21"/>
      <c r="E15" s="21"/>
      <c r="F15" s="59"/>
      <c r="G15" s="38"/>
      <c r="H15" s="60"/>
      <c r="I15" s="61"/>
    </row>
    <row r="16" spans="1:9" x14ac:dyDescent="0.2">
      <c r="A16" s="58"/>
      <c r="B16" s="62"/>
      <c r="C16" s="21"/>
      <c r="D16" s="21"/>
      <c r="E16" s="21"/>
      <c r="F16" s="63"/>
      <c r="G16" s="38"/>
      <c r="H16" s="60"/>
      <c r="I16" s="61"/>
    </row>
    <row r="17" spans="1:9" x14ac:dyDescent="0.2">
      <c r="A17" s="58"/>
      <c r="B17" s="58"/>
      <c r="C17" s="21"/>
      <c r="D17" s="21"/>
      <c r="E17" s="21"/>
      <c r="F17" s="59"/>
      <c r="G17" s="38"/>
      <c r="H17" s="60"/>
      <c r="I17" s="61"/>
    </row>
    <row r="18" spans="1:9" x14ac:dyDescent="0.2">
      <c r="A18" s="58"/>
      <c r="B18" s="62"/>
      <c r="C18" s="21"/>
      <c r="D18" s="21"/>
      <c r="E18" s="21"/>
      <c r="F18" s="63"/>
      <c r="G18" s="38"/>
      <c r="H18" s="60"/>
      <c r="I18" s="61"/>
    </row>
    <row r="19" spans="1:9" x14ac:dyDescent="0.2">
      <c r="A19" s="58"/>
      <c r="B19" s="58"/>
      <c r="C19" s="21"/>
      <c r="D19" s="21"/>
      <c r="E19" s="21"/>
      <c r="F19" s="59"/>
      <c r="G19" s="38"/>
      <c r="H19" s="60"/>
      <c r="I19" s="61"/>
    </row>
    <row r="20" spans="1:9" x14ac:dyDescent="0.2">
      <c r="A20" s="58"/>
      <c r="B20" s="62"/>
      <c r="C20" s="21"/>
      <c r="D20" s="21"/>
      <c r="E20" s="21"/>
      <c r="F20" s="63"/>
      <c r="G20" s="38"/>
      <c r="H20" s="60"/>
      <c r="I20" s="61"/>
    </row>
    <row r="21" spans="1:9" x14ac:dyDescent="0.2">
      <c r="A21" s="58"/>
      <c r="B21" s="58"/>
      <c r="C21" s="21"/>
      <c r="D21" s="21"/>
      <c r="E21" s="21"/>
      <c r="F21" s="59"/>
      <c r="G21" s="38"/>
      <c r="H21" s="60"/>
      <c r="I21" s="61"/>
    </row>
    <row r="22" spans="1:9" x14ac:dyDescent="0.2">
      <c r="A22" s="58"/>
      <c r="B22" s="62"/>
      <c r="C22" s="21"/>
      <c r="D22" s="21"/>
      <c r="E22" s="21"/>
      <c r="F22" s="63"/>
      <c r="G22" s="38"/>
      <c r="H22" s="60"/>
      <c r="I22" s="61"/>
    </row>
    <row r="23" spans="1:9" x14ac:dyDescent="0.2">
      <c r="A23" s="58"/>
      <c r="B23" s="58"/>
      <c r="C23" s="21"/>
      <c r="D23" s="21"/>
      <c r="E23" s="21"/>
      <c r="F23" s="59"/>
      <c r="G23" s="38"/>
      <c r="H23" s="60"/>
      <c r="I23" s="61"/>
    </row>
    <row r="24" spans="1:9" x14ac:dyDescent="0.2">
      <c r="A24" s="58"/>
      <c r="B24" s="62"/>
      <c r="C24" s="21"/>
      <c r="D24" s="21"/>
      <c r="E24" s="21"/>
      <c r="F24" s="63"/>
      <c r="G24" s="38"/>
      <c r="H24" s="60"/>
      <c r="I24" s="61"/>
    </row>
    <row r="25" spans="1:9" x14ac:dyDescent="0.2">
      <c r="A25" s="58"/>
      <c r="B25" s="58"/>
      <c r="C25" s="21"/>
      <c r="D25" s="21"/>
      <c r="E25" s="21"/>
      <c r="F25" s="59"/>
      <c r="G25" s="38"/>
      <c r="H25" s="60"/>
      <c r="I25" s="61"/>
    </row>
    <row r="26" spans="1:9" x14ac:dyDescent="0.2">
      <c r="A26" s="58"/>
      <c r="B26" s="62"/>
      <c r="C26" s="21"/>
      <c r="D26" s="21"/>
      <c r="E26" s="21"/>
      <c r="F26" s="63"/>
      <c r="G26" s="38"/>
      <c r="H26" s="60"/>
      <c r="I26" s="61"/>
    </row>
    <row r="27" spans="1:9" x14ac:dyDescent="0.2">
      <c r="A27" s="58"/>
      <c r="B27" s="58"/>
      <c r="C27" s="21"/>
      <c r="D27" s="21"/>
      <c r="E27" s="21"/>
      <c r="F27" s="59"/>
      <c r="G27" s="38"/>
      <c r="H27" s="60"/>
      <c r="I27" s="61"/>
    </row>
    <row r="28" spans="1:9" x14ac:dyDescent="0.2">
      <c r="A28" s="58"/>
      <c r="B28" s="62"/>
      <c r="C28" s="21"/>
      <c r="D28" s="21"/>
      <c r="E28" s="21"/>
      <c r="F28" s="63"/>
      <c r="G28" s="38"/>
      <c r="H28" s="60"/>
      <c r="I28" s="61"/>
    </row>
    <row r="29" spans="1:9" x14ac:dyDescent="0.2">
      <c r="A29" s="58"/>
      <c r="B29" s="58"/>
      <c r="C29" s="64"/>
      <c r="D29" s="64"/>
      <c r="E29" s="21"/>
      <c r="F29" s="59"/>
      <c r="G29" s="38"/>
      <c r="H29" s="60"/>
      <c r="I29" s="61"/>
    </row>
    <row r="30" spans="1:9" x14ac:dyDescent="0.2">
      <c r="A30" s="65"/>
      <c r="B30" s="62"/>
      <c r="C30" s="21"/>
      <c r="D30" s="21"/>
      <c r="E30" s="21"/>
      <c r="F30" s="63"/>
      <c r="G30" s="38"/>
      <c r="H30" s="60"/>
      <c r="I30" s="61"/>
    </row>
    <row r="31" spans="1:9" x14ac:dyDescent="0.2">
      <c r="A31" s="47"/>
      <c r="B31" s="48"/>
      <c r="C31" s="49"/>
      <c r="D31" s="55"/>
      <c r="E31" s="49"/>
      <c r="F31" s="49"/>
      <c r="G31" s="50"/>
      <c r="H31" s="51"/>
      <c r="I31" s="61"/>
    </row>
    <row r="32" spans="1:9" ht="16.5" thickBot="1" x14ac:dyDescent="0.3">
      <c r="A32" s="4" t="s">
        <v>59</v>
      </c>
      <c r="B32" s="5"/>
      <c r="C32" s="5"/>
      <c r="D32" s="5"/>
      <c r="E32" s="5"/>
      <c r="F32" s="5"/>
      <c r="G32" s="5"/>
      <c r="H32" s="6"/>
    </row>
    <row r="33" spans="1:9" x14ac:dyDescent="0.2">
      <c r="A33" s="7"/>
      <c r="B33" s="8"/>
      <c r="C33" s="203" t="s">
        <v>16</v>
      </c>
      <c r="D33" s="197"/>
      <c r="E33" s="197"/>
      <c r="F33" s="204"/>
      <c r="G33" s="197" t="s">
        <v>1</v>
      </c>
      <c r="H33" s="198"/>
    </row>
    <row r="34" spans="1:9" x14ac:dyDescent="0.2">
      <c r="A34" s="12"/>
      <c r="B34" s="13"/>
      <c r="C34" s="14" t="s">
        <v>236</v>
      </c>
      <c r="D34" s="15" t="s">
        <v>237</v>
      </c>
      <c r="E34" s="15" t="s">
        <v>238</v>
      </c>
      <c r="F34" s="16"/>
      <c r="G34" s="17" t="s">
        <v>239</v>
      </c>
      <c r="H34" s="18" t="s">
        <v>240</v>
      </c>
    </row>
    <row r="35" spans="1:9" ht="12.75" customHeight="1" x14ac:dyDescent="0.2">
      <c r="A35" s="199" t="s">
        <v>58</v>
      </c>
      <c r="B35" s="19" t="s">
        <v>3</v>
      </c>
      <c r="C35" s="80">
        <v>1881.4521582849891</v>
      </c>
      <c r="D35" s="80">
        <v>1876.3099251303952</v>
      </c>
      <c r="E35" s="81">
        <v>2097.286501513945</v>
      </c>
      <c r="F35" s="22" t="s">
        <v>241</v>
      </c>
      <c r="G35" s="23">
        <v>11.471689156619135</v>
      </c>
      <c r="H35" s="24">
        <v>11.777189547627259</v>
      </c>
    </row>
    <row r="36" spans="1:9" ht="12.75" customHeight="1" x14ac:dyDescent="0.2">
      <c r="A36" s="200"/>
      <c r="B36" s="25" t="s">
        <v>241</v>
      </c>
      <c r="C36" s="82" t="s">
        <v>241</v>
      </c>
      <c r="D36" s="82" t="s">
        <v>241</v>
      </c>
      <c r="E36" s="82" t="s">
        <v>241</v>
      </c>
      <c r="F36" s="27"/>
      <c r="G36" s="28" t="s">
        <v>241</v>
      </c>
      <c r="H36" s="29" t="s">
        <v>241</v>
      </c>
    </row>
    <row r="37" spans="1:9" x14ac:dyDescent="0.2">
      <c r="A37" s="30" t="s">
        <v>9</v>
      </c>
      <c r="B37" s="31" t="s">
        <v>3</v>
      </c>
      <c r="C37" s="80">
        <v>1384.7574451491391</v>
      </c>
      <c r="D37" s="80">
        <v>1426.8212853098757</v>
      </c>
      <c r="E37" s="83">
        <v>1504.8281474900598</v>
      </c>
      <c r="F37" s="22" t="s">
        <v>241</v>
      </c>
      <c r="G37" s="32">
        <v>8.6708833205073574</v>
      </c>
      <c r="H37" s="33">
        <v>5.4671781941662516</v>
      </c>
    </row>
    <row r="38" spans="1:9" x14ac:dyDescent="0.2">
      <c r="A38" s="34"/>
      <c r="B38" s="25" t="s">
        <v>241</v>
      </c>
      <c r="C38" s="82" t="s">
        <v>241</v>
      </c>
      <c r="D38" s="82" t="s">
        <v>241</v>
      </c>
      <c r="E38" s="82" t="s">
        <v>241</v>
      </c>
      <c r="F38" s="27"/>
      <c r="G38" s="35" t="s">
        <v>241</v>
      </c>
      <c r="H38" s="29" t="s">
        <v>241</v>
      </c>
    </row>
    <row r="39" spans="1:9" x14ac:dyDescent="0.2">
      <c r="A39" s="30" t="s">
        <v>46</v>
      </c>
      <c r="B39" s="31" t="s">
        <v>3</v>
      </c>
      <c r="C39" s="80">
        <v>496.6947131358499</v>
      </c>
      <c r="D39" s="80">
        <v>449.48863982051921</v>
      </c>
      <c r="E39" s="83">
        <v>592.45835402388502</v>
      </c>
      <c r="F39" s="22" t="s">
        <v>241</v>
      </c>
      <c r="G39" s="37">
        <v>19.280181237170325</v>
      </c>
      <c r="H39" s="33">
        <v>31.80719189264795</v>
      </c>
    </row>
    <row r="40" spans="1:9" ht="13.5" thickBot="1" x14ac:dyDescent="0.25">
      <c r="A40" s="56"/>
      <c r="B40" s="42" t="s">
        <v>241</v>
      </c>
      <c r="C40" s="86" t="s">
        <v>241</v>
      </c>
      <c r="D40" s="86" t="s">
        <v>241</v>
      </c>
      <c r="E40" s="86" t="s">
        <v>241</v>
      </c>
      <c r="F40" s="44"/>
      <c r="G40" s="57" t="s">
        <v>241</v>
      </c>
      <c r="H40" s="46" t="s">
        <v>241</v>
      </c>
    </row>
    <row r="41" spans="1:9" x14ac:dyDescent="0.2">
      <c r="A41" s="58"/>
      <c r="B41" s="58"/>
      <c r="C41" s="21"/>
      <c r="D41" s="21"/>
      <c r="E41" s="21"/>
      <c r="F41" s="59"/>
      <c r="G41" s="38"/>
      <c r="H41" s="60"/>
      <c r="I41" s="61"/>
    </row>
    <row r="42" spans="1:9" x14ac:dyDescent="0.2">
      <c r="A42" s="58"/>
      <c r="B42" s="62"/>
      <c r="C42" s="21"/>
      <c r="D42" s="21"/>
      <c r="E42" s="21"/>
      <c r="F42" s="63"/>
      <c r="G42" s="38"/>
      <c r="H42" s="60"/>
      <c r="I42" s="61"/>
    </row>
    <row r="43" spans="1:9" x14ac:dyDescent="0.2">
      <c r="A43" s="58"/>
      <c r="B43" s="58"/>
      <c r="C43" s="21"/>
      <c r="D43" s="21"/>
      <c r="E43" s="21"/>
      <c r="F43" s="59"/>
      <c r="G43" s="38"/>
      <c r="H43" s="60"/>
      <c r="I43" s="61"/>
    </row>
    <row r="44" spans="1:9" x14ac:dyDescent="0.2">
      <c r="A44" s="58"/>
      <c r="B44" s="62"/>
      <c r="C44" s="21"/>
      <c r="D44" s="21"/>
      <c r="E44" s="21"/>
      <c r="F44" s="63"/>
      <c r="G44" s="38"/>
      <c r="H44" s="60"/>
      <c r="I44" s="61"/>
    </row>
    <row r="45" spans="1:9" x14ac:dyDescent="0.2">
      <c r="A45" s="58"/>
      <c r="B45" s="58"/>
      <c r="C45" s="21"/>
      <c r="D45" s="21"/>
      <c r="E45" s="21"/>
      <c r="F45" s="59"/>
      <c r="G45" s="38"/>
      <c r="H45" s="60"/>
      <c r="I45" s="61"/>
    </row>
    <row r="46" spans="1:9" x14ac:dyDescent="0.2">
      <c r="A46" s="58"/>
      <c r="B46" s="62"/>
      <c r="C46" s="21"/>
      <c r="D46" s="21"/>
      <c r="E46" s="21"/>
      <c r="F46" s="63"/>
      <c r="G46" s="38"/>
      <c r="H46" s="60"/>
      <c r="I46" s="61"/>
    </row>
    <row r="47" spans="1:9" x14ac:dyDescent="0.2">
      <c r="A47" s="58"/>
      <c r="B47" s="58"/>
      <c r="C47" s="21"/>
      <c r="D47" s="21"/>
      <c r="E47" s="21"/>
      <c r="F47" s="59"/>
      <c r="G47" s="38"/>
      <c r="H47" s="60"/>
      <c r="I47" s="61"/>
    </row>
    <row r="48" spans="1:9" x14ac:dyDescent="0.2">
      <c r="A48" s="58"/>
      <c r="B48" s="62"/>
      <c r="C48" s="21"/>
      <c r="D48" s="21"/>
      <c r="E48" s="21"/>
      <c r="F48" s="63"/>
      <c r="G48" s="38"/>
      <c r="H48" s="60"/>
      <c r="I48" s="61"/>
    </row>
    <row r="49" spans="1:9" x14ac:dyDescent="0.2">
      <c r="A49" s="58"/>
      <c r="B49" s="58"/>
      <c r="C49" s="21"/>
      <c r="D49" s="21"/>
      <c r="E49" s="96"/>
      <c r="F49" s="59"/>
      <c r="G49" s="38"/>
      <c r="H49" s="60"/>
      <c r="I49" s="61"/>
    </row>
    <row r="50" spans="1:9" x14ac:dyDescent="0.2">
      <c r="A50" s="58"/>
      <c r="B50" s="62"/>
      <c r="C50" s="21"/>
      <c r="D50" s="21"/>
      <c r="E50" s="21"/>
      <c r="F50" s="63"/>
      <c r="G50" s="38"/>
      <c r="H50" s="60"/>
      <c r="I50" s="61"/>
    </row>
    <row r="51" spans="1:9" x14ac:dyDescent="0.2">
      <c r="A51" s="58"/>
      <c r="B51" s="58"/>
      <c r="C51" s="21"/>
      <c r="D51" s="21"/>
      <c r="E51" s="21"/>
      <c r="F51" s="59"/>
      <c r="G51" s="38"/>
      <c r="H51" s="60"/>
      <c r="I51" s="61"/>
    </row>
    <row r="52" spans="1:9" x14ac:dyDescent="0.2">
      <c r="A52" s="58"/>
      <c r="B52" s="62"/>
      <c r="C52" s="21"/>
      <c r="D52" s="21"/>
      <c r="E52" s="21"/>
      <c r="F52" s="63"/>
      <c r="G52" s="38"/>
      <c r="H52" s="60"/>
      <c r="I52" s="61"/>
    </row>
    <row r="53" spans="1:9" x14ac:dyDescent="0.2">
      <c r="A53" s="58"/>
      <c r="B53" s="58"/>
      <c r="C53" s="21"/>
      <c r="D53" s="21"/>
      <c r="E53" s="21"/>
      <c r="F53" s="59"/>
      <c r="G53" s="38"/>
      <c r="H53" s="60"/>
      <c r="I53" s="61"/>
    </row>
    <row r="54" spans="1:9" x14ac:dyDescent="0.2">
      <c r="A54" s="58"/>
      <c r="B54" s="62"/>
      <c r="C54" s="21"/>
      <c r="D54" s="21"/>
      <c r="E54" s="21"/>
      <c r="F54" s="63"/>
      <c r="G54" s="38"/>
      <c r="H54" s="60"/>
      <c r="I54" s="61"/>
    </row>
    <row r="55" spans="1:9" x14ac:dyDescent="0.2">
      <c r="A55" s="58"/>
      <c r="B55" s="58"/>
      <c r="C55" s="21"/>
      <c r="D55" s="21"/>
      <c r="E55" s="21"/>
      <c r="F55" s="59"/>
      <c r="G55" s="38"/>
      <c r="H55" s="60"/>
      <c r="I55" s="61"/>
    </row>
    <row r="56" spans="1:9" x14ac:dyDescent="0.2">
      <c r="A56" s="58"/>
      <c r="B56" s="62"/>
      <c r="C56" s="21"/>
      <c r="D56" s="21"/>
      <c r="E56" s="21"/>
      <c r="F56" s="63"/>
      <c r="G56" s="38"/>
      <c r="H56" s="60"/>
      <c r="I56" s="61"/>
    </row>
    <row r="57" spans="1:9" x14ac:dyDescent="0.2">
      <c r="A57" s="58"/>
      <c r="B57" s="58"/>
      <c r="C57" s="64"/>
      <c r="D57" s="64"/>
      <c r="E57" s="21"/>
      <c r="F57" s="59"/>
      <c r="G57" s="38"/>
      <c r="H57" s="60"/>
      <c r="I57" s="61"/>
    </row>
    <row r="58" spans="1:9" x14ac:dyDescent="0.2">
      <c r="A58" s="65"/>
      <c r="B58" s="62"/>
      <c r="C58" s="21"/>
      <c r="D58" s="21"/>
      <c r="E58" s="21"/>
      <c r="F58" s="63"/>
      <c r="G58" s="38"/>
      <c r="H58" s="60"/>
      <c r="I58" s="61"/>
    </row>
    <row r="59" spans="1:9" x14ac:dyDescent="0.2">
      <c r="A59" s="47"/>
      <c r="B59" s="48"/>
      <c r="C59" s="49"/>
      <c r="D59" s="49"/>
      <c r="E59" s="49"/>
      <c r="F59" s="49"/>
      <c r="G59" s="50"/>
      <c r="H59" s="51"/>
    </row>
    <row r="60" spans="1:9" x14ac:dyDescent="0.2">
      <c r="A60" s="52"/>
      <c r="B60" s="52"/>
      <c r="C60" s="52"/>
      <c r="D60" s="52"/>
      <c r="E60" s="52"/>
      <c r="F60" s="52"/>
      <c r="G60" s="52"/>
      <c r="H60" s="52"/>
    </row>
    <row r="61" spans="1:9" ht="12.75" customHeight="1" x14ac:dyDescent="0.2">
      <c r="A61" s="54" t="s">
        <v>235</v>
      </c>
      <c r="H61" s="194">
        <v>18</v>
      </c>
    </row>
    <row r="62" spans="1:9" ht="12.75" customHeight="1" x14ac:dyDescent="0.2">
      <c r="A62" s="54" t="s">
        <v>242</v>
      </c>
      <c r="H62" s="195"/>
    </row>
    <row r="67" ht="12.75" customHeight="1" x14ac:dyDescent="0.2"/>
    <row r="68" ht="12.75" customHeight="1" x14ac:dyDescent="0.2"/>
  </sheetData>
  <mergeCells count="6">
    <mergeCell ref="H61:H62"/>
    <mergeCell ref="A35:A36"/>
    <mergeCell ref="A7:A8"/>
    <mergeCell ref="G5:H5"/>
    <mergeCell ref="G33:H33"/>
    <mergeCell ref="C33:F33"/>
  </mergeCells>
  <phoneticPr fontId="0" type="noConversion"/>
  <hyperlinks>
    <hyperlink ref="A2" location="Innhold!A43" display="Tilbake til innholdsfortegnelsen" xr:uid="{00000000-0004-0000-0D00-000000000000}"/>
  </hyperlinks>
  <pageMargins left="0.78740157480314965" right="0.78740157480314965" top="0.98425196850393704" bottom="0.19685039370078741" header="3.937007874015748E-2" footer="3.937007874015748E-2"/>
  <pageSetup paperSize="9" scale="99" orientation="portrait" horizontalDpi="300" verticalDpi="30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I68"/>
  <sheetViews>
    <sheetView showGridLines="0" showRowColHeaders="0" zoomScaleNormal="100" zoomScaleSheetLayoutView="70" workbookViewId="0"/>
  </sheetViews>
  <sheetFormatPr defaultColWidth="11.42578125" defaultRowHeight="12.75" x14ac:dyDescent="0.2"/>
  <cols>
    <col min="1" max="1" width="26.42578125" style="1" customWidth="1"/>
    <col min="2" max="2" width="8.140625" style="1" customWidth="1"/>
    <col min="3" max="4" width="10.42578125" style="1" customWidth="1"/>
    <col min="5" max="5" width="9.85546875" style="1" customWidth="1"/>
    <col min="6" max="6" width="1.5703125" style="1" customWidth="1"/>
    <col min="7" max="7" width="7.5703125" style="1" customWidth="1"/>
    <col min="8" max="8" width="8.85546875" style="1" customWidth="1"/>
    <col min="9" max="16384" width="11.42578125" style="1"/>
  </cols>
  <sheetData>
    <row r="1" spans="1:9" ht="5.25" customHeight="1" x14ac:dyDescent="0.2"/>
    <row r="2" spans="1:9" x14ac:dyDescent="0.2">
      <c r="A2" s="92" t="s">
        <v>0</v>
      </c>
      <c r="B2" s="2"/>
      <c r="C2" s="2"/>
      <c r="D2" s="2"/>
      <c r="E2" s="2"/>
      <c r="F2" s="2"/>
      <c r="G2" s="2"/>
    </row>
    <row r="3" spans="1:9" ht="6" customHeight="1" x14ac:dyDescent="0.2">
      <c r="A3" s="3"/>
      <c r="B3" s="2"/>
      <c r="C3" s="2"/>
      <c r="D3" s="2"/>
      <c r="E3" s="2"/>
      <c r="F3" s="2"/>
      <c r="G3" s="2"/>
    </row>
    <row r="4" spans="1:9" ht="16.5" thickBot="1" x14ac:dyDescent="0.3">
      <c r="A4" s="4" t="s">
        <v>153</v>
      </c>
      <c r="B4" s="5"/>
      <c r="C4" s="5"/>
      <c r="D4" s="5"/>
      <c r="E4" s="5"/>
      <c r="F4" s="5"/>
      <c r="G4" s="5"/>
      <c r="H4" s="6"/>
    </row>
    <row r="5" spans="1:9" x14ac:dyDescent="0.2">
      <c r="A5" s="7"/>
      <c r="B5" s="8"/>
      <c r="C5" s="9"/>
      <c r="D5" s="8"/>
      <c r="E5" s="10"/>
      <c r="F5" s="11"/>
      <c r="G5" s="197" t="s">
        <v>1</v>
      </c>
      <c r="H5" s="198"/>
    </row>
    <row r="6" spans="1:9" x14ac:dyDescent="0.2">
      <c r="A6" s="12"/>
      <c r="B6" s="13"/>
      <c r="C6" s="14" t="s">
        <v>236</v>
      </c>
      <c r="D6" s="15" t="s">
        <v>237</v>
      </c>
      <c r="E6" s="15" t="s">
        <v>238</v>
      </c>
      <c r="F6" s="16"/>
      <c r="G6" s="17" t="s">
        <v>239</v>
      </c>
      <c r="H6" s="18" t="s">
        <v>240</v>
      </c>
    </row>
    <row r="7" spans="1:9" x14ac:dyDescent="0.2">
      <c r="A7" s="199" t="s">
        <v>57</v>
      </c>
      <c r="B7" s="19" t="s">
        <v>3</v>
      </c>
      <c r="C7" s="20">
        <v>4569</v>
      </c>
      <c r="D7" s="20">
        <v>4525</v>
      </c>
      <c r="E7" s="79">
        <v>5250</v>
      </c>
      <c r="F7" s="22" t="s">
        <v>241</v>
      </c>
      <c r="G7" s="23">
        <v>14.904793171372305</v>
      </c>
      <c r="H7" s="24">
        <v>16.02209944751381</v>
      </c>
    </row>
    <row r="8" spans="1:9" x14ac:dyDescent="0.2">
      <c r="A8" s="200"/>
      <c r="B8" s="25" t="s">
        <v>241</v>
      </c>
      <c r="C8" s="26" t="s">
        <v>241</v>
      </c>
      <c r="D8" s="26" t="s">
        <v>241</v>
      </c>
      <c r="E8" s="26" t="s">
        <v>241</v>
      </c>
      <c r="F8" s="27"/>
      <c r="G8" s="28" t="s">
        <v>241</v>
      </c>
      <c r="H8" s="29" t="s">
        <v>241</v>
      </c>
    </row>
    <row r="9" spans="1:9" x14ac:dyDescent="0.2">
      <c r="A9" s="30" t="s">
        <v>9</v>
      </c>
      <c r="B9" s="31" t="s">
        <v>3</v>
      </c>
      <c r="C9" s="20">
        <v>1831</v>
      </c>
      <c r="D9" s="20">
        <v>1807</v>
      </c>
      <c r="E9" s="21">
        <v>1759</v>
      </c>
      <c r="F9" s="22" t="s">
        <v>241</v>
      </c>
      <c r="G9" s="32">
        <v>-3.9322774440196611</v>
      </c>
      <c r="H9" s="33">
        <v>-2.6563364692861171</v>
      </c>
    </row>
    <row r="10" spans="1:9" x14ac:dyDescent="0.2">
      <c r="A10" s="34"/>
      <c r="B10" s="25" t="s">
        <v>241</v>
      </c>
      <c r="C10" s="26" t="s">
        <v>241</v>
      </c>
      <c r="D10" s="26" t="s">
        <v>241</v>
      </c>
      <c r="E10" s="26" t="s">
        <v>241</v>
      </c>
      <c r="F10" s="27"/>
      <c r="G10" s="35" t="s">
        <v>241</v>
      </c>
      <c r="H10" s="29" t="s">
        <v>241</v>
      </c>
    </row>
    <row r="11" spans="1:9" x14ac:dyDescent="0.2">
      <c r="A11" s="30" t="s">
        <v>46</v>
      </c>
      <c r="B11" s="31" t="s">
        <v>3</v>
      </c>
      <c r="C11" s="20">
        <v>1853</v>
      </c>
      <c r="D11" s="20">
        <v>1729</v>
      </c>
      <c r="E11" s="21">
        <v>2718</v>
      </c>
      <c r="F11" s="22" t="s">
        <v>241</v>
      </c>
      <c r="G11" s="37">
        <v>46.681057744198597</v>
      </c>
      <c r="H11" s="33">
        <v>57.200694042799313</v>
      </c>
    </row>
    <row r="12" spans="1:9" x14ac:dyDescent="0.2">
      <c r="A12" s="34"/>
      <c r="B12" s="25" t="s">
        <v>241</v>
      </c>
      <c r="C12" s="26" t="s">
        <v>241</v>
      </c>
      <c r="D12" s="26" t="s">
        <v>241</v>
      </c>
      <c r="E12" s="26" t="s">
        <v>241</v>
      </c>
      <c r="F12" s="27"/>
      <c r="G12" s="28" t="s">
        <v>241</v>
      </c>
      <c r="H12" s="29" t="s">
        <v>241</v>
      </c>
    </row>
    <row r="13" spans="1:9" x14ac:dyDescent="0.2">
      <c r="A13" s="30" t="s">
        <v>24</v>
      </c>
      <c r="B13" s="31" t="s">
        <v>3</v>
      </c>
      <c r="C13" s="20">
        <v>927</v>
      </c>
      <c r="D13" s="20">
        <v>1082</v>
      </c>
      <c r="E13" s="21">
        <v>861</v>
      </c>
      <c r="F13" s="22" t="s">
        <v>241</v>
      </c>
      <c r="G13" s="23">
        <v>-7.1197411003236226</v>
      </c>
      <c r="H13" s="24">
        <v>-20.425138632162671</v>
      </c>
    </row>
    <row r="14" spans="1:9" ht="13.5" thickBot="1" x14ac:dyDescent="0.25">
      <c r="A14" s="56"/>
      <c r="B14" s="42" t="s">
        <v>241</v>
      </c>
      <c r="C14" s="43" t="s">
        <v>241</v>
      </c>
      <c r="D14" s="43" t="s">
        <v>241</v>
      </c>
      <c r="E14" s="43" t="s">
        <v>241</v>
      </c>
      <c r="F14" s="44"/>
      <c r="G14" s="57" t="s">
        <v>241</v>
      </c>
      <c r="H14" s="46" t="s">
        <v>241</v>
      </c>
    </row>
    <row r="15" spans="1:9" x14ac:dyDescent="0.2">
      <c r="A15" s="58"/>
      <c r="B15" s="62"/>
      <c r="C15" s="21"/>
      <c r="D15" s="21"/>
      <c r="E15" s="21"/>
      <c r="F15" s="63"/>
      <c r="G15" s="38"/>
      <c r="H15" s="60"/>
      <c r="I15" s="61"/>
    </row>
    <row r="16" spans="1:9" x14ac:dyDescent="0.2">
      <c r="A16" s="58"/>
      <c r="B16" s="62"/>
      <c r="C16" s="21"/>
      <c r="D16" s="21"/>
      <c r="E16" s="21"/>
      <c r="F16" s="63"/>
      <c r="G16" s="38"/>
      <c r="H16" s="60"/>
      <c r="I16" s="61"/>
    </row>
    <row r="17" spans="1:9" x14ac:dyDescent="0.2">
      <c r="A17" s="58"/>
      <c r="B17" s="62"/>
      <c r="C17" s="21"/>
      <c r="D17" s="21"/>
      <c r="E17" s="21"/>
      <c r="F17" s="63"/>
      <c r="G17" s="38"/>
      <c r="H17" s="60"/>
      <c r="I17" s="61"/>
    </row>
    <row r="18" spans="1:9" x14ac:dyDescent="0.2">
      <c r="A18" s="58"/>
      <c r="B18" s="62"/>
      <c r="C18" s="21"/>
      <c r="D18" s="21"/>
      <c r="E18" s="21"/>
      <c r="F18" s="63"/>
      <c r="G18" s="38"/>
      <c r="H18" s="60"/>
      <c r="I18" s="61"/>
    </row>
    <row r="19" spans="1:9" x14ac:dyDescent="0.2">
      <c r="A19" s="58"/>
      <c r="B19" s="62"/>
      <c r="C19" s="21"/>
      <c r="D19" s="21"/>
      <c r="E19" s="21"/>
      <c r="F19" s="63"/>
      <c r="G19" s="38"/>
      <c r="H19" s="60"/>
      <c r="I19" s="61"/>
    </row>
    <row r="20" spans="1:9" x14ac:dyDescent="0.2">
      <c r="A20" s="58"/>
      <c r="B20" s="62"/>
      <c r="C20" s="21"/>
      <c r="D20" s="21"/>
      <c r="E20" s="21"/>
      <c r="F20" s="63"/>
      <c r="G20" s="38"/>
      <c r="H20" s="60"/>
      <c r="I20" s="61"/>
    </row>
    <row r="21" spans="1:9" x14ac:dyDescent="0.2">
      <c r="A21" s="58"/>
      <c r="B21" s="58"/>
      <c r="C21" s="21"/>
      <c r="D21" s="21"/>
      <c r="E21" s="21"/>
      <c r="F21" s="59"/>
      <c r="G21" s="38"/>
      <c r="H21" s="60"/>
      <c r="I21" s="61"/>
    </row>
    <row r="22" spans="1:9" x14ac:dyDescent="0.2">
      <c r="A22" s="58"/>
      <c r="B22" s="62"/>
      <c r="C22" s="21"/>
      <c r="D22" s="21"/>
      <c r="E22" s="21"/>
      <c r="F22" s="63"/>
      <c r="G22" s="38"/>
      <c r="H22" s="60"/>
      <c r="I22" s="61"/>
    </row>
    <row r="23" spans="1:9" x14ac:dyDescent="0.2">
      <c r="A23" s="58"/>
      <c r="B23" s="58"/>
      <c r="C23" s="21"/>
      <c r="D23" s="21"/>
      <c r="E23" s="21"/>
      <c r="F23" s="59"/>
      <c r="G23" s="38"/>
      <c r="H23" s="60"/>
      <c r="I23" s="61"/>
    </row>
    <row r="24" spans="1:9" x14ac:dyDescent="0.2">
      <c r="A24" s="58"/>
      <c r="B24" s="62"/>
      <c r="C24" s="21"/>
      <c r="D24" s="21"/>
      <c r="E24" s="21"/>
      <c r="F24" s="63"/>
      <c r="G24" s="38"/>
      <c r="H24" s="60"/>
      <c r="I24" s="61"/>
    </row>
    <row r="25" spans="1:9" x14ac:dyDescent="0.2">
      <c r="A25" s="58"/>
      <c r="B25" s="58"/>
      <c r="C25" s="21"/>
      <c r="D25" s="21"/>
      <c r="E25" s="21"/>
      <c r="F25" s="59"/>
      <c r="G25" s="38"/>
      <c r="H25" s="60"/>
      <c r="I25" s="61"/>
    </row>
    <row r="26" spans="1:9" x14ac:dyDescent="0.2">
      <c r="A26" s="58"/>
      <c r="B26" s="62"/>
      <c r="C26" s="21"/>
      <c r="D26" s="21"/>
      <c r="E26" s="21"/>
      <c r="F26" s="63"/>
      <c r="G26" s="38"/>
      <c r="H26" s="60"/>
      <c r="I26" s="61"/>
    </row>
    <row r="27" spans="1:9" x14ac:dyDescent="0.2">
      <c r="A27" s="58"/>
      <c r="B27" s="58"/>
      <c r="C27" s="21"/>
      <c r="D27" s="21"/>
      <c r="E27" s="21"/>
      <c r="F27" s="59"/>
      <c r="G27" s="38"/>
      <c r="H27" s="60"/>
      <c r="I27" s="61"/>
    </row>
    <row r="28" spans="1:9" x14ac:dyDescent="0.2">
      <c r="A28" s="58"/>
      <c r="B28" s="62"/>
      <c r="C28" s="21"/>
      <c r="D28" s="21"/>
      <c r="E28" s="21"/>
      <c r="F28" s="63"/>
      <c r="G28" s="38"/>
      <c r="H28" s="60"/>
      <c r="I28" s="61"/>
    </row>
    <row r="29" spans="1:9" x14ac:dyDescent="0.2">
      <c r="A29" s="58"/>
      <c r="B29" s="58"/>
      <c r="C29" s="64"/>
      <c r="D29" s="64"/>
      <c r="E29" s="21"/>
      <c r="F29" s="59"/>
      <c r="G29" s="38"/>
      <c r="H29" s="60"/>
      <c r="I29" s="61"/>
    </row>
    <row r="30" spans="1:9" x14ac:dyDescent="0.2">
      <c r="A30" s="65"/>
      <c r="B30" s="62"/>
      <c r="C30" s="21"/>
      <c r="D30" s="21"/>
      <c r="E30" s="21"/>
      <c r="F30" s="63"/>
      <c r="G30" s="38"/>
      <c r="H30" s="60"/>
      <c r="I30" s="61"/>
    </row>
    <row r="31" spans="1:9" x14ac:dyDescent="0.2">
      <c r="A31" s="47"/>
      <c r="B31" s="48"/>
      <c r="C31" s="49"/>
      <c r="D31" s="55"/>
      <c r="E31" s="49"/>
      <c r="F31" s="49"/>
      <c r="G31" s="50"/>
      <c r="H31" s="51"/>
      <c r="I31" s="61"/>
    </row>
    <row r="32" spans="1:9" ht="16.5" thickBot="1" x14ac:dyDescent="0.3">
      <c r="A32" s="66" t="s">
        <v>73</v>
      </c>
      <c r="B32" s="5"/>
      <c r="C32" s="5"/>
      <c r="D32" s="5"/>
      <c r="E32" s="5"/>
      <c r="F32" s="5"/>
      <c r="G32" s="5"/>
      <c r="H32" s="6"/>
    </row>
    <row r="33" spans="1:9" x14ac:dyDescent="0.2">
      <c r="A33" s="7"/>
      <c r="B33" s="8"/>
      <c r="C33" s="203" t="s">
        <v>16</v>
      </c>
      <c r="D33" s="197"/>
      <c r="E33" s="197"/>
      <c r="F33" s="204"/>
      <c r="G33" s="197" t="s">
        <v>1</v>
      </c>
      <c r="H33" s="198"/>
    </row>
    <row r="34" spans="1:9" x14ac:dyDescent="0.2">
      <c r="A34" s="12"/>
      <c r="B34" s="13"/>
      <c r="C34" s="14" t="s">
        <v>236</v>
      </c>
      <c r="D34" s="15" t="s">
        <v>237</v>
      </c>
      <c r="E34" s="15" t="s">
        <v>238</v>
      </c>
      <c r="F34" s="16"/>
      <c r="G34" s="17" t="s">
        <v>239</v>
      </c>
      <c r="H34" s="18" t="s">
        <v>240</v>
      </c>
    </row>
    <row r="35" spans="1:9" ht="12.75" customHeight="1" x14ac:dyDescent="0.2">
      <c r="A35" s="199" t="s">
        <v>57</v>
      </c>
      <c r="B35" s="19" t="s">
        <v>3</v>
      </c>
      <c r="C35" s="80">
        <v>1779.0988161448022</v>
      </c>
      <c r="D35" s="80">
        <v>1723.7394637740249</v>
      </c>
      <c r="E35" s="81">
        <v>1715.0155545624009</v>
      </c>
      <c r="F35" s="22" t="s">
        <v>241</v>
      </c>
      <c r="G35" s="23">
        <v>-3.6020068700436667</v>
      </c>
      <c r="H35" s="24">
        <v>-0.50610370041209762</v>
      </c>
    </row>
    <row r="36" spans="1:9" ht="12.75" customHeight="1" x14ac:dyDescent="0.2">
      <c r="A36" s="200"/>
      <c r="B36" s="25" t="s">
        <v>241</v>
      </c>
      <c r="C36" s="82" t="s">
        <v>241</v>
      </c>
      <c r="D36" s="82" t="s">
        <v>241</v>
      </c>
      <c r="E36" s="82" t="s">
        <v>241</v>
      </c>
      <c r="F36" s="27"/>
      <c r="G36" s="28" t="s">
        <v>241</v>
      </c>
      <c r="H36" s="29" t="s">
        <v>241</v>
      </c>
    </row>
    <row r="37" spans="1:9" x14ac:dyDescent="0.2">
      <c r="A37" s="30" t="s">
        <v>9</v>
      </c>
      <c r="B37" s="31" t="s">
        <v>3</v>
      </c>
      <c r="C37" s="80">
        <v>382.74115421816037</v>
      </c>
      <c r="D37" s="80">
        <v>358.18675231131635</v>
      </c>
      <c r="E37" s="83">
        <v>315.91774839229686</v>
      </c>
      <c r="F37" s="22" t="s">
        <v>241</v>
      </c>
      <c r="G37" s="32">
        <v>-17.459164004029347</v>
      </c>
      <c r="H37" s="33">
        <v>-11.800828379683225</v>
      </c>
    </row>
    <row r="38" spans="1:9" x14ac:dyDescent="0.2">
      <c r="A38" s="34"/>
      <c r="B38" s="25" t="s">
        <v>241</v>
      </c>
      <c r="C38" s="82" t="s">
        <v>241</v>
      </c>
      <c r="D38" s="82" t="s">
        <v>241</v>
      </c>
      <c r="E38" s="82" t="s">
        <v>241</v>
      </c>
      <c r="F38" s="27"/>
      <c r="G38" s="35" t="s">
        <v>241</v>
      </c>
      <c r="H38" s="29" t="s">
        <v>241</v>
      </c>
    </row>
    <row r="39" spans="1:9" x14ac:dyDescent="0.2">
      <c r="A39" s="30" t="s">
        <v>46</v>
      </c>
      <c r="B39" s="31" t="s">
        <v>3</v>
      </c>
      <c r="C39" s="80">
        <v>974.59681551779818</v>
      </c>
      <c r="D39" s="80">
        <v>949.23993611656863</v>
      </c>
      <c r="E39" s="83">
        <v>1004.6419565647175</v>
      </c>
      <c r="F39" s="22" t="s">
        <v>241</v>
      </c>
      <c r="G39" s="37">
        <v>3.0828277466673768</v>
      </c>
      <c r="H39" s="33">
        <v>5.8364611875479966</v>
      </c>
    </row>
    <row r="40" spans="1:9" x14ac:dyDescent="0.2">
      <c r="A40" s="34"/>
      <c r="B40" s="25" t="s">
        <v>241</v>
      </c>
      <c r="C40" s="82" t="s">
        <v>241</v>
      </c>
      <c r="D40" s="82" t="s">
        <v>241</v>
      </c>
      <c r="E40" s="82" t="s">
        <v>241</v>
      </c>
      <c r="F40" s="27"/>
      <c r="G40" s="28" t="s">
        <v>241</v>
      </c>
      <c r="H40" s="29" t="s">
        <v>241</v>
      </c>
    </row>
    <row r="41" spans="1:9" x14ac:dyDescent="0.2">
      <c r="A41" s="30" t="s">
        <v>24</v>
      </c>
      <c r="B41" s="31" t="s">
        <v>3</v>
      </c>
      <c r="C41" s="80">
        <v>421.7608464088438</v>
      </c>
      <c r="D41" s="80">
        <v>416.31277534613992</v>
      </c>
      <c r="E41" s="83">
        <v>394.45584960538628</v>
      </c>
      <c r="F41" s="22" t="s">
        <v>241</v>
      </c>
      <c r="G41" s="23">
        <v>-6.4740473270458097</v>
      </c>
      <c r="H41" s="24">
        <v>-5.2501213114540803</v>
      </c>
    </row>
    <row r="42" spans="1:9" ht="13.5" thickBot="1" x14ac:dyDescent="0.25">
      <c r="A42" s="56"/>
      <c r="B42" s="42" t="s">
        <v>241</v>
      </c>
      <c r="C42" s="86" t="s">
        <v>241</v>
      </c>
      <c r="D42" s="86" t="s">
        <v>241</v>
      </c>
      <c r="E42" s="86" t="s">
        <v>241</v>
      </c>
      <c r="F42" s="44"/>
      <c r="G42" s="57" t="s">
        <v>241</v>
      </c>
      <c r="H42" s="46" t="s">
        <v>241</v>
      </c>
    </row>
    <row r="43" spans="1:9" x14ac:dyDescent="0.2">
      <c r="A43" s="58"/>
      <c r="B43" s="62"/>
      <c r="C43" s="21"/>
      <c r="D43" s="21"/>
      <c r="E43" s="21"/>
      <c r="F43" s="63"/>
      <c r="G43" s="38"/>
      <c r="H43" s="60"/>
    </row>
    <row r="44" spans="1:9" x14ac:dyDescent="0.2">
      <c r="A44" s="58"/>
      <c r="B44" s="62"/>
      <c r="C44" s="21"/>
      <c r="D44" s="21"/>
      <c r="E44" s="21"/>
      <c r="F44" s="63"/>
      <c r="G44" s="38"/>
      <c r="H44" s="60"/>
    </row>
    <row r="45" spans="1:9" x14ac:dyDescent="0.2">
      <c r="A45" s="58"/>
      <c r="B45" s="62"/>
      <c r="C45" s="21"/>
      <c r="D45" s="21"/>
      <c r="E45" s="21"/>
      <c r="F45" s="63"/>
      <c r="G45" s="38"/>
      <c r="H45" s="60"/>
    </row>
    <row r="46" spans="1:9" x14ac:dyDescent="0.2">
      <c r="A46" s="58"/>
      <c r="B46" s="62"/>
      <c r="C46" s="21"/>
      <c r="D46" s="21"/>
      <c r="E46" s="21"/>
      <c r="F46" s="63"/>
      <c r="G46" s="38"/>
      <c r="H46" s="60"/>
    </row>
    <row r="47" spans="1:9" x14ac:dyDescent="0.2">
      <c r="A47" s="58"/>
      <c r="B47" s="62"/>
      <c r="C47" s="21"/>
      <c r="D47" s="21"/>
      <c r="E47" s="21"/>
      <c r="F47" s="63"/>
      <c r="G47" s="38"/>
      <c r="H47" s="60"/>
      <c r="I47" s="61"/>
    </row>
    <row r="48" spans="1:9" x14ac:dyDescent="0.2">
      <c r="A48" s="58"/>
      <c r="B48" s="62"/>
      <c r="C48" s="21"/>
      <c r="D48" s="21"/>
      <c r="E48" s="21"/>
      <c r="F48" s="63"/>
      <c r="G48" s="38"/>
      <c r="H48" s="60"/>
      <c r="I48" s="61"/>
    </row>
    <row r="49" spans="1:9" x14ac:dyDescent="0.2">
      <c r="A49" s="58"/>
      <c r="B49" s="58"/>
      <c r="C49" s="21"/>
      <c r="D49" s="21"/>
      <c r="E49" s="96"/>
      <c r="F49" s="59"/>
      <c r="G49" s="38"/>
      <c r="H49" s="60"/>
      <c r="I49" s="61"/>
    </row>
    <row r="50" spans="1:9" x14ac:dyDescent="0.2">
      <c r="A50" s="58"/>
      <c r="B50" s="62"/>
      <c r="C50" s="21"/>
      <c r="D50" s="21"/>
      <c r="E50" s="21"/>
      <c r="F50" s="63"/>
      <c r="G50" s="38"/>
      <c r="H50" s="60"/>
      <c r="I50" s="61"/>
    </row>
    <row r="51" spans="1:9" x14ac:dyDescent="0.2">
      <c r="A51" s="58"/>
      <c r="B51" s="58"/>
      <c r="C51" s="21"/>
      <c r="D51" s="21"/>
      <c r="E51" s="21"/>
      <c r="F51" s="59"/>
      <c r="G51" s="38"/>
      <c r="H51" s="60"/>
      <c r="I51" s="61"/>
    </row>
    <row r="52" spans="1:9" x14ac:dyDescent="0.2">
      <c r="A52" s="58"/>
      <c r="B52" s="62"/>
      <c r="C52" s="21"/>
      <c r="D52" s="21"/>
      <c r="E52" s="21"/>
      <c r="F52" s="63"/>
      <c r="G52" s="38"/>
      <c r="H52" s="60"/>
      <c r="I52" s="61"/>
    </row>
    <row r="53" spans="1:9" x14ac:dyDescent="0.2">
      <c r="A53" s="58"/>
      <c r="B53" s="58"/>
      <c r="C53" s="21"/>
      <c r="D53" s="21"/>
      <c r="E53" s="21"/>
      <c r="F53" s="59"/>
      <c r="G53" s="38"/>
      <c r="H53" s="60"/>
      <c r="I53" s="61"/>
    </row>
    <row r="54" spans="1:9" x14ac:dyDescent="0.2">
      <c r="A54" s="58"/>
      <c r="B54" s="62"/>
      <c r="C54" s="21"/>
      <c r="D54" s="21"/>
      <c r="E54" s="21"/>
      <c r="F54" s="63"/>
      <c r="G54" s="38"/>
      <c r="H54" s="60"/>
      <c r="I54" s="61"/>
    </row>
    <row r="55" spans="1:9" x14ac:dyDescent="0.2">
      <c r="A55" s="58"/>
      <c r="B55" s="58"/>
      <c r="C55" s="21"/>
      <c r="D55" s="21"/>
      <c r="E55" s="21"/>
      <c r="F55" s="59"/>
      <c r="G55" s="38"/>
      <c r="H55" s="60"/>
      <c r="I55" s="61"/>
    </row>
    <row r="56" spans="1:9" x14ac:dyDescent="0.2">
      <c r="A56" s="58"/>
      <c r="B56" s="62"/>
      <c r="C56" s="21"/>
      <c r="D56" s="21"/>
      <c r="E56" s="21"/>
      <c r="F56" s="63"/>
      <c r="G56" s="38"/>
      <c r="H56" s="60"/>
      <c r="I56" s="61"/>
    </row>
    <row r="57" spans="1:9" x14ac:dyDescent="0.2">
      <c r="A57" s="58"/>
      <c r="B57" s="58"/>
      <c r="C57" s="64"/>
      <c r="D57" s="64"/>
      <c r="E57" s="21"/>
      <c r="F57" s="59"/>
      <c r="G57" s="38"/>
      <c r="H57" s="60"/>
      <c r="I57" s="61"/>
    </row>
    <row r="58" spans="1:9" x14ac:dyDescent="0.2">
      <c r="A58" s="65"/>
      <c r="B58" s="62"/>
      <c r="C58" s="21"/>
      <c r="D58" s="21"/>
      <c r="E58" s="21"/>
      <c r="F58" s="63"/>
      <c r="G58" s="38"/>
      <c r="H58" s="60"/>
      <c r="I58" s="61"/>
    </row>
    <row r="59" spans="1:9" x14ac:dyDescent="0.2">
      <c r="A59" s="47"/>
      <c r="B59" s="48"/>
      <c r="C59" s="49"/>
      <c r="D59" s="49"/>
      <c r="E59" s="49"/>
      <c r="F59" s="49"/>
      <c r="G59" s="50"/>
      <c r="H59" s="51"/>
    </row>
    <row r="60" spans="1:9" x14ac:dyDescent="0.2">
      <c r="A60" s="52"/>
      <c r="B60" s="52"/>
      <c r="C60" s="52"/>
      <c r="D60" s="52"/>
      <c r="E60" s="52"/>
      <c r="F60" s="52"/>
      <c r="G60" s="52"/>
      <c r="H60" s="52"/>
    </row>
    <row r="61" spans="1:9" ht="12.75" customHeight="1" x14ac:dyDescent="0.2">
      <c r="A61" s="54" t="s">
        <v>235</v>
      </c>
      <c r="G61" s="53"/>
      <c r="H61" s="202">
        <v>19</v>
      </c>
    </row>
    <row r="62" spans="1:9" ht="12.75" customHeight="1" x14ac:dyDescent="0.2">
      <c r="A62" s="54" t="s">
        <v>242</v>
      </c>
      <c r="G62" s="53"/>
      <c r="H62" s="195"/>
    </row>
    <row r="67" ht="12.75" customHeight="1" x14ac:dyDescent="0.2"/>
    <row r="68" ht="12.75" customHeight="1" x14ac:dyDescent="0.2"/>
  </sheetData>
  <mergeCells count="6">
    <mergeCell ref="H61:H62"/>
    <mergeCell ref="A35:A36"/>
    <mergeCell ref="A7:A8"/>
    <mergeCell ref="G5:H5"/>
    <mergeCell ref="G33:H33"/>
    <mergeCell ref="C33:F33"/>
  </mergeCells>
  <phoneticPr fontId="0" type="noConversion"/>
  <hyperlinks>
    <hyperlink ref="A2" location="Innhold!A45" display="Tilbake til innholdsfortegnelsen" xr:uid="{00000000-0004-0000-0E00-000000000000}"/>
  </hyperlinks>
  <pageMargins left="0.78740157480314965" right="0.78740157480314965" top="0.98425196850393704" bottom="0.19685039370078741" header="3.937007874015748E-2" footer="3.937007874015748E-2"/>
  <pageSetup paperSize="9" scale="99" orientation="portrait" horizontalDpi="300" verticalDpi="30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I68"/>
  <sheetViews>
    <sheetView showGridLines="0" showRowColHeaders="0" zoomScaleNormal="100" zoomScaleSheetLayoutView="70" workbookViewId="0"/>
  </sheetViews>
  <sheetFormatPr defaultColWidth="11.42578125" defaultRowHeight="12.75" x14ac:dyDescent="0.2"/>
  <cols>
    <col min="1" max="1" width="26.42578125" style="1" customWidth="1"/>
    <col min="2" max="2" width="8.140625" style="1" customWidth="1"/>
    <col min="3" max="4" width="10.42578125" style="1" customWidth="1"/>
    <col min="5" max="5" width="9.85546875" style="1" customWidth="1"/>
    <col min="6" max="6" width="1.5703125" style="1" customWidth="1"/>
    <col min="7" max="7" width="7.5703125" style="1" customWidth="1"/>
    <col min="8" max="8" width="8.85546875" style="1" customWidth="1"/>
    <col min="9" max="16384" width="11.42578125" style="1"/>
  </cols>
  <sheetData>
    <row r="1" spans="1:9" ht="5.25" customHeight="1" x14ac:dyDescent="0.2"/>
    <row r="2" spans="1:9" x14ac:dyDescent="0.2">
      <c r="A2" s="92" t="s">
        <v>0</v>
      </c>
      <c r="B2" s="2"/>
      <c r="C2" s="2"/>
      <c r="D2" s="2"/>
      <c r="E2" s="2"/>
      <c r="F2" s="2"/>
      <c r="G2" s="2"/>
    </row>
    <row r="3" spans="1:9" ht="6" customHeight="1" x14ac:dyDescent="0.2">
      <c r="A3" s="3"/>
      <c r="B3" s="2"/>
      <c r="C3" s="2"/>
      <c r="D3" s="2"/>
      <c r="E3" s="2"/>
      <c r="F3" s="2"/>
      <c r="G3" s="2"/>
    </row>
    <row r="4" spans="1:9" ht="16.5" thickBot="1" x14ac:dyDescent="0.3">
      <c r="A4" s="4" t="s">
        <v>154</v>
      </c>
      <c r="B4" s="5"/>
      <c r="C4" s="5"/>
      <c r="D4" s="5"/>
      <c r="E4" s="5"/>
      <c r="F4" s="5"/>
      <c r="G4" s="5"/>
      <c r="H4" s="6"/>
    </row>
    <row r="5" spans="1:9" x14ac:dyDescent="0.2">
      <c r="A5" s="7"/>
      <c r="B5" s="8"/>
      <c r="C5" s="9"/>
      <c r="D5" s="8"/>
      <c r="E5" s="10"/>
      <c r="F5" s="11"/>
      <c r="G5" s="197" t="s">
        <v>1</v>
      </c>
      <c r="H5" s="198"/>
    </row>
    <row r="6" spans="1:9" x14ac:dyDescent="0.2">
      <c r="A6" s="12"/>
      <c r="B6" s="13"/>
      <c r="C6" s="14" t="s">
        <v>236</v>
      </c>
      <c r="D6" s="15" t="s">
        <v>237</v>
      </c>
      <c r="E6" s="15" t="s">
        <v>238</v>
      </c>
      <c r="F6" s="16"/>
      <c r="G6" s="17" t="s">
        <v>239</v>
      </c>
      <c r="H6" s="18" t="s">
        <v>240</v>
      </c>
    </row>
    <row r="7" spans="1:9" ht="12.75" customHeight="1" x14ac:dyDescent="0.2">
      <c r="A7" s="199" t="s">
        <v>60</v>
      </c>
      <c r="B7" s="19" t="s">
        <v>3</v>
      </c>
      <c r="C7" s="20">
        <v>23196.560000000001</v>
      </c>
      <c r="D7" s="20">
        <v>24026.283333333333</v>
      </c>
      <c r="E7" s="79">
        <v>27254.799999999999</v>
      </c>
      <c r="F7" s="22" t="s">
        <v>241</v>
      </c>
      <c r="G7" s="23">
        <v>17.495007880478823</v>
      </c>
      <c r="H7" s="24">
        <v>13.43743691804184</v>
      </c>
    </row>
    <row r="8" spans="1:9" ht="13.7" customHeight="1" thickBot="1" x14ac:dyDescent="0.25">
      <c r="A8" s="205"/>
      <c r="B8" s="42" t="s">
        <v>241</v>
      </c>
      <c r="C8" s="43" t="s">
        <v>241</v>
      </c>
      <c r="D8" s="43" t="s">
        <v>241</v>
      </c>
      <c r="E8" s="43" t="s">
        <v>241</v>
      </c>
      <c r="F8" s="44"/>
      <c r="G8" s="57" t="s">
        <v>241</v>
      </c>
      <c r="H8" s="46" t="s">
        <v>241</v>
      </c>
    </row>
    <row r="9" spans="1:9" x14ac:dyDescent="0.2">
      <c r="A9" s="58"/>
      <c r="B9" s="58"/>
      <c r="C9" s="21"/>
      <c r="D9" s="21"/>
      <c r="E9" s="21"/>
      <c r="F9" s="59"/>
      <c r="G9" s="38"/>
      <c r="H9" s="60"/>
      <c r="I9" s="61"/>
    </row>
    <row r="10" spans="1:9" x14ac:dyDescent="0.2">
      <c r="A10" s="58"/>
      <c r="B10" s="58"/>
      <c r="C10" s="21"/>
      <c r="D10" s="21"/>
      <c r="E10" s="21"/>
      <c r="F10" s="59"/>
      <c r="G10" s="38"/>
      <c r="H10" s="60"/>
      <c r="I10" s="61"/>
    </row>
    <row r="11" spans="1:9" x14ac:dyDescent="0.2">
      <c r="A11" s="58"/>
      <c r="B11" s="58"/>
      <c r="C11" s="21"/>
      <c r="D11" s="21"/>
      <c r="E11" s="21"/>
      <c r="F11" s="59"/>
      <c r="G11" s="38"/>
      <c r="H11" s="60"/>
      <c r="I11" s="61"/>
    </row>
    <row r="12" spans="1:9" x14ac:dyDescent="0.2">
      <c r="A12" s="58"/>
      <c r="B12" s="58"/>
      <c r="C12" s="21"/>
      <c r="D12" s="21"/>
      <c r="E12" s="21"/>
      <c r="F12" s="59"/>
      <c r="G12" s="38"/>
      <c r="H12" s="60"/>
      <c r="I12" s="61"/>
    </row>
    <row r="13" spans="1:9" x14ac:dyDescent="0.2">
      <c r="A13" s="58"/>
      <c r="B13" s="58"/>
      <c r="C13" s="21"/>
      <c r="D13" s="21"/>
      <c r="E13" s="21"/>
      <c r="F13" s="59"/>
      <c r="G13" s="38"/>
      <c r="H13" s="60"/>
      <c r="I13" s="61"/>
    </row>
    <row r="14" spans="1:9" x14ac:dyDescent="0.2">
      <c r="A14" s="58"/>
      <c r="B14" s="62"/>
      <c r="C14" s="21"/>
      <c r="D14" s="21"/>
      <c r="E14" s="21"/>
      <c r="F14" s="63"/>
      <c r="G14" s="38"/>
      <c r="H14" s="60"/>
      <c r="I14" s="61"/>
    </row>
    <row r="15" spans="1:9" x14ac:dyDescent="0.2">
      <c r="A15" s="58"/>
      <c r="B15" s="58"/>
      <c r="C15" s="21"/>
      <c r="D15" s="21"/>
      <c r="E15" s="21"/>
      <c r="F15" s="59"/>
      <c r="G15" s="38"/>
      <c r="H15" s="60"/>
      <c r="I15" s="61"/>
    </row>
    <row r="16" spans="1:9" x14ac:dyDescent="0.2">
      <c r="A16" s="58"/>
      <c r="B16" s="62"/>
      <c r="C16" s="21"/>
      <c r="D16" s="21"/>
      <c r="E16" s="21"/>
      <c r="F16" s="63"/>
      <c r="G16" s="38"/>
      <c r="H16" s="60"/>
      <c r="I16" s="61"/>
    </row>
    <row r="17" spans="1:9" x14ac:dyDescent="0.2">
      <c r="A17" s="58"/>
      <c r="B17" s="58"/>
      <c r="C17" s="21"/>
      <c r="D17" s="21"/>
      <c r="E17" s="21"/>
      <c r="F17" s="59"/>
      <c r="G17" s="38"/>
      <c r="H17" s="60"/>
      <c r="I17" s="61"/>
    </row>
    <row r="18" spans="1:9" x14ac:dyDescent="0.2">
      <c r="A18" s="58"/>
      <c r="B18" s="62"/>
      <c r="C18" s="21"/>
      <c r="D18" s="21"/>
      <c r="E18" s="21"/>
      <c r="F18" s="63"/>
      <c r="G18" s="38"/>
      <c r="H18" s="60"/>
      <c r="I18" s="61"/>
    </row>
    <row r="19" spans="1:9" x14ac:dyDescent="0.2">
      <c r="A19" s="58"/>
      <c r="B19" s="58"/>
      <c r="C19" s="21"/>
      <c r="D19" s="21"/>
      <c r="E19" s="21"/>
      <c r="F19" s="59"/>
      <c r="G19" s="38"/>
      <c r="H19" s="60"/>
      <c r="I19" s="61"/>
    </row>
    <row r="20" spans="1:9" x14ac:dyDescent="0.2">
      <c r="A20" s="58"/>
      <c r="B20" s="62"/>
      <c r="C20" s="21"/>
      <c r="D20" s="21"/>
      <c r="E20" s="21"/>
      <c r="F20" s="63"/>
      <c r="G20" s="38"/>
      <c r="H20" s="60"/>
      <c r="I20" s="61"/>
    </row>
    <row r="21" spans="1:9" x14ac:dyDescent="0.2">
      <c r="A21" s="58"/>
      <c r="B21" s="58"/>
      <c r="C21" s="21"/>
      <c r="D21" s="21"/>
      <c r="E21" s="21"/>
      <c r="F21" s="59"/>
      <c r="G21" s="38"/>
      <c r="H21" s="60"/>
      <c r="I21" s="61"/>
    </row>
    <row r="22" spans="1:9" x14ac:dyDescent="0.2">
      <c r="A22" s="58"/>
      <c r="B22" s="62"/>
      <c r="C22" s="21"/>
      <c r="D22" s="21"/>
      <c r="E22" s="21"/>
      <c r="F22" s="63"/>
      <c r="G22" s="38"/>
      <c r="H22" s="60"/>
      <c r="I22" s="61"/>
    </row>
    <row r="23" spans="1:9" x14ac:dyDescent="0.2">
      <c r="A23" s="58"/>
      <c r="B23" s="58"/>
      <c r="C23" s="21"/>
      <c r="D23" s="21"/>
      <c r="E23" s="21"/>
      <c r="F23" s="59"/>
      <c r="G23" s="38"/>
      <c r="H23" s="60"/>
      <c r="I23" s="61"/>
    </row>
    <row r="24" spans="1:9" x14ac:dyDescent="0.2">
      <c r="A24" s="58"/>
      <c r="B24" s="62"/>
      <c r="C24" s="21"/>
      <c r="D24" s="21"/>
      <c r="E24" s="21"/>
      <c r="F24" s="63"/>
      <c r="G24" s="38"/>
      <c r="H24" s="60"/>
      <c r="I24" s="61"/>
    </row>
    <row r="25" spans="1:9" x14ac:dyDescent="0.2">
      <c r="A25" s="58"/>
      <c r="B25" s="58"/>
      <c r="C25" s="21"/>
      <c r="D25" s="21"/>
      <c r="E25" s="21"/>
      <c r="F25" s="59"/>
      <c r="G25" s="38"/>
      <c r="H25" s="60"/>
      <c r="I25" s="61"/>
    </row>
    <row r="26" spans="1:9" x14ac:dyDescent="0.2">
      <c r="A26" s="58"/>
      <c r="B26" s="62"/>
      <c r="C26" s="21"/>
      <c r="D26" s="21"/>
      <c r="E26" s="21"/>
      <c r="F26" s="63"/>
      <c r="G26" s="38"/>
      <c r="H26" s="60"/>
      <c r="I26" s="61"/>
    </row>
    <row r="27" spans="1:9" x14ac:dyDescent="0.2">
      <c r="A27" s="58"/>
      <c r="B27" s="58"/>
      <c r="C27" s="21"/>
      <c r="D27" s="21"/>
      <c r="E27" s="21"/>
      <c r="F27" s="59"/>
      <c r="G27" s="38"/>
      <c r="H27" s="60"/>
      <c r="I27" s="61"/>
    </row>
    <row r="28" spans="1:9" x14ac:dyDescent="0.2">
      <c r="A28" s="58"/>
      <c r="B28" s="62"/>
      <c r="C28" s="21"/>
      <c r="D28" s="21"/>
      <c r="E28" s="21"/>
      <c r="F28" s="63"/>
      <c r="G28" s="38"/>
      <c r="H28" s="60"/>
      <c r="I28" s="61"/>
    </row>
    <row r="29" spans="1:9" x14ac:dyDescent="0.2">
      <c r="A29" s="58"/>
      <c r="B29" s="58"/>
      <c r="C29" s="64"/>
      <c r="D29" s="64"/>
      <c r="E29" s="21"/>
      <c r="F29" s="59"/>
      <c r="G29" s="38"/>
      <c r="H29" s="60"/>
      <c r="I29" s="61"/>
    </row>
    <row r="30" spans="1:9" x14ac:dyDescent="0.2">
      <c r="A30" s="65"/>
      <c r="B30" s="62"/>
      <c r="C30" s="21"/>
      <c r="D30" s="21"/>
      <c r="E30" s="21"/>
      <c r="F30" s="63"/>
      <c r="G30" s="38"/>
      <c r="H30" s="60"/>
      <c r="I30" s="61"/>
    </row>
    <row r="31" spans="1:9" x14ac:dyDescent="0.2">
      <c r="A31" s="47"/>
      <c r="B31" s="48"/>
      <c r="C31" s="49"/>
      <c r="D31" s="55"/>
      <c r="E31" s="49"/>
      <c r="F31" s="49"/>
      <c r="G31" s="50"/>
      <c r="H31" s="51"/>
      <c r="I31" s="61"/>
    </row>
    <row r="32" spans="1:9" ht="16.5" thickBot="1" x14ac:dyDescent="0.3">
      <c r="A32" s="4" t="s">
        <v>72</v>
      </c>
      <c r="B32" s="5"/>
      <c r="C32" s="5"/>
      <c r="D32" s="5"/>
      <c r="E32" s="5"/>
      <c r="F32" s="5"/>
      <c r="G32" s="5"/>
      <c r="H32" s="6"/>
    </row>
    <row r="33" spans="1:9" x14ac:dyDescent="0.2">
      <c r="A33" s="7"/>
      <c r="B33" s="8"/>
      <c r="C33" s="203" t="s">
        <v>16</v>
      </c>
      <c r="D33" s="197"/>
      <c r="E33" s="197"/>
      <c r="F33" s="204"/>
      <c r="G33" s="197" t="s">
        <v>1</v>
      </c>
      <c r="H33" s="198"/>
    </row>
    <row r="34" spans="1:9" x14ac:dyDescent="0.2">
      <c r="A34" s="12"/>
      <c r="B34" s="13"/>
      <c r="C34" s="14" t="s">
        <v>236</v>
      </c>
      <c r="D34" s="15" t="s">
        <v>237</v>
      </c>
      <c r="E34" s="15" t="s">
        <v>238</v>
      </c>
      <c r="F34" s="16"/>
      <c r="G34" s="17" t="s">
        <v>239</v>
      </c>
      <c r="H34" s="18" t="s">
        <v>240</v>
      </c>
    </row>
    <row r="35" spans="1:9" ht="12.75" customHeight="1" x14ac:dyDescent="0.2">
      <c r="A35" s="199" t="s">
        <v>60</v>
      </c>
      <c r="B35" s="19" t="s">
        <v>3</v>
      </c>
      <c r="C35" s="80">
        <v>531.97624857374728</v>
      </c>
      <c r="D35" s="80">
        <v>573.57984776658577</v>
      </c>
      <c r="E35" s="81">
        <v>750.93103671113704</v>
      </c>
      <c r="F35" s="22" t="s">
        <v>241</v>
      </c>
      <c r="G35" s="23">
        <v>41.158752618075994</v>
      </c>
      <c r="H35" s="24">
        <v>30.920052305729371</v>
      </c>
    </row>
    <row r="36" spans="1:9" ht="12.75" customHeight="1" thickBot="1" x14ac:dyDescent="0.25">
      <c r="A36" s="205"/>
      <c r="B36" s="42" t="s">
        <v>241</v>
      </c>
      <c r="C36" s="86" t="s">
        <v>241</v>
      </c>
      <c r="D36" s="86" t="s">
        <v>241</v>
      </c>
      <c r="E36" s="86" t="s">
        <v>241</v>
      </c>
      <c r="F36" s="44"/>
      <c r="G36" s="57" t="s">
        <v>241</v>
      </c>
      <c r="H36" s="46" t="s">
        <v>241</v>
      </c>
    </row>
    <row r="37" spans="1:9" x14ac:dyDescent="0.2">
      <c r="A37" s="58"/>
      <c r="B37" s="58"/>
      <c r="C37" s="21"/>
      <c r="D37" s="21"/>
      <c r="E37" s="21"/>
      <c r="F37" s="59"/>
      <c r="G37" s="38"/>
      <c r="H37" s="60"/>
      <c r="I37" s="61"/>
    </row>
    <row r="38" spans="1:9" x14ac:dyDescent="0.2">
      <c r="A38" s="58"/>
      <c r="B38" s="62"/>
      <c r="C38" s="21"/>
      <c r="D38" s="21"/>
      <c r="E38" s="21"/>
      <c r="F38" s="63"/>
      <c r="G38" s="38"/>
      <c r="H38" s="60"/>
      <c r="I38" s="61"/>
    </row>
    <row r="39" spans="1:9" x14ac:dyDescent="0.2">
      <c r="A39" s="58"/>
      <c r="B39" s="58"/>
      <c r="C39" s="21"/>
      <c r="D39" s="21"/>
      <c r="E39" s="21"/>
      <c r="F39" s="59"/>
      <c r="G39" s="38"/>
      <c r="H39" s="60"/>
      <c r="I39" s="61"/>
    </row>
    <row r="40" spans="1:9" x14ac:dyDescent="0.2">
      <c r="A40" s="58"/>
      <c r="B40" s="62"/>
      <c r="C40" s="21"/>
      <c r="D40" s="21"/>
      <c r="E40" s="21"/>
      <c r="F40" s="63"/>
      <c r="G40" s="38"/>
      <c r="H40" s="60"/>
      <c r="I40" s="61"/>
    </row>
    <row r="41" spans="1:9" x14ac:dyDescent="0.2">
      <c r="A41" s="58"/>
      <c r="B41" s="58"/>
      <c r="C41" s="21"/>
      <c r="D41" s="21"/>
      <c r="E41" s="21"/>
      <c r="F41" s="59"/>
      <c r="G41" s="38"/>
      <c r="H41" s="60"/>
      <c r="I41" s="61"/>
    </row>
    <row r="42" spans="1:9" x14ac:dyDescent="0.2">
      <c r="A42" s="58"/>
      <c r="B42" s="62"/>
      <c r="C42" s="21"/>
      <c r="D42" s="21"/>
      <c r="E42" s="21"/>
      <c r="F42" s="63"/>
      <c r="G42" s="38"/>
      <c r="H42" s="60"/>
      <c r="I42" s="61"/>
    </row>
    <row r="43" spans="1:9" x14ac:dyDescent="0.2">
      <c r="A43" s="58"/>
      <c r="B43" s="58"/>
      <c r="C43" s="21"/>
      <c r="D43" s="21"/>
      <c r="E43" s="21"/>
      <c r="F43" s="59"/>
      <c r="G43" s="38"/>
      <c r="H43" s="60"/>
      <c r="I43" s="61"/>
    </row>
    <row r="44" spans="1:9" x14ac:dyDescent="0.2">
      <c r="A44" s="58"/>
      <c r="B44" s="62"/>
      <c r="C44" s="21"/>
      <c r="D44" s="21"/>
      <c r="E44" s="21"/>
      <c r="F44" s="63"/>
      <c r="G44" s="38"/>
      <c r="H44" s="60"/>
      <c r="I44" s="61"/>
    </row>
    <row r="45" spans="1:9" x14ac:dyDescent="0.2">
      <c r="A45" s="58"/>
      <c r="B45" s="58"/>
      <c r="C45" s="21"/>
      <c r="D45" s="21"/>
      <c r="E45" s="21"/>
      <c r="F45" s="59"/>
      <c r="G45" s="38"/>
      <c r="H45" s="60"/>
      <c r="I45" s="61"/>
    </row>
    <row r="46" spans="1:9" x14ac:dyDescent="0.2">
      <c r="A46" s="58"/>
      <c r="B46" s="62"/>
      <c r="C46" s="21"/>
      <c r="D46" s="21"/>
      <c r="E46" s="21"/>
      <c r="F46" s="63"/>
      <c r="G46" s="38"/>
      <c r="H46" s="60"/>
      <c r="I46" s="61"/>
    </row>
    <row r="47" spans="1:9" x14ac:dyDescent="0.2">
      <c r="A47" s="58"/>
      <c r="B47" s="58"/>
      <c r="C47" s="21"/>
      <c r="D47" s="21"/>
      <c r="E47" s="21"/>
      <c r="F47" s="59"/>
      <c r="G47" s="38"/>
      <c r="H47" s="60"/>
      <c r="I47" s="61"/>
    </row>
    <row r="48" spans="1:9" x14ac:dyDescent="0.2">
      <c r="A48" s="58"/>
      <c r="B48" s="62"/>
      <c r="C48" s="21"/>
      <c r="D48" s="21"/>
      <c r="E48" s="21"/>
      <c r="F48" s="63"/>
      <c r="G48" s="38"/>
      <c r="H48" s="60"/>
      <c r="I48" s="61"/>
    </row>
    <row r="49" spans="1:9" x14ac:dyDescent="0.2">
      <c r="A49" s="58"/>
      <c r="B49" s="58"/>
      <c r="C49" s="21"/>
      <c r="D49" s="21"/>
      <c r="E49" s="96"/>
      <c r="F49" s="59"/>
      <c r="G49" s="38"/>
      <c r="H49" s="60"/>
      <c r="I49" s="61"/>
    </row>
    <row r="50" spans="1:9" x14ac:dyDescent="0.2">
      <c r="A50" s="58"/>
      <c r="B50" s="62"/>
      <c r="C50" s="21"/>
      <c r="D50" s="21"/>
      <c r="E50" s="21"/>
      <c r="F50" s="63"/>
      <c r="G50" s="38"/>
      <c r="H50" s="60"/>
      <c r="I50" s="61"/>
    </row>
    <row r="51" spans="1:9" x14ac:dyDescent="0.2">
      <c r="A51" s="58"/>
      <c r="B51" s="58"/>
      <c r="C51" s="21"/>
      <c r="D51" s="21"/>
      <c r="E51" s="21"/>
      <c r="F51" s="59"/>
      <c r="G51" s="38"/>
      <c r="H51" s="60"/>
      <c r="I51" s="61"/>
    </row>
    <row r="52" spans="1:9" x14ac:dyDescent="0.2">
      <c r="A52" s="58"/>
      <c r="B52" s="62"/>
      <c r="C52" s="21"/>
      <c r="D52" s="21"/>
      <c r="E52" s="21"/>
      <c r="F52" s="63"/>
      <c r="G52" s="38"/>
      <c r="H52" s="60"/>
      <c r="I52" s="61"/>
    </row>
    <row r="53" spans="1:9" x14ac:dyDescent="0.2">
      <c r="A53" s="58"/>
      <c r="B53" s="58"/>
      <c r="C53" s="21"/>
      <c r="D53" s="21"/>
      <c r="E53" s="21"/>
      <c r="F53" s="59"/>
      <c r="G53" s="38"/>
      <c r="H53" s="60"/>
      <c r="I53" s="61"/>
    </row>
    <row r="54" spans="1:9" x14ac:dyDescent="0.2">
      <c r="A54" s="58"/>
      <c r="B54" s="62"/>
      <c r="C54" s="21"/>
      <c r="D54" s="21"/>
      <c r="E54" s="21"/>
      <c r="F54" s="63"/>
      <c r="G54" s="38"/>
      <c r="H54" s="60"/>
      <c r="I54" s="61"/>
    </row>
    <row r="55" spans="1:9" x14ac:dyDescent="0.2">
      <c r="A55" s="58"/>
      <c r="B55" s="58"/>
      <c r="C55" s="21"/>
      <c r="D55" s="21"/>
      <c r="E55" s="21"/>
      <c r="F55" s="59"/>
      <c r="G55" s="38"/>
      <c r="H55" s="60"/>
      <c r="I55" s="61"/>
    </row>
    <row r="56" spans="1:9" x14ac:dyDescent="0.2">
      <c r="A56" s="58"/>
      <c r="B56" s="62"/>
      <c r="C56" s="21"/>
      <c r="D56" s="21"/>
      <c r="E56" s="21"/>
      <c r="F56" s="63"/>
      <c r="G56" s="38"/>
      <c r="H56" s="60"/>
      <c r="I56" s="61"/>
    </row>
    <row r="57" spans="1:9" x14ac:dyDescent="0.2">
      <c r="A57" s="58"/>
      <c r="B57" s="58"/>
      <c r="C57" s="64"/>
      <c r="D57" s="64"/>
      <c r="E57" s="21"/>
      <c r="F57" s="59"/>
      <c r="G57" s="38"/>
      <c r="H57" s="60"/>
      <c r="I57" s="61"/>
    </row>
    <row r="58" spans="1:9" x14ac:dyDescent="0.2">
      <c r="A58" s="65"/>
      <c r="B58" s="62"/>
      <c r="C58" s="21"/>
      <c r="D58" s="21"/>
      <c r="E58" s="21"/>
      <c r="F58" s="63"/>
      <c r="G58" s="38"/>
      <c r="H58" s="60"/>
      <c r="I58" s="61"/>
    </row>
    <row r="59" spans="1:9" x14ac:dyDescent="0.2">
      <c r="A59" s="47"/>
      <c r="B59" s="48"/>
      <c r="C59" s="49"/>
      <c r="D59" s="49"/>
      <c r="E59" s="49"/>
      <c r="F59" s="49"/>
      <c r="G59" s="50"/>
      <c r="H59" s="51"/>
    </row>
    <row r="60" spans="1:9" x14ac:dyDescent="0.2">
      <c r="A60" s="52"/>
      <c r="B60" s="52"/>
      <c r="C60" s="52"/>
      <c r="D60" s="52"/>
      <c r="E60" s="52"/>
      <c r="F60" s="52"/>
      <c r="G60" s="52"/>
      <c r="H60" s="52"/>
    </row>
    <row r="61" spans="1:9" ht="12.75" customHeight="1" x14ac:dyDescent="0.2">
      <c r="A61" s="54" t="s">
        <v>235</v>
      </c>
      <c r="H61" s="194">
        <v>20</v>
      </c>
    </row>
    <row r="62" spans="1:9" ht="12.75" customHeight="1" x14ac:dyDescent="0.2">
      <c r="A62" s="54" t="s">
        <v>242</v>
      </c>
      <c r="H62" s="195"/>
    </row>
    <row r="67" ht="12.75" customHeight="1" x14ac:dyDescent="0.2"/>
    <row r="68" ht="12.75" customHeight="1" x14ac:dyDescent="0.2"/>
  </sheetData>
  <mergeCells count="6">
    <mergeCell ref="H61:H62"/>
    <mergeCell ref="A35:A36"/>
    <mergeCell ref="A7:A8"/>
    <mergeCell ref="G5:H5"/>
    <mergeCell ref="G33:H33"/>
    <mergeCell ref="C33:F33"/>
  </mergeCells>
  <phoneticPr fontId="0" type="noConversion"/>
  <hyperlinks>
    <hyperlink ref="A2" location="Innhold!A47" display="Tilbake til innholdsfortegnelsen" xr:uid="{00000000-0004-0000-0F00-000000000000}"/>
  </hyperlinks>
  <pageMargins left="0.78740157480314965" right="0.78740157480314965" top="0.98425196850393704" bottom="0.19685039370078741" header="3.937007874015748E-2" footer="3.937007874015748E-2"/>
  <pageSetup paperSize="9" scale="99" orientation="portrait" horizontalDpi="300" verticalDpi="300"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I68"/>
  <sheetViews>
    <sheetView showGridLines="0" showRowColHeaders="0" zoomScaleNormal="100" zoomScaleSheetLayoutView="70" workbookViewId="0"/>
  </sheetViews>
  <sheetFormatPr defaultColWidth="11.42578125" defaultRowHeight="12.75" x14ac:dyDescent="0.2"/>
  <cols>
    <col min="1" max="1" width="26.42578125" style="115" customWidth="1"/>
    <col min="2" max="2" width="8.140625" style="115" customWidth="1"/>
    <col min="3" max="4" width="10.42578125" style="115" customWidth="1"/>
    <col min="5" max="5" width="9.85546875" style="115" customWidth="1"/>
    <col min="6" max="6" width="1.5703125" style="115" customWidth="1"/>
    <col min="7" max="7" width="7.5703125" style="115" customWidth="1"/>
    <col min="8" max="8" width="8.85546875" style="115" customWidth="1"/>
    <col min="9" max="16384" width="11.42578125" style="115"/>
  </cols>
  <sheetData>
    <row r="1" spans="1:8" ht="5.25" customHeight="1" x14ac:dyDescent="0.2"/>
    <row r="2" spans="1:8" x14ac:dyDescent="0.2">
      <c r="A2" s="92" t="s">
        <v>0</v>
      </c>
      <c r="B2" s="116"/>
      <c r="C2" s="116"/>
      <c r="D2" s="116"/>
      <c r="E2" s="116"/>
      <c r="F2" s="116"/>
      <c r="G2" s="116"/>
    </row>
    <row r="3" spans="1:8" ht="6" customHeight="1" x14ac:dyDescent="0.2">
      <c r="A3" s="3"/>
      <c r="B3" s="116"/>
      <c r="C3" s="116"/>
      <c r="D3" s="116"/>
      <c r="E3" s="116"/>
      <c r="F3" s="116"/>
      <c r="G3" s="116"/>
    </row>
    <row r="4" spans="1:8" ht="16.5" thickBot="1" x14ac:dyDescent="0.3">
      <c r="A4" s="117" t="s">
        <v>215</v>
      </c>
      <c r="B4" s="118"/>
      <c r="C4" s="118"/>
      <c r="D4" s="118"/>
      <c r="E4" s="118"/>
      <c r="F4" s="118"/>
      <c r="G4" s="118"/>
      <c r="H4" s="119"/>
    </row>
    <row r="5" spans="1:8" x14ac:dyDescent="0.2">
      <c r="A5" s="120"/>
      <c r="B5" s="121"/>
      <c r="C5" s="122"/>
      <c r="D5" s="121"/>
      <c r="E5" s="123"/>
      <c r="F5" s="124"/>
      <c r="G5" s="208" t="s">
        <v>1</v>
      </c>
      <c r="H5" s="209"/>
    </row>
    <row r="6" spans="1:8" x14ac:dyDescent="0.2">
      <c r="A6" s="125"/>
      <c r="B6" s="126"/>
      <c r="C6" s="127" t="s">
        <v>236</v>
      </c>
      <c r="D6" s="128" t="s">
        <v>237</v>
      </c>
      <c r="E6" s="128" t="s">
        <v>238</v>
      </c>
      <c r="F6" s="129"/>
      <c r="G6" s="130" t="s">
        <v>239</v>
      </c>
      <c r="H6" s="131" t="s">
        <v>240</v>
      </c>
    </row>
    <row r="7" spans="1:8" ht="12.75" customHeight="1" x14ac:dyDescent="0.2">
      <c r="A7" s="210" t="s">
        <v>196</v>
      </c>
      <c r="B7" s="132" t="s">
        <v>3</v>
      </c>
      <c r="C7" s="20">
        <v>5464</v>
      </c>
      <c r="D7" s="20">
        <v>5769</v>
      </c>
      <c r="E7" s="79">
        <v>6375</v>
      </c>
      <c r="F7" s="22" t="s">
        <v>241</v>
      </c>
      <c r="G7" s="133">
        <v>16.672767203513914</v>
      </c>
      <c r="H7" s="134">
        <v>10.504420176807088</v>
      </c>
    </row>
    <row r="8" spans="1:8" ht="12.75" customHeight="1" x14ac:dyDescent="0.2">
      <c r="A8" s="211"/>
      <c r="B8" s="135" t="s">
        <v>241</v>
      </c>
      <c r="C8" s="26" t="s">
        <v>241</v>
      </c>
      <c r="D8" s="26" t="s">
        <v>241</v>
      </c>
      <c r="E8" s="26" t="s">
        <v>241</v>
      </c>
      <c r="F8" s="27"/>
      <c r="G8" s="136" t="s">
        <v>241</v>
      </c>
      <c r="H8" s="137" t="s">
        <v>241</v>
      </c>
    </row>
    <row r="9" spans="1:8" x14ac:dyDescent="0.2">
      <c r="A9" s="138" t="s">
        <v>197</v>
      </c>
      <c r="B9" s="139" t="s">
        <v>3</v>
      </c>
      <c r="C9" s="20">
        <v>1897</v>
      </c>
      <c r="D9" s="20">
        <v>1690</v>
      </c>
      <c r="E9" s="20">
        <v>2249</v>
      </c>
      <c r="F9" s="22" t="s">
        <v>241</v>
      </c>
      <c r="G9" s="140">
        <v>18.555614127569854</v>
      </c>
      <c r="H9" s="141">
        <v>33.076923076923066</v>
      </c>
    </row>
    <row r="10" spans="1:8" x14ac:dyDescent="0.2">
      <c r="A10" s="142"/>
      <c r="B10" s="135" t="s">
        <v>241</v>
      </c>
      <c r="C10" s="26" t="s">
        <v>241</v>
      </c>
      <c r="D10" s="26" t="s">
        <v>241</v>
      </c>
      <c r="E10" s="26" t="s">
        <v>241</v>
      </c>
      <c r="F10" s="27"/>
      <c r="G10" s="143" t="s">
        <v>241</v>
      </c>
      <c r="H10" s="137" t="s">
        <v>241</v>
      </c>
    </row>
    <row r="11" spans="1:8" x14ac:dyDescent="0.2">
      <c r="A11" s="138" t="s">
        <v>198</v>
      </c>
      <c r="B11" s="139" t="s">
        <v>3</v>
      </c>
      <c r="C11" s="20">
        <v>458</v>
      </c>
      <c r="D11" s="20">
        <v>492</v>
      </c>
      <c r="E11" s="20">
        <v>545</v>
      </c>
      <c r="F11" s="22" t="s">
        <v>241</v>
      </c>
      <c r="G11" s="144">
        <v>18.995633187772938</v>
      </c>
      <c r="H11" s="141">
        <v>10.77235772357723</v>
      </c>
    </row>
    <row r="12" spans="1:8" x14ac:dyDescent="0.2">
      <c r="A12" s="142"/>
      <c r="B12" s="135" t="s">
        <v>241</v>
      </c>
      <c r="C12" s="26" t="s">
        <v>241</v>
      </c>
      <c r="D12" s="26" t="s">
        <v>241</v>
      </c>
      <c r="E12" s="26" t="s">
        <v>241</v>
      </c>
      <c r="F12" s="27"/>
      <c r="G12" s="136" t="s">
        <v>241</v>
      </c>
      <c r="H12" s="137" t="s">
        <v>241</v>
      </c>
    </row>
    <row r="13" spans="1:8" x14ac:dyDescent="0.2">
      <c r="A13" s="138" t="s">
        <v>231</v>
      </c>
      <c r="B13" s="139" t="s">
        <v>3</v>
      </c>
      <c r="C13" s="20">
        <v>120</v>
      </c>
      <c r="D13" s="20">
        <v>128</v>
      </c>
      <c r="E13" s="20">
        <v>166</v>
      </c>
      <c r="F13" s="22" t="s">
        <v>241</v>
      </c>
      <c r="G13" s="133">
        <v>38.333333333333343</v>
      </c>
      <c r="H13" s="134">
        <v>29.6875</v>
      </c>
    </row>
    <row r="14" spans="1:8" x14ac:dyDescent="0.2">
      <c r="A14" s="142"/>
      <c r="B14" s="135" t="s">
        <v>241</v>
      </c>
      <c r="C14" s="26" t="s">
        <v>241</v>
      </c>
      <c r="D14" s="26" t="s">
        <v>241</v>
      </c>
      <c r="E14" s="26" t="s">
        <v>241</v>
      </c>
      <c r="F14" s="27"/>
      <c r="G14" s="145" t="s">
        <v>241</v>
      </c>
      <c r="H14" s="134" t="s">
        <v>241</v>
      </c>
    </row>
    <row r="15" spans="1:8" x14ac:dyDescent="0.2">
      <c r="A15" s="138" t="s">
        <v>199</v>
      </c>
      <c r="B15" s="139" t="s">
        <v>3</v>
      </c>
      <c r="C15" s="20">
        <v>2181</v>
      </c>
      <c r="D15" s="20">
        <v>2440</v>
      </c>
      <c r="E15" s="20">
        <v>2468</v>
      </c>
      <c r="F15" s="22" t="s">
        <v>241</v>
      </c>
      <c r="G15" s="144">
        <v>13.15910132966529</v>
      </c>
      <c r="H15" s="141">
        <v>1.1475409836065609</v>
      </c>
    </row>
    <row r="16" spans="1:8" x14ac:dyDescent="0.2">
      <c r="A16" s="142"/>
      <c r="B16" s="135" t="s">
        <v>241</v>
      </c>
      <c r="C16" s="26" t="s">
        <v>241</v>
      </c>
      <c r="D16" s="26" t="s">
        <v>241</v>
      </c>
      <c r="E16" s="26" t="s">
        <v>241</v>
      </c>
      <c r="F16" s="27"/>
      <c r="G16" s="136" t="s">
        <v>241</v>
      </c>
      <c r="H16" s="137" t="s">
        <v>241</v>
      </c>
    </row>
    <row r="17" spans="1:9" x14ac:dyDescent="0.2">
      <c r="A17" s="138" t="s">
        <v>200</v>
      </c>
      <c r="B17" s="139" t="s">
        <v>3</v>
      </c>
      <c r="C17" s="20">
        <v>541</v>
      </c>
      <c r="D17" s="20">
        <v>502</v>
      </c>
      <c r="E17" s="20">
        <v>478</v>
      </c>
      <c r="F17" s="22" t="s">
        <v>241</v>
      </c>
      <c r="G17" s="144">
        <v>-11.645101663585962</v>
      </c>
      <c r="H17" s="141">
        <v>-4.7808764940239001</v>
      </c>
    </row>
    <row r="18" spans="1:9" x14ac:dyDescent="0.2">
      <c r="A18" s="138"/>
      <c r="B18" s="135" t="s">
        <v>241</v>
      </c>
      <c r="C18" s="26" t="s">
        <v>241</v>
      </c>
      <c r="D18" s="26" t="s">
        <v>241</v>
      </c>
      <c r="E18" s="26" t="s">
        <v>241</v>
      </c>
      <c r="F18" s="27"/>
      <c r="G18" s="136" t="s">
        <v>241</v>
      </c>
      <c r="H18" s="137" t="s">
        <v>241</v>
      </c>
    </row>
    <row r="19" spans="1:9" x14ac:dyDescent="0.2">
      <c r="A19" s="146" t="s">
        <v>201</v>
      </c>
      <c r="B19" s="139" t="s">
        <v>3</v>
      </c>
      <c r="C19" s="20">
        <v>26</v>
      </c>
      <c r="D19" s="20">
        <v>31</v>
      </c>
      <c r="E19" s="20">
        <v>34</v>
      </c>
      <c r="F19" s="22" t="s">
        <v>241</v>
      </c>
      <c r="G19" s="133">
        <v>30.769230769230774</v>
      </c>
      <c r="H19" s="134">
        <v>9.6774193548387046</v>
      </c>
    </row>
    <row r="20" spans="1:9" x14ac:dyDescent="0.2">
      <c r="A20" s="142"/>
      <c r="B20" s="135" t="s">
        <v>241</v>
      </c>
      <c r="C20" s="26" t="s">
        <v>241</v>
      </c>
      <c r="D20" s="26" t="s">
        <v>241</v>
      </c>
      <c r="E20" s="26" t="s">
        <v>241</v>
      </c>
      <c r="F20" s="27"/>
      <c r="G20" s="145" t="s">
        <v>241</v>
      </c>
      <c r="H20" s="134" t="s">
        <v>241</v>
      </c>
    </row>
    <row r="21" spans="1:9" x14ac:dyDescent="0.2">
      <c r="A21" s="146" t="s">
        <v>202</v>
      </c>
      <c r="B21" s="139" t="s">
        <v>3</v>
      </c>
      <c r="C21" s="20">
        <v>84</v>
      </c>
      <c r="D21" s="20">
        <v>9</v>
      </c>
      <c r="E21" s="20">
        <v>17</v>
      </c>
      <c r="F21" s="22" t="s">
        <v>241</v>
      </c>
      <c r="G21" s="144">
        <v>-79.761904761904759</v>
      </c>
      <c r="H21" s="141">
        <v>88.888888888888886</v>
      </c>
    </row>
    <row r="22" spans="1:9" x14ac:dyDescent="0.2">
      <c r="A22" s="142"/>
      <c r="B22" s="135" t="s">
        <v>241</v>
      </c>
      <c r="C22" s="26" t="s">
        <v>241</v>
      </c>
      <c r="D22" s="26" t="s">
        <v>241</v>
      </c>
      <c r="E22" s="26" t="s">
        <v>241</v>
      </c>
      <c r="F22" s="27"/>
      <c r="G22" s="136" t="s">
        <v>241</v>
      </c>
      <c r="H22" s="137" t="s">
        <v>241</v>
      </c>
    </row>
    <row r="23" spans="1:9" x14ac:dyDescent="0.2">
      <c r="A23" s="146" t="s">
        <v>203</v>
      </c>
      <c r="B23" s="139" t="s">
        <v>3</v>
      </c>
      <c r="C23" s="20">
        <v>188</v>
      </c>
      <c r="D23" s="20">
        <v>213</v>
      </c>
      <c r="E23" s="20">
        <v>396</v>
      </c>
      <c r="F23" s="22" t="s">
        <v>241</v>
      </c>
      <c r="G23" s="144">
        <v>110.63829787234042</v>
      </c>
      <c r="H23" s="141">
        <v>85.915492957746466</v>
      </c>
    </row>
    <row r="24" spans="1:9" x14ac:dyDescent="0.2">
      <c r="A24" s="142"/>
      <c r="B24" s="135" t="s">
        <v>241</v>
      </c>
      <c r="C24" s="26" t="s">
        <v>241</v>
      </c>
      <c r="D24" s="26" t="s">
        <v>241</v>
      </c>
      <c r="E24" s="26" t="s">
        <v>241</v>
      </c>
      <c r="F24" s="27"/>
      <c r="G24" s="136" t="s">
        <v>241</v>
      </c>
      <c r="H24" s="137" t="s">
        <v>241</v>
      </c>
    </row>
    <row r="25" spans="1:9" x14ac:dyDescent="0.2">
      <c r="A25" s="138" t="s">
        <v>24</v>
      </c>
      <c r="B25" s="139" t="s">
        <v>3</v>
      </c>
      <c r="C25" s="20">
        <v>1392</v>
      </c>
      <c r="D25" s="20">
        <v>1588</v>
      </c>
      <c r="E25" s="20">
        <v>1581</v>
      </c>
      <c r="F25" s="22" t="s">
        <v>241</v>
      </c>
      <c r="G25" s="133">
        <v>13.577586206896555</v>
      </c>
      <c r="H25" s="134">
        <v>-0.44080604534005374</v>
      </c>
      <c r="I25" s="147"/>
    </row>
    <row r="26" spans="1:9" ht="13.5" thickBot="1" x14ac:dyDescent="0.25">
      <c r="A26" s="148"/>
      <c r="B26" s="149" t="s">
        <v>241</v>
      </c>
      <c r="C26" s="43" t="s">
        <v>241</v>
      </c>
      <c r="D26" s="43" t="s">
        <v>241</v>
      </c>
      <c r="E26" s="43" t="s">
        <v>241</v>
      </c>
      <c r="F26" s="44"/>
      <c r="G26" s="150" t="s">
        <v>241</v>
      </c>
      <c r="H26" s="151" t="s">
        <v>241</v>
      </c>
      <c r="I26" s="147"/>
    </row>
    <row r="27" spans="1:9" x14ac:dyDescent="0.2">
      <c r="A27" s="152"/>
      <c r="B27" s="152"/>
      <c r="C27" s="64"/>
      <c r="D27" s="64"/>
      <c r="E27" s="21"/>
      <c r="F27" s="59"/>
      <c r="G27" s="145"/>
      <c r="H27" s="153"/>
      <c r="I27" s="147"/>
    </row>
    <row r="28" spans="1:9" x14ac:dyDescent="0.2">
      <c r="A28" s="152"/>
      <c r="B28" s="152"/>
      <c r="C28" s="64"/>
      <c r="D28" s="64"/>
      <c r="E28" s="21"/>
      <c r="F28" s="59"/>
      <c r="G28" s="145"/>
      <c r="H28" s="153"/>
      <c r="I28" s="147"/>
    </row>
    <row r="29" spans="1:9" x14ac:dyDescent="0.2">
      <c r="A29" s="152"/>
      <c r="B29" s="152"/>
      <c r="C29" s="64"/>
      <c r="D29" s="64"/>
      <c r="E29" s="21"/>
      <c r="F29" s="59"/>
      <c r="G29" s="145"/>
      <c r="H29" s="153"/>
      <c r="I29" s="147"/>
    </row>
    <row r="30" spans="1:9" x14ac:dyDescent="0.2">
      <c r="A30" s="154"/>
      <c r="B30" s="155"/>
      <c r="C30" s="21"/>
      <c r="D30" s="21"/>
      <c r="E30" s="21"/>
      <c r="F30" s="63"/>
      <c r="G30" s="145"/>
      <c r="H30" s="153"/>
      <c r="I30" s="147"/>
    </row>
    <row r="31" spans="1:9" x14ac:dyDescent="0.2">
      <c r="A31" s="156"/>
      <c r="B31" s="157"/>
      <c r="C31" s="49"/>
      <c r="D31" s="55"/>
      <c r="E31" s="49"/>
      <c r="F31" s="49"/>
      <c r="G31" s="158"/>
      <c r="H31" s="159"/>
      <c r="I31" s="147"/>
    </row>
    <row r="32" spans="1:9" ht="16.5" thickBot="1" x14ac:dyDescent="0.3">
      <c r="A32" s="117" t="s">
        <v>216</v>
      </c>
      <c r="B32" s="118"/>
      <c r="C32" s="118"/>
      <c r="D32" s="118"/>
      <c r="E32" s="118"/>
      <c r="F32" s="118"/>
      <c r="G32" s="118"/>
      <c r="H32" s="119"/>
    </row>
    <row r="33" spans="1:8" x14ac:dyDescent="0.2">
      <c r="A33" s="120"/>
      <c r="B33" s="121"/>
      <c r="C33" s="212" t="s">
        <v>16</v>
      </c>
      <c r="D33" s="208"/>
      <c r="E33" s="208"/>
      <c r="F33" s="213"/>
      <c r="G33" s="208" t="s">
        <v>1</v>
      </c>
      <c r="H33" s="209"/>
    </row>
    <row r="34" spans="1:8" x14ac:dyDescent="0.2">
      <c r="A34" s="125"/>
      <c r="B34" s="126"/>
      <c r="C34" s="127" t="s">
        <v>236</v>
      </c>
      <c r="D34" s="128" t="s">
        <v>237</v>
      </c>
      <c r="E34" s="128" t="s">
        <v>238</v>
      </c>
      <c r="F34" s="129"/>
      <c r="G34" s="130" t="s">
        <v>239</v>
      </c>
      <c r="H34" s="131" t="s">
        <v>240</v>
      </c>
    </row>
    <row r="35" spans="1:8" ht="12.75" customHeight="1" x14ac:dyDescent="0.2">
      <c r="A35" s="210" t="s">
        <v>196</v>
      </c>
      <c r="B35" s="132" t="s">
        <v>3</v>
      </c>
      <c r="C35" s="80">
        <v>991.88485422989675</v>
      </c>
      <c r="D35" s="80">
        <v>1042.4939548825184</v>
      </c>
      <c r="E35" s="81">
        <v>1135.0357251820456</v>
      </c>
      <c r="F35" s="22" t="s">
        <v>241</v>
      </c>
      <c r="G35" s="133">
        <v>14.432206555194526</v>
      </c>
      <c r="H35" s="134">
        <v>8.8769598966121492</v>
      </c>
    </row>
    <row r="36" spans="1:8" ht="12.75" customHeight="1" x14ac:dyDescent="0.2">
      <c r="A36" s="211"/>
      <c r="B36" s="135" t="s">
        <v>241</v>
      </c>
      <c r="C36" s="82" t="s">
        <v>241</v>
      </c>
      <c r="D36" s="82" t="s">
        <v>241</v>
      </c>
      <c r="E36" s="82" t="s">
        <v>241</v>
      </c>
      <c r="F36" s="27"/>
      <c r="G36" s="136" t="s">
        <v>241</v>
      </c>
      <c r="H36" s="137" t="s">
        <v>241</v>
      </c>
    </row>
    <row r="37" spans="1:8" x14ac:dyDescent="0.2">
      <c r="A37" s="138" t="s">
        <v>197</v>
      </c>
      <c r="B37" s="139" t="s">
        <v>3</v>
      </c>
      <c r="C37" s="80">
        <v>499.91934977461625</v>
      </c>
      <c r="D37" s="80">
        <v>518.22745944305632</v>
      </c>
      <c r="E37" s="80">
        <v>554.71764030581437</v>
      </c>
      <c r="F37" s="22" t="s">
        <v>241</v>
      </c>
      <c r="G37" s="140">
        <v>10.961426189224994</v>
      </c>
      <c r="H37" s="141">
        <v>7.0413445289013481</v>
      </c>
    </row>
    <row r="38" spans="1:8" x14ac:dyDescent="0.2">
      <c r="A38" s="142"/>
      <c r="B38" s="135" t="s">
        <v>241</v>
      </c>
      <c r="C38" s="82" t="s">
        <v>241</v>
      </c>
      <c r="D38" s="82" t="s">
        <v>241</v>
      </c>
      <c r="E38" s="82" t="s">
        <v>241</v>
      </c>
      <c r="F38" s="27"/>
      <c r="G38" s="143" t="s">
        <v>241</v>
      </c>
      <c r="H38" s="137" t="s">
        <v>241</v>
      </c>
    </row>
    <row r="39" spans="1:8" x14ac:dyDescent="0.2">
      <c r="A39" s="138" t="s">
        <v>198</v>
      </c>
      <c r="B39" s="139" t="s">
        <v>3</v>
      </c>
      <c r="C39" s="80">
        <v>57.699737556827024</v>
      </c>
      <c r="D39" s="80">
        <v>61.751132220382033</v>
      </c>
      <c r="E39" s="80">
        <v>74.505171291976794</v>
      </c>
      <c r="F39" s="22" t="s">
        <v>241</v>
      </c>
      <c r="G39" s="144">
        <v>29.125667545018757</v>
      </c>
      <c r="H39" s="141">
        <v>20.653935584658115</v>
      </c>
    </row>
    <row r="40" spans="1:8" x14ac:dyDescent="0.2">
      <c r="A40" s="142"/>
      <c r="B40" s="135" t="s">
        <v>241</v>
      </c>
      <c r="C40" s="82" t="s">
        <v>241</v>
      </c>
      <c r="D40" s="82" t="s">
        <v>241</v>
      </c>
      <c r="E40" s="82" t="s">
        <v>241</v>
      </c>
      <c r="F40" s="27"/>
      <c r="G40" s="136" t="s">
        <v>241</v>
      </c>
      <c r="H40" s="137" t="s">
        <v>241</v>
      </c>
    </row>
    <row r="41" spans="1:8" x14ac:dyDescent="0.2">
      <c r="A41" s="138" t="s">
        <v>231</v>
      </c>
      <c r="B41" s="139" t="s">
        <v>3</v>
      </c>
      <c r="C41" s="80">
        <v>77.360013137417738</v>
      </c>
      <c r="D41" s="80">
        <v>90.457023977797775</v>
      </c>
      <c r="E41" s="80">
        <v>101.38107377481737</v>
      </c>
      <c r="F41" s="22" t="s">
        <v>241</v>
      </c>
      <c r="G41" s="133">
        <v>31.051003823810163</v>
      </c>
      <c r="H41" s="134">
        <v>12.076508066085438</v>
      </c>
    </row>
    <row r="42" spans="1:8" x14ac:dyDescent="0.2">
      <c r="A42" s="142"/>
      <c r="B42" s="135" t="s">
        <v>241</v>
      </c>
      <c r="C42" s="82" t="s">
        <v>241</v>
      </c>
      <c r="D42" s="82" t="s">
        <v>241</v>
      </c>
      <c r="E42" s="82" t="s">
        <v>241</v>
      </c>
      <c r="F42" s="27"/>
      <c r="G42" s="145" t="s">
        <v>241</v>
      </c>
      <c r="H42" s="134" t="s">
        <v>241</v>
      </c>
    </row>
    <row r="43" spans="1:8" x14ac:dyDescent="0.2">
      <c r="A43" s="138" t="s">
        <v>199</v>
      </c>
      <c r="B43" s="139" t="s">
        <v>3</v>
      </c>
      <c r="C43" s="80">
        <v>41.184975390590722</v>
      </c>
      <c r="D43" s="80">
        <v>41.031011127415731</v>
      </c>
      <c r="E43" s="80">
        <v>38.818838122840567</v>
      </c>
      <c r="F43" s="22" t="s">
        <v>241</v>
      </c>
      <c r="G43" s="144">
        <v>-5.7451467320549341</v>
      </c>
      <c r="H43" s="141">
        <v>-5.3914659760774271</v>
      </c>
    </row>
    <row r="44" spans="1:8" x14ac:dyDescent="0.2">
      <c r="A44" s="142"/>
      <c r="B44" s="135" t="s">
        <v>241</v>
      </c>
      <c r="C44" s="82" t="s">
        <v>241</v>
      </c>
      <c r="D44" s="82" t="s">
        <v>241</v>
      </c>
      <c r="E44" s="82" t="s">
        <v>241</v>
      </c>
      <c r="F44" s="27"/>
      <c r="G44" s="136" t="s">
        <v>241</v>
      </c>
      <c r="H44" s="137" t="s">
        <v>241</v>
      </c>
    </row>
    <row r="45" spans="1:8" x14ac:dyDescent="0.2">
      <c r="A45" s="138" t="s">
        <v>200</v>
      </c>
      <c r="B45" s="139" t="s">
        <v>3</v>
      </c>
      <c r="C45" s="80">
        <v>17.769426878118146</v>
      </c>
      <c r="D45" s="80">
        <v>18.10926248148315</v>
      </c>
      <c r="E45" s="80">
        <v>16.811149084568115</v>
      </c>
      <c r="F45" s="22" t="s">
        <v>241</v>
      </c>
      <c r="G45" s="144">
        <v>-5.392845813896713</v>
      </c>
      <c r="H45" s="141">
        <v>-7.1682289559962271</v>
      </c>
    </row>
    <row r="46" spans="1:8" x14ac:dyDescent="0.2">
      <c r="A46" s="138"/>
      <c r="B46" s="135" t="s">
        <v>241</v>
      </c>
      <c r="C46" s="82" t="s">
        <v>241</v>
      </c>
      <c r="D46" s="82" t="s">
        <v>241</v>
      </c>
      <c r="E46" s="82" t="s">
        <v>241</v>
      </c>
      <c r="F46" s="27"/>
      <c r="G46" s="136" t="s">
        <v>241</v>
      </c>
      <c r="H46" s="137" t="s">
        <v>241</v>
      </c>
    </row>
    <row r="47" spans="1:8" x14ac:dyDescent="0.2">
      <c r="A47" s="146" t="s">
        <v>201</v>
      </c>
      <c r="B47" s="139" t="s">
        <v>3</v>
      </c>
      <c r="C47" s="80">
        <v>7.2138101781181447</v>
      </c>
      <c r="D47" s="80">
        <v>7.8396207614831468</v>
      </c>
      <c r="E47" s="80">
        <v>7.9401496045681128</v>
      </c>
      <c r="F47" s="22" t="s">
        <v>241</v>
      </c>
      <c r="G47" s="133">
        <v>10.068734947492715</v>
      </c>
      <c r="H47" s="134">
        <v>1.2823176801979344</v>
      </c>
    </row>
    <row r="48" spans="1:8" x14ac:dyDescent="0.2">
      <c r="A48" s="142"/>
      <c r="B48" s="135" t="s">
        <v>241</v>
      </c>
      <c r="C48" s="82" t="s">
        <v>241</v>
      </c>
      <c r="D48" s="82" t="s">
        <v>241</v>
      </c>
      <c r="E48" s="82" t="s">
        <v>241</v>
      </c>
      <c r="F48" s="27"/>
      <c r="G48" s="145" t="s">
        <v>241</v>
      </c>
      <c r="H48" s="134" t="s">
        <v>241</v>
      </c>
    </row>
    <row r="49" spans="1:9" x14ac:dyDescent="0.2">
      <c r="A49" s="146" t="s">
        <v>202</v>
      </c>
      <c r="B49" s="139" t="s">
        <v>3</v>
      </c>
      <c r="C49" s="80">
        <v>19.561452178118145</v>
      </c>
      <c r="D49" s="80">
        <v>5.8936577614831469</v>
      </c>
      <c r="E49" s="80">
        <v>6.4212137045681139</v>
      </c>
      <c r="F49" s="22" t="s">
        <v>241</v>
      </c>
      <c r="G49" s="144">
        <v>-67.174146141608958</v>
      </c>
      <c r="H49" s="141">
        <v>8.9512483492459722</v>
      </c>
    </row>
    <row r="50" spans="1:9" x14ac:dyDescent="0.2">
      <c r="A50" s="142"/>
      <c r="B50" s="135" t="s">
        <v>241</v>
      </c>
      <c r="C50" s="82" t="s">
        <v>241</v>
      </c>
      <c r="D50" s="82" t="s">
        <v>241</v>
      </c>
      <c r="E50" s="82" t="s">
        <v>241</v>
      </c>
      <c r="F50" s="27"/>
      <c r="G50" s="136" t="s">
        <v>241</v>
      </c>
      <c r="H50" s="137" t="s">
        <v>241</v>
      </c>
    </row>
    <row r="51" spans="1:9" x14ac:dyDescent="0.2">
      <c r="A51" s="146" t="s">
        <v>203</v>
      </c>
      <c r="B51" s="139" t="s">
        <v>3</v>
      </c>
      <c r="C51" s="80">
        <v>59.653928890590727</v>
      </c>
      <c r="D51" s="80">
        <v>69.598649807415725</v>
      </c>
      <c r="E51" s="80">
        <v>118.30875302284059</v>
      </c>
      <c r="F51" s="22" t="s">
        <v>241</v>
      </c>
      <c r="G51" s="144">
        <v>98.325165203832114</v>
      </c>
      <c r="H51" s="141">
        <v>69.987138184733595</v>
      </c>
    </row>
    <row r="52" spans="1:9" x14ac:dyDescent="0.2">
      <c r="A52" s="142"/>
      <c r="B52" s="135" t="s">
        <v>241</v>
      </c>
      <c r="C52" s="82" t="s">
        <v>241</v>
      </c>
      <c r="D52" s="82" t="s">
        <v>241</v>
      </c>
      <c r="E52" s="82" t="s">
        <v>241</v>
      </c>
      <c r="F52" s="27"/>
      <c r="G52" s="136" t="s">
        <v>241</v>
      </c>
      <c r="H52" s="137" t="s">
        <v>241</v>
      </c>
    </row>
    <row r="53" spans="1:9" x14ac:dyDescent="0.2">
      <c r="A53" s="138" t="s">
        <v>24</v>
      </c>
      <c r="B53" s="139" t="s">
        <v>3</v>
      </c>
      <c r="C53" s="80">
        <v>211.52216024550012</v>
      </c>
      <c r="D53" s="80">
        <v>229.5861373020013</v>
      </c>
      <c r="E53" s="80">
        <v>216.13173627005128</v>
      </c>
      <c r="F53" s="22" t="s">
        <v>241</v>
      </c>
      <c r="G53" s="133">
        <v>2.1792402362008403</v>
      </c>
      <c r="H53" s="134">
        <v>-5.8602845929899985</v>
      </c>
      <c r="I53" s="147"/>
    </row>
    <row r="54" spans="1:9" ht="13.5" thickBot="1" x14ac:dyDescent="0.25">
      <c r="A54" s="148"/>
      <c r="B54" s="149" t="s">
        <v>241</v>
      </c>
      <c r="C54" s="86" t="s">
        <v>241</v>
      </c>
      <c r="D54" s="86" t="s">
        <v>241</v>
      </c>
      <c r="E54" s="86" t="s">
        <v>241</v>
      </c>
      <c r="F54" s="44"/>
      <c r="G54" s="150" t="s">
        <v>241</v>
      </c>
      <c r="H54" s="151" t="s">
        <v>241</v>
      </c>
      <c r="I54" s="147"/>
    </row>
    <row r="55" spans="1:9" x14ac:dyDescent="0.2">
      <c r="A55" s="154"/>
      <c r="B55" s="155"/>
      <c r="C55" s="21"/>
      <c r="D55" s="21"/>
      <c r="E55" s="21"/>
      <c r="F55" s="63"/>
      <c r="G55" s="145"/>
      <c r="H55" s="153"/>
      <c r="I55" s="147"/>
    </row>
    <row r="56" spans="1:9" x14ac:dyDescent="0.2">
      <c r="A56" s="154"/>
      <c r="B56" s="155"/>
      <c r="C56" s="21"/>
      <c r="D56" s="21"/>
      <c r="E56" s="21"/>
      <c r="F56" s="63"/>
      <c r="G56" s="145"/>
      <c r="H56" s="153"/>
      <c r="I56" s="147"/>
    </row>
    <row r="57" spans="1:9" x14ac:dyDescent="0.2">
      <c r="A57" s="154"/>
      <c r="B57" s="155"/>
      <c r="C57" s="21"/>
      <c r="D57" s="21"/>
      <c r="E57" s="21"/>
      <c r="F57" s="63"/>
      <c r="G57" s="145"/>
      <c r="H57" s="153"/>
      <c r="I57" s="147"/>
    </row>
    <row r="58" spans="1:9" x14ac:dyDescent="0.2">
      <c r="A58" s="154"/>
      <c r="B58" s="155"/>
      <c r="C58" s="21"/>
      <c r="D58" s="21"/>
      <c r="E58" s="21"/>
      <c r="F58" s="63"/>
      <c r="G58" s="145"/>
      <c r="H58" s="153"/>
      <c r="I58" s="147"/>
    </row>
    <row r="59" spans="1:9" x14ac:dyDescent="0.2">
      <c r="A59" s="156"/>
      <c r="B59" s="157"/>
      <c r="C59" s="49"/>
      <c r="D59" s="49"/>
      <c r="E59" s="49"/>
      <c r="F59" s="49"/>
      <c r="G59" s="158"/>
      <c r="H59" s="159"/>
      <c r="I59" s="147"/>
    </row>
    <row r="60" spans="1:9" x14ac:dyDescent="0.2">
      <c r="A60" s="160"/>
      <c r="B60" s="160"/>
      <c r="C60" s="160"/>
      <c r="D60" s="160"/>
      <c r="E60" s="160"/>
      <c r="F60" s="160"/>
      <c r="G60" s="160"/>
      <c r="H60" s="160"/>
    </row>
    <row r="61" spans="1:9" ht="12.75" customHeight="1" x14ac:dyDescent="0.2">
      <c r="A61" s="161" t="s">
        <v>235</v>
      </c>
      <c r="G61" s="162"/>
      <c r="H61" s="206">
        <v>21</v>
      </c>
    </row>
    <row r="62" spans="1:9" ht="12.75" customHeight="1" x14ac:dyDescent="0.2">
      <c r="A62" s="161" t="s">
        <v>242</v>
      </c>
      <c r="G62" s="162"/>
      <c r="H62" s="207"/>
    </row>
    <row r="67" ht="12.75" customHeight="1" x14ac:dyDescent="0.2"/>
    <row r="68" ht="12.75" customHeight="1" x14ac:dyDescent="0.2"/>
  </sheetData>
  <mergeCells count="6">
    <mergeCell ref="H61:H62"/>
    <mergeCell ref="G5:H5"/>
    <mergeCell ref="A7:A8"/>
    <mergeCell ref="C33:F33"/>
    <mergeCell ref="G33:H33"/>
    <mergeCell ref="A35:A36"/>
  </mergeCells>
  <hyperlinks>
    <hyperlink ref="A2" location="Innhold!A66" display="Tilbake til innholdsfortegnelsen" xr:uid="{00000000-0004-0000-1000-000000000000}"/>
  </hyperlinks>
  <pageMargins left="0.78740157480314965" right="0.78740157480314965" top="0.98425196850393704" bottom="0.19685039370078741" header="3.937007874015748E-2" footer="3.937007874015748E-2"/>
  <pageSetup paperSize="9" scale="99" orientation="portrait" horizontalDpi="300" verticalDpi="30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I68"/>
  <sheetViews>
    <sheetView showGridLines="0" showRowColHeaders="0" zoomScaleNormal="100" zoomScaleSheetLayoutView="70" workbookViewId="0"/>
  </sheetViews>
  <sheetFormatPr defaultColWidth="11.42578125" defaultRowHeight="12.75" x14ac:dyDescent="0.2"/>
  <cols>
    <col min="1" max="1" width="26.42578125" style="115" customWidth="1"/>
    <col min="2" max="2" width="8.140625" style="115" customWidth="1"/>
    <col min="3" max="4" width="10.42578125" style="115" customWidth="1"/>
    <col min="5" max="5" width="9.85546875" style="115" customWidth="1"/>
    <col min="6" max="6" width="1.5703125" style="115" customWidth="1"/>
    <col min="7" max="7" width="7.5703125" style="115" customWidth="1"/>
    <col min="8" max="8" width="8.85546875" style="115" customWidth="1"/>
    <col min="9" max="16384" width="11.42578125" style="115"/>
  </cols>
  <sheetData>
    <row r="1" spans="1:8" ht="5.25" customHeight="1" x14ac:dyDescent="0.2"/>
    <row r="2" spans="1:8" x14ac:dyDescent="0.2">
      <c r="A2" s="92" t="s">
        <v>0</v>
      </c>
      <c r="B2" s="116"/>
      <c r="C2" s="116"/>
      <c r="D2" s="116"/>
      <c r="E2" s="116"/>
      <c r="F2" s="116"/>
      <c r="G2" s="116"/>
    </row>
    <row r="3" spans="1:8" ht="6" customHeight="1" x14ac:dyDescent="0.2">
      <c r="A3" s="3"/>
      <c r="B3" s="116"/>
      <c r="C3" s="116"/>
      <c r="D3" s="116"/>
      <c r="E3" s="116"/>
      <c r="F3" s="116"/>
      <c r="G3" s="116"/>
    </row>
    <row r="4" spans="1:8" ht="16.5" thickBot="1" x14ac:dyDescent="0.3">
      <c r="A4" s="117" t="s">
        <v>217</v>
      </c>
      <c r="B4" s="118"/>
      <c r="C4" s="118"/>
      <c r="D4" s="118"/>
      <c r="E4" s="118"/>
      <c r="F4" s="118"/>
      <c r="G4" s="118"/>
      <c r="H4" s="119"/>
    </row>
    <row r="5" spans="1:8" x14ac:dyDescent="0.2">
      <c r="A5" s="120"/>
      <c r="B5" s="121"/>
      <c r="C5" s="122"/>
      <c r="D5" s="121"/>
      <c r="E5" s="123"/>
      <c r="F5" s="124"/>
      <c r="G5" s="208" t="s">
        <v>1</v>
      </c>
      <c r="H5" s="209"/>
    </row>
    <row r="6" spans="1:8" x14ac:dyDescent="0.2">
      <c r="A6" s="125"/>
      <c r="B6" s="126"/>
      <c r="C6" s="127" t="s">
        <v>236</v>
      </c>
      <c r="D6" s="128" t="s">
        <v>237</v>
      </c>
      <c r="E6" s="128" t="s">
        <v>238</v>
      </c>
      <c r="F6" s="129"/>
      <c r="G6" s="130" t="s">
        <v>239</v>
      </c>
      <c r="H6" s="131" t="s">
        <v>240</v>
      </c>
    </row>
    <row r="7" spans="1:8" ht="12.75" customHeight="1" x14ac:dyDescent="0.2">
      <c r="A7" s="210" t="s">
        <v>204</v>
      </c>
      <c r="B7" s="132" t="s">
        <v>3</v>
      </c>
      <c r="C7" s="20">
        <v>978</v>
      </c>
      <c r="D7" s="20">
        <v>1154</v>
      </c>
      <c r="E7" s="79">
        <v>1628</v>
      </c>
      <c r="F7" s="22" t="s">
        <v>241</v>
      </c>
      <c r="G7" s="133">
        <v>66.462167689161561</v>
      </c>
      <c r="H7" s="134">
        <v>41.074523396880437</v>
      </c>
    </row>
    <row r="8" spans="1:8" ht="12.75" customHeight="1" x14ac:dyDescent="0.2">
      <c r="A8" s="211"/>
      <c r="B8" s="135" t="s">
        <v>241</v>
      </c>
      <c r="C8" s="26" t="s">
        <v>241</v>
      </c>
      <c r="D8" s="26" t="s">
        <v>241</v>
      </c>
      <c r="E8" s="26" t="s">
        <v>241</v>
      </c>
      <c r="F8" s="27"/>
      <c r="G8" s="136" t="s">
        <v>241</v>
      </c>
      <c r="H8" s="137" t="s">
        <v>241</v>
      </c>
    </row>
    <row r="9" spans="1:8" x14ac:dyDescent="0.2">
      <c r="A9" s="138" t="s">
        <v>205</v>
      </c>
      <c r="B9" s="139" t="s">
        <v>3</v>
      </c>
      <c r="C9" s="20">
        <v>355</v>
      </c>
      <c r="D9" s="20">
        <v>395</v>
      </c>
      <c r="E9" s="20">
        <v>545</v>
      </c>
      <c r="F9" s="22" t="s">
        <v>241</v>
      </c>
      <c r="G9" s="140">
        <v>53.521126760563362</v>
      </c>
      <c r="H9" s="141">
        <v>37.974683544303787</v>
      </c>
    </row>
    <row r="10" spans="1:8" x14ac:dyDescent="0.2">
      <c r="A10" s="142"/>
      <c r="B10" s="135" t="s">
        <v>241</v>
      </c>
      <c r="C10" s="26" t="s">
        <v>241</v>
      </c>
      <c r="D10" s="26" t="s">
        <v>241</v>
      </c>
      <c r="E10" s="26" t="s">
        <v>241</v>
      </c>
      <c r="F10" s="27"/>
      <c r="G10" s="143" t="s">
        <v>241</v>
      </c>
      <c r="H10" s="137" t="s">
        <v>241</v>
      </c>
    </row>
    <row r="11" spans="1:8" x14ac:dyDescent="0.2">
      <c r="A11" s="138" t="s">
        <v>206</v>
      </c>
      <c r="B11" s="139" t="s">
        <v>3</v>
      </c>
      <c r="C11" s="20">
        <v>98</v>
      </c>
      <c r="D11" s="20">
        <v>114</v>
      </c>
      <c r="E11" s="20">
        <v>145</v>
      </c>
      <c r="F11" s="22" t="s">
        <v>241</v>
      </c>
      <c r="G11" s="144">
        <v>47.959183673469397</v>
      </c>
      <c r="H11" s="141">
        <v>27.192982456140342</v>
      </c>
    </row>
    <row r="12" spans="1:8" x14ac:dyDescent="0.2">
      <c r="A12" s="142"/>
      <c r="B12" s="135" t="s">
        <v>241</v>
      </c>
      <c r="C12" s="26" t="s">
        <v>241</v>
      </c>
      <c r="D12" s="26" t="s">
        <v>241</v>
      </c>
      <c r="E12" s="26" t="s">
        <v>241</v>
      </c>
      <c r="F12" s="27"/>
      <c r="G12" s="136" t="s">
        <v>241</v>
      </c>
      <c r="H12" s="137" t="s">
        <v>241</v>
      </c>
    </row>
    <row r="13" spans="1:8" x14ac:dyDescent="0.2">
      <c r="A13" s="138" t="s">
        <v>207</v>
      </c>
      <c r="B13" s="139" t="s">
        <v>3</v>
      </c>
      <c r="C13" s="20">
        <v>51</v>
      </c>
      <c r="D13" s="20">
        <v>74</v>
      </c>
      <c r="E13" s="20">
        <v>61</v>
      </c>
      <c r="F13" s="22" t="s">
        <v>241</v>
      </c>
      <c r="G13" s="133">
        <v>19.607843137254903</v>
      </c>
      <c r="H13" s="134">
        <v>-17.567567567567565</v>
      </c>
    </row>
    <row r="14" spans="1:8" x14ac:dyDescent="0.2">
      <c r="A14" s="142"/>
      <c r="B14" s="135" t="s">
        <v>241</v>
      </c>
      <c r="C14" s="26" t="s">
        <v>241</v>
      </c>
      <c r="D14" s="26" t="s">
        <v>241</v>
      </c>
      <c r="E14" s="26" t="s">
        <v>241</v>
      </c>
      <c r="F14" s="27"/>
      <c r="G14" s="145" t="s">
        <v>241</v>
      </c>
      <c r="H14" s="134" t="s">
        <v>241</v>
      </c>
    </row>
    <row r="15" spans="1:8" x14ac:dyDescent="0.2">
      <c r="A15" s="138" t="s">
        <v>208</v>
      </c>
      <c r="B15" s="139" t="s">
        <v>3</v>
      </c>
      <c r="C15" s="20">
        <v>4</v>
      </c>
      <c r="D15" s="20">
        <v>7</v>
      </c>
      <c r="E15" s="20">
        <v>10</v>
      </c>
      <c r="F15" s="22" t="s">
        <v>241</v>
      </c>
      <c r="G15" s="144">
        <v>150</v>
      </c>
      <c r="H15" s="141">
        <v>42.857142857142861</v>
      </c>
    </row>
    <row r="16" spans="1:8" x14ac:dyDescent="0.2">
      <c r="A16" s="142"/>
      <c r="B16" s="135" t="s">
        <v>241</v>
      </c>
      <c r="C16" s="26" t="s">
        <v>241</v>
      </c>
      <c r="D16" s="26" t="s">
        <v>241</v>
      </c>
      <c r="E16" s="26" t="s">
        <v>241</v>
      </c>
      <c r="F16" s="27"/>
      <c r="G16" s="136" t="s">
        <v>241</v>
      </c>
      <c r="H16" s="137" t="s">
        <v>241</v>
      </c>
    </row>
    <row r="17" spans="1:9" x14ac:dyDescent="0.2">
      <c r="A17" s="138" t="s">
        <v>209</v>
      </c>
      <c r="B17" s="139" t="s">
        <v>3</v>
      </c>
      <c r="C17" s="20">
        <v>49</v>
      </c>
      <c r="D17" s="20">
        <v>46</v>
      </c>
      <c r="E17" s="20">
        <v>69</v>
      </c>
      <c r="F17" s="22" t="s">
        <v>241</v>
      </c>
      <c r="G17" s="144">
        <v>40.816326530612258</v>
      </c>
      <c r="H17" s="141">
        <v>50</v>
      </c>
    </row>
    <row r="18" spans="1:9" x14ac:dyDescent="0.2">
      <c r="A18" s="142"/>
      <c r="B18" s="135" t="s">
        <v>241</v>
      </c>
      <c r="C18" s="26" t="s">
        <v>241</v>
      </c>
      <c r="D18" s="26" t="s">
        <v>241</v>
      </c>
      <c r="E18" s="26" t="s">
        <v>241</v>
      </c>
      <c r="F18" s="27"/>
      <c r="G18" s="136" t="s">
        <v>241</v>
      </c>
      <c r="H18" s="137" t="s">
        <v>241</v>
      </c>
    </row>
    <row r="19" spans="1:9" x14ac:dyDescent="0.2">
      <c r="A19" s="138" t="s">
        <v>210</v>
      </c>
      <c r="B19" s="139" t="s">
        <v>3</v>
      </c>
      <c r="C19" s="20">
        <v>441</v>
      </c>
      <c r="D19" s="20">
        <v>546</v>
      </c>
      <c r="E19" s="20">
        <v>809</v>
      </c>
      <c r="F19" s="22" t="s">
        <v>241</v>
      </c>
      <c r="G19" s="133">
        <v>83.446712018140573</v>
      </c>
      <c r="H19" s="134">
        <v>48.168498168498161</v>
      </c>
    </row>
    <row r="20" spans="1:9" ht="13.5" thickBot="1" x14ac:dyDescent="0.25">
      <c r="A20" s="148"/>
      <c r="B20" s="149" t="s">
        <v>241</v>
      </c>
      <c r="C20" s="43" t="s">
        <v>241</v>
      </c>
      <c r="D20" s="43" t="s">
        <v>241</v>
      </c>
      <c r="E20" s="43" t="s">
        <v>241</v>
      </c>
      <c r="F20" s="44"/>
      <c r="G20" s="150" t="s">
        <v>241</v>
      </c>
      <c r="H20" s="151" t="s">
        <v>241</v>
      </c>
    </row>
    <row r="25" spans="1:9" x14ac:dyDescent="0.2">
      <c r="I25" s="147"/>
    </row>
    <row r="26" spans="1:9" x14ac:dyDescent="0.2">
      <c r="I26" s="147"/>
    </row>
    <row r="27" spans="1:9" x14ac:dyDescent="0.2">
      <c r="A27" s="152"/>
      <c r="B27" s="152"/>
      <c r="C27" s="64"/>
      <c r="D27" s="64"/>
      <c r="E27" s="21"/>
      <c r="F27" s="59"/>
      <c r="G27" s="145"/>
      <c r="H27" s="153"/>
      <c r="I27" s="147"/>
    </row>
    <row r="28" spans="1:9" x14ac:dyDescent="0.2">
      <c r="A28" s="152"/>
      <c r="B28" s="152"/>
      <c r="C28" s="64"/>
      <c r="D28" s="64"/>
      <c r="E28" s="21"/>
      <c r="F28" s="59"/>
      <c r="G28" s="145"/>
      <c r="H28" s="153"/>
      <c r="I28" s="147"/>
    </row>
    <row r="29" spans="1:9" x14ac:dyDescent="0.2">
      <c r="A29" s="152"/>
      <c r="B29" s="152"/>
      <c r="C29" s="64"/>
      <c r="D29" s="64"/>
      <c r="E29" s="21"/>
      <c r="F29" s="59"/>
      <c r="G29" s="145"/>
      <c r="H29" s="153"/>
      <c r="I29" s="147"/>
    </row>
    <row r="30" spans="1:9" x14ac:dyDescent="0.2">
      <c r="A30" s="154"/>
      <c r="B30" s="155"/>
      <c r="C30" s="21"/>
      <c r="D30" s="21"/>
      <c r="E30" s="21"/>
      <c r="F30" s="63"/>
      <c r="G30" s="145"/>
      <c r="H30" s="153"/>
      <c r="I30" s="147"/>
    </row>
    <row r="31" spans="1:9" x14ac:dyDescent="0.2">
      <c r="A31" s="156"/>
      <c r="B31" s="157"/>
      <c r="C31" s="49"/>
      <c r="D31" s="55"/>
      <c r="E31" s="49"/>
      <c r="F31" s="49"/>
      <c r="G31" s="158"/>
      <c r="H31" s="159"/>
      <c r="I31" s="147"/>
    </row>
    <row r="32" spans="1:9" ht="16.5" thickBot="1" x14ac:dyDescent="0.3">
      <c r="A32" s="117" t="s">
        <v>218</v>
      </c>
      <c r="B32" s="118"/>
      <c r="C32" s="118"/>
      <c r="D32" s="118"/>
      <c r="E32" s="118"/>
      <c r="F32" s="118"/>
      <c r="G32" s="118"/>
      <c r="H32" s="119"/>
    </row>
    <row r="33" spans="1:8" x14ac:dyDescent="0.2">
      <c r="A33" s="120"/>
      <c r="B33" s="121"/>
      <c r="C33" s="212" t="s">
        <v>16</v>
      </c>
      <c r="D33" s="208"/>
      <c r="E33" s="208"/>
      <c r="F33" s="213"/>
      <c r="G33" s="208" t="s">
        <v>1</v>
      </c>
      <c r="H33" s="209"/>
    </row>
    <row r="34" spans="1:8" x14ac:dyDescent="0.2">
      <c r="A34" s="125"/>
      <c r="B34" s="126"/>
      <c r="C34" s="127" t="s">
        <v>236</v>
      </c>
      <c r="D34" s="128" t="s">
        <v>237</v>
      </c>
      <c r="E34" s="128" t="s">
        <v>238</v>
      </c>
      <c r="F34" s="129"/>
      <c r="G34" s="130" t="s">
        <v>239</v>
      </c>
      <c r="H34" s="131" t="s">
        <v>240</v>
      </c>
    </row>
    <row r="35" spans="1:8" ht="12.75" customHeight="1" x14ac:dyDescent="0.2">
      <c r="A35" s="210" t="s">
        <v>204</v>
      </c>
      <c r="B35" s="132" t="s">
        <v>3</v>
      </c>
      <c r="C35" s="80">
        <v>415.12542028118133</v>
      </c>
      <c r="D35" s="80">
        <v>442.39533603703228</v>
      </c>
      <c r="E35" s="81">
        <v>454.12308686202277</v>
      </c>
      <c r="F35" s="22" t="s">
        <v>241</v>
      </c>
      <c r="G35" s="133">
        <v>9.3941890030311015</v>
      </c>
      <c r="H35" s="134">
        <v>2.650966199157395</v>
      </c>
    </row>
    <row r="36" spans="1:8" ht="12.75" customHeight="1" x14ac:dyDescent="0.2">
      <c r="A36" s="211"/>
      <c r="B36" s="135" t="s">
        <v>241</v>
      </c>
      <c r="C36" s="82" t="s">
        <v>241</v>
      </c>
      <c r="D36" s="82" t="s">
        <v>241</v>
      </c>
      <c r="E36" s="82" t="s">
        <v>241</v>
      </c>
      <c r="F36" s="27"/>
      <c r="G36" s="136" t="s">
        <v>241</v>
      </c>
      <c r="H36" s="137" t="s">
        <v>241</v>
      </c>
    </row>
    <row r="37" spans="1:8" x14ac:dyDescent="0.2">
      <c r="A37" s="138" t="s">
        <v>205</v>
      </c>
      <c r="B37" s="139" t="s">
        <v>3</v>
      </c>
      <c r="C37" s="80">
        <v>207.30359711746149</v>
      </c>
      <c r="D37" s="80">
        <v>232.1911615007381</v>
      </c>
      <c r="E37" s="80">
        <v>231.35037240273275</v>
      </c>
      <c r="F37" s="22" t="s">
        <v>241</v>
      </c>
      <c r="G37" s="140">
        <v>11.599786795617433</v>
      </c>
      <c r="H37" s="141">
        <v>-0.36211072487472507</v>
      </c>
    </row>
    <row r="38" spans="1:8" x14ac:dyDescent="0.2">
      <c r="A38" s="142"/>
      <c r="B38" s="135" t="s">
        <v>241</v>
      </c>
      <c r="C38" s="82" t="s">
        <v>241</v>
      </c>
      <c r="D38" s="82" t="s">
        <v>241</v>
      </c>
      <c r="E38" s="82" t="s">
        <v>241</v>
      </c>
      <c r="F38" s="27"/>
      <c r="G38" s="143" t="s">
        <v>241</v>
      </c>
      <c r="H38" s="137" t="s">
        <v>241</v>
      </c>
    </row>
    <row r="39" spans="1:8" x14ac:dyDescent="0.2">
      <c r="A39" s="138" t="s">
        <v>206</v>
      </c>
      <c r="B39" s="139" t="s">
        <v>3</v>
      </c>
      <c r="C39" s="80">
        <v>50.908147267800821</v>
      </c>
      <c r="D39" s="80">
        <v>61.2755973662955</v>
      </c>
      <c r="E39" s="80">
        <v>51.983363836543859</v>
      </c>
      <c r="F39" s="22" t="s">
        <v>241</v>
      </c>
      <c r="G39" s="144">
        <v>2.1120716947071259</v>
      </c>
      <c r="H39" s="141">
        <v>-15.164655962803891</v>
      </c>
    </row>
    <row r="40" spans="1:8" x14ac:dyDescent="0.2">
      <c r="A40" s="142"/>
      <c r="B40" s="135" t="s">
        <v>241</v>
      </c>
      <c r="C40" s="82" t="s">
        <v>241</v>
      </c>
      <c r="D40" s="82" t="s">
        <v>241</v>
      </c>
      <c r="E40" s="82" t="s">
        <v>241</v>
      </c>
      <c r="F40" s="27"/>
      <c r="G40" s="136" t="s">
        <v>241</v>
      </c>
      <c r="H40" s="137" t="s">
        <v>241</v>
      </c>
    </row>
    <row r="41" spans="1:8" x14ac:dyDescent="0.2">
      <c r="A41" s="138" t="s">
        <v>207</v>
      </c>
      <c r="B41" s="139" t="s">
        <v>3</v>
      </c>
      <c r="C41" s="80">
        <v>28.439677639682689</v>
      </c>
      <c r="D41" s="80">
        <v>32.595159562592265</v>
      </c>
      <c r="E41" s="80">
        <v>24.609239050341593</v>
      </c>
      <c r="F41" s="22" t="s">
        <v>241</v>
      </c>
      <c r="G41" s="133">
        <v>-13.468642780944805</v>
      </c>
      <c r="H41" s="134">
        <v>-24.500326488401953</v>
      </c>
    </row>
    <row r="42" spans="1:8" x14ac:dyDescent="0.2">
      <c r="A42" s="142"/>
      <c r="B42" s="135" t="s">
        <v>241</v>
      </c>
      <c r="C42" s="82" t="s">
        <v>241</v>
      </c>
      <c r="D42" s="82" t="s">
        <v>241</v>
      </c>
      <c r="E42" s="82" t="s">
        <v>241</v>
      </c>
      <c r="F42" s="27"/>
      <c r="G42" s="145" t="s">
        <v>241</v>
      </c>
      <c r="H42" s="134" t="s">
        <v>241</v>
      </c>
    </row>
    <row r="43" spans="1:8" x14ac:dyDescent="0.2">
      <c r="A43" s="138" t="s">
        <v>208</v>
      </c>
      <c r="B43" s="139" t="s">
        <v>3</v>
      </c>
      <c r="C43" s="80">
        <v>2.426936662811813</v>
      </c>
      <c r="D43" s="80">
        <v>3.1888580803703235</v>
      </c>
      <c r="E43" s="80">
        <v>3.7942195786202273</v>
      </c>
      <c r="F43" s="22" t="s">
        <v>241</v>
      </c>
      <c r="G43" s="144">
        <v>56.33780793538719</v>
      </c>
      <c r="H43" s="141">
        <v>18.983645022534319</v>
      </c>
    </row>
    <row r="44" spans="1:8" x14ac:dyDescent="0.2">
      <c r="A44" s="142"/>
      <c r="B44" s="135" t="s">
        <v>241</v>
      </c>
      <c r="C44" s="82" t="s">
        <v>241</v>
      </c>
      <c r="D44" s="82" t="s">
        <v>241</v>
      </c>
      <c r="E44" s="82" t="s">
        <v>241</v>
      </c>
      <c r="F44" s="27"/>
      <c r="G44" s="136" t="s">
        <v>241</v>
      </c>
      <c r="H44" s="137" t="s">
        <v>241</v>
      </c>
    </row>
    <row r="45" spans="1:8" x14ac:dyDescent="0.2">
      <c r="A45" s="138" t="s">
        <v>209</v>
      </c>
      <c r="B45" s="139" t="s">
        <v>3</v>
      </c>
      <c r="C45" s="80">
        <v>21.842891314059067</v>
      </c>
      <c r="D45" s="80">
        <v>21.25976840185162</v>
      </c>
      <c r="E45" s="80">
        <v>29.722355893101138</v>
      </c>
      <c r="F45" s="22" t="s">
        <v>241</v>
      </c>
      <c r="G45" s="144">
        <v>36.073358905423362</v>
      </c>
      <c r="H45" s="141">
        <v>39.80564289925411</v>
      </c>
    </row>
    <row r="46" spans="1:8" x14ac:dyDescent="0.2">
      <c r="A46" s="142"/>
      <c r="B46" s="135" t="s">
        <v>241</v>
      </c>
      <c r="C46" s="82" t="s">
        <v>241</v>
      </c>
      <c r="D46" s="82" t="s">
        <v>241</v>
      </c>
      <c r="E46" s="82" t="s">
        <v>241</v>
      </c>
      <c r="F46" s="27"/>
      <c r="G46" s="136" t="s">
        <v>241</v>
      </c>
      <c r="H46" s="137" t="s">
        <v>241</v>
      </c>
    </row>
    <row r="47" spans="1:8" x14ac:dyDescent="0.2">
      <c r="A47" s="138" t="s">
        <v>210</v>
      </c>
      <c r="B47" s="139" t="s">
        <v>3</v>
      </c>
      <c r="C47" s="80">
        <v>104.20417027936537</v>
      </c>
      <c r="D47" s="80">
        <v>91.884791125184535</v>
      </c>
      <c r="E47" s="80">
        <v>112.66353610068319</v>
      </c>
      <c r="F47" s="22" t="s">
        <v>241</v>
      </c>
      <c r="G47" s="133">
        <v>8.1180684022901914</v>
      </c>
      <c r="H47" s="134">
        <v>22.613911095677992</v>
      </c>
    </row>
    <row r="48" spans="1:8" ht="13.5" thickBot="1" x14ac:dyDescent="0.25">
      <c r="A48" s="148"/>
      <c r="B48" s="149" t="s">
        <v>241</v>
      </c>
      <c r="C48" s="86" t="s">
        <v>241</v>
      </c>
      <c r="D48" s="86" t="s">
        <v>241</v>
      </c>
      <c r="E48" s="86" t="s">
        <v>241</v>
      </c>
      <c r="F48" s="44"/>
      <c r="G48" s="150" t="s">
        <v>241</v>
      </c>
      <c r="H48" s="151" t="s">
        <v>241</v>
      </c>
    </row>
    <row r="53" spans="1:9" x14ac:dyDescent="0.2">
      <c r="I53" s="147"/>
    </row>
    <row r="54" spans="1:9" x14ac:dyDescent="0.2">
      <c r="I54" s="147"/>
    </row>
    <row r="55" spans="1:9" x14ac:dyDescent="0.2">
      <c r="A55" s="154"/>
      <c r="B55" s="155"/>
      <c r="C55" s="21"/>
      <c r="D55" s="21"/>
      <c r="E55" s="21"/>
      <c r="F55" s="63"/>
      <c r="G55" s="145"/>
      <c r="H55" s="153"/>
      <c r="I55" s="147"/>
    </row>
    <row r="56" spans="1:9" x14ac:dyDescent="0.2">
      <c r="A56" s="154"/>
      <c r="B56" s="155"/>
      <c r="C56" s="21"/>
      <c r="D56" s="21"/>
      <c r="E56" s="21"/>
      <c r="F56" s="63"/>
      <c r="G56" s="145"/>
      <c r="H56" s="153"/>
      <c r="I56" s="147"/>
    </row>
    <row r="57" spans="1:9" x14ac:dyDescent="0.2">
      <c r="A57" s="154"/>
      <c r="B57" s="155"/>
      <c r="C57" s="21"/>
      <c r="D57" s="21"/>
      <c r="E57" s="21"/>
      <c r="F57" s="63"/>
      <c r="G57" s="145"/>
      <c r="H57" s="153"/>
      <c r="I57" s="147"/>
    </row>
    <row r="58" spans="1:9" x14ac:dyDescent="0.2">
      <c r="A58" s="154"/>
      <c r="B58" s="155"/>
      <c r="C58" s="21"/>
      <c r="D58" s="21"/>
      <c r="E58" s="21"/>
      <c r="F58" s="63"/>
      <c r="G58" s="145"/>
      <c r="H58" s="153"/>
      <c r="I58" s="147"/>
    </row>
    <row r="59" spans="1:9" x14ac:dyDescent="0.2">
      <c r="A59" s="156"/>
      <c r="B59" s="157"/>
      <c r="C59" s="49"/>
      <c r="D59" s="49"/>
      <c r="E59" s="49"/>
      <c r="F59" s="49"/>
      <c r="G59" s="158"/>
      <c r="H59" s="159"/>
      <c r="I59" s="147"/>
    </row>
    <row r="60" spans="1:9" x14ac:dyDescent="0.2">
      <c r="A60" s="160"/>
      <c r="B60" s="160"/>
      <c r="C60" s="160"/>
      <c r="D60" s="160"/>
      <c r="E60" s="160"/>
      <c r="F60" s="160"/>
      <c r="G60" s="160"/>
      <c r="H60" s="160"/>
    </row>
    <row r="61" spans="1:9" ht="12.75" customHeight="1" x14ac:dyDescent="0.2">
      <c r="A61" s="161" t="s">
        <v>235</v>
      </c>
      <c r="G61" s="162"/>
      <c r="H61" s="206">
        <v>22</v>
      </c>
    </row>
    <row r="62" spans="1:9" ht="12.75" customHeight="1" x14ac:dyDescent="0.2">
      <c r="A62" s="161" t="s">
        <v>242</v>
      </c>
      <c r="G62" s="162"/>
      <c r="H62" s="207"/>
    </row>
    <row r="67" ht="12.75" customHeight="1" x14ac:dyDescent="0.2"/>
    <row r="68" ht="12.75" customHeight="1" x14ac:dyDescent="0.2"/>
  </sheetData>
  <mergeCells count="6">
    <mergeCell ref="H61:H62"/>
    <mergeCell ref="G5:H5"/>
    <mergeCell ref="A7:A8"/>
    <mergeCell ref="C33:F33"/>
    <mergeCell ref="G33:H33"/>
    <mergeCell ref="A35:A36"/>
  </mergeCells>
  <hyperlinks>
    <hyperlink ref="A2" location="Innhold!A68" display="Tilbake til innholdsfortegnelsen" xr:uid="{00000000-0004-0000-1100-000000000000}"/>
  </hyperlinks>
  <pageMargins left="0.78740157480314965" right="0.78740157480314965" top="0.98425196850393704" bottom="0.19685039370078741" header="3.937007874015748E-2" footer="3.937007874015748E-2"/>
  <pageSetup paperSize="9" scale="99" orientation="portrait" horizontalDpi="300" verticalDpi="300"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I68"/>
  <sheetViews>
    <sheetView showGridLines="0" showRowColHeaders="0" zoomScaleNormal="100" zoomScaleSheetLayoutView="70" workbookViewId="0"/>
  </sheetViews>
  <sheetFormatPr defaultColWidth="11.42578125" defaultRowHeight="12.75" x14ac:dyDescent="0.2"/>
  <cols>
    <col min="1" max="1" width="26.42578125" style="115" customWidth="1"/>
    <col min="2" max="2" width="8.140625" style="115" customWidth="1"/>
    <col min="3" max="4" width="10.42578125" style="115" customWidth="1"/>
    <col min="5" max="5" width="9.85546875" style="115" customWidth="1"/>
    <col min="6" max="6" width="1.5703125" style="115" customWidth="1"/>
    <col min="7" max="7" width="7.5703125" style="115" customWidth="1"/>
    <col min="8" max="8" width="8.85546875" style="115" customWidth="1"/>
    <col min="9" max="16384" width="11.42578125" style="115"/>
  </cols>
  <sheetData>
    <row r="1" spans="1:8" ht="5.25" customHeight="1" x14ac:dyDescent="0.2"/>
    <row r="2" spans="1:8" x14ac:dyDescent="0.2">
      <c r="A2" s="92" t="s">
        <v>0</v>
      </c>
      <c r="B2" s="116"/>
      <c r="C2" s="116"/>
      <c r="D2" s="116"/>
      <c r="E2" s="116"/>
      <c r="F2" s="116"/>
      <c r="G2" s="116"/>
    </row>
    <row r="3" spans="1:8" ht="6" customHeight="1" x14ac:dyDescent="0.2">
      <c r="A3" s="3"/>
      <c r="B3" s="116"/>
      <c r="C3" s="116"/>
      <c r="D3" s="116"/>
      <c r="E3" s="116"/>
      <c r="F3" s="116"/>
      <c r="G3" s="116"/>
    </row>
    <row r="4" spans="1:8" ht="16.5" thickBot="1" x14ac:dyDescent="0.3">
      <c r="A4" s="117" t="s">
        <v>219</v>
      </c>
      <c r="B4" s="118"/>
      <c r="C4" s="118"/>
      <c r="D4" s="118"/>
      <c r="E4" s="118"/>
      <c r="F4" s="118"/>
      <c r="G4" s="118"/>
      <c r="H4" s="119"/>
    </row>
    <row r="5" spans="1:8" x14ac:dyDescent="0.2">
      <c r="A5" s="120"/>
      <c r="B5" s="121"/>
      <c r="C5" s="122"/>
      <c r="D5" s="121"/>
      <c r="E5" s="123"/>
      <c r="F5" s="124"/>
      <c r="G5" s="208" t="s">
        <v>1</v>
      </c>
      <c r="H5" s="209"/>
    </row>
    <row r="6" spans="1:8" x14ac:dyDescent="0.2">
      <c r="A6" s="125"/>
      <c r="B6" s="126"/>
      <c r="C6" s="127" t="s">
        <v>236</v>
      </c>
      <c r="D6" s="128" t="s">
        <v>237</v>
      </c>
      <c r="E6" s="128" t="s">
        <v>238</v>
      </c>
      <c r="F6" s="129"/>
      <c r="G6" s="130" t="s">
        <v>239</v>
      </c>
      <c r="H6" s="131" t="s">
        <v>240</v>
      </c>
    </row>
    <row r="7" spans="1:8" ht="12.75" customHeight="1" x14ac:dyDescent="0.2">
      <c r="A7" s="210" t="s">
        <v>211</v>
      </c>
      <c r="B7" s="132" t="s">
        <v>3</v>
      </c>
      <c r="C7" s="20">
        <v>269991.33667365054</v>
      </c>
      <c r="D7" s="20">
        <v>281786.98794041621</v>
      </c>
      <c r="E7" s="79">
        <v>335300.03885714285</v>
      </c>
      <c r="F7" s="22" t="s">
        <v>241</v>
      </c>
      <c r="G7" s="133">
        <v>24.189184359805438</v>
      </c>
      <c r="H7" s="134">
        <v>18.990603969279789</v>
      </c>
    </row>
    <row r="8" spans="1:8" ht="12.75" customHeight="1" x14ac:dyDescent="0.2">
      <c r="A8" s="211"/>
      <c r="B8" s="135" t="s">
        <v>241</v>
      </c>
      <c r="C8" s="26" t="s">
        <v>241</v>
      </c>
      <c r="D8" s="26" t="s">
        <v>241</v>
      </c>
      <c r="E8" s="26" t="s">
        <v>241</v>
      </c>
      <c r="F8" s="27"/>
      <c r="G8" s="136" t="s">
        <v>241</v>
      </c>
      <c r="H8" s="137" t="s">
        <v>241</v>
      </c>
    </row>
    <row r="9" spans="1:8" x14ac:dyDescent="0.2">
      <c r="A9" s="138" t="s">
        <v>230</v>
      </c>
      <c r="B9" s="139" t="s">
        <v>3</v>
      </c>
      <c r="C9" s="20">
        <v>11637.129718670916</v>
      </c>
      <c r="D9" s="20">
        <v>11206.538595687683</v>
      </c>
      <c r="E9" s="20">
        <v>13975.547999999999</v>
      </c>
      <c r="F9" s="22" t="s">
        <v>241</v>
      </c>
      <c r="G9" s="140">
        <v>20.094459182467148</v>
      </c>
      <c r="H9" s="141">
        <v>24.708873133920576</v>
      </c>
    </row>
    <row r="10" spans="1:8" x14ac:dyDescent="0.2">
      <c r="A10" s="142"/>
      <c r="B10" s="135" t="s">
        <v>241</v>
      </c>
      <c r="C10" s="26" t="s">
        <v>241</v>
      </c>
      <c r="D10" s="26" t="s">
        <v>241</v>
      </c>
      <c r="E10" s="26" t="s">
        <v>241</v>
      </c>
      <c r="F10" s="27"/>
      <c r="G10" s="143" t="s">
        <v>241</v>
      </c>
      <c r="H10" s="137" t="s">
        <v>241</v>
      </c>
    </row>
    <row r="11" spans="1:8" x14ac:dyDescent="0.2">
      <c r="A11" s="138" t="s">
        <v>234</v>
      </c>
      <c r="B11" s="139" t="s">
        <v>3</v>
      </c>
      <c r="C11" s="20">
        <v>152231.31228188321</v>
      </c>
      <c r="D11" s="20">
        <v>165152.23248157973</v>
      </c>
      <c r="E11" s="20">
        <v>180322.87040000001</v>
      </c>
      <c r="F11" s="22" t="s">
        <v>241</v>
      </c>
      <c r="G11" s="144">
        <v>18.45320630626918</v>
      </c>
      <c r="H11" s="141">
        <v>9.1858509512502877</v>
      </c>
    </row>
    <row r="12" spans="1:8" x14ac:dyDescent="0.2">
      <c r="A12" s="142"/>
      <c r="B12" s="135" t="s">
        <v>241</v>
      </c>
      <c r="C12" s="26" t="s">
        <v>241</v>
      </c>
      <c r="D12" s="26" t="s">
        <v>241</v>
      </c>
      <c r="E12" s="26" t="s">
        <v>241</v>
      </c>
      <c r="F12" s="27"/>
      <c r="G12" s="136" t="s">
        <v>241</v>
      </c>
      <c r="H12" s="137" t="s">
        <v>241</v>
      </c>
    </row>
    <row r="13" spans="1:8" x14ac:dyDescent="0.2">
      <c r="A13" s="138" t="s">
        <v>212</v>
      </c>
      <c r="B13" s="139" t="s">
        <v>3</v>
      </c>
      <c r="C13" s="20">
        <v>101479.15804518112</v>
      </c>
      <c r="D13" s="20">
        <v>102402.04104909507</v>
      </c>
      <c r="E13" s="20">
        <v>129041.1704</v>
      </c>
      <c r="F13" s="22" t="s">
        <v>241</v>
      </c>
      <c r="G13" s="133">
        <v>27.160269050071918</v>
      </c>
      <c r="H13" s="134">
        <v>26.014256237464252</v>
      </c>
    </row>
    <row r="14" spans="1:8" x14ac:dyDescent="0.2">
      <c r="A14" s="142"/>
      <c r="B14" s="135" t="s">
        <v>241</v>
      </c>
      <c r="C14" s="26" t="s">
        <v>241</v>
      </c>
      <c r="D14" s="26" t="s">
        <v>241</v>
      </c>
      <c r="E14" s="26" t="s">
        <v>241</v>
      </c>
      <c r="F14" s="27"/>
      <c r="G14" s="145" t="s">
        <v>241</v>
      </c>
      <c r="H14" s="134" t="s">
        <v>241</v>
      </c>
    </row>
    <row r="15" spans="1:8" x14ac:dyDescent="0.2">
      <c r="A15" s="138" t="s">
        <v>213</v>
      </c>
      <c r="B15" s="139" t="s">
        <v>3</v>
      </c>
      <c r="C15" s="20">
        <v>6395</v>
      </c>
      <c r="D15" s="20">
        <v>9250</v>
      </c>
      <c r="E15" s="20">
        <v>14239.4784</v>
      </c>
      <c r="F15" s="22" t="s">
        <v>241</v>
      </c>
      <c r="G15" s="144">
        <v>122.66580766223615</v>
      </c>
      <c r="H15" s="141">
        <v>53.940307027027046</v>
      </c>
    </row>
    <row r="16" spans="1:8" x14ac:dyDescent="0.2">
      <c r="A16" s="142"/>
      <c r="B16" s="135" t="s">
        <v>241</v>
      </c>
      <c r="C16" s="26" t="s">
        <v>241</v>
      </c>
      <c r="D16" s="26" t="s">
        <v>241</v>
      </c>
      <c r="E16" s="26" t="s">
        <v>241</v>
      </c>
      <c r="F16" s="27"/>
      <c r="G16" s="136" t="s">
        <v>241</v>
      </c>
      <c r="H16" s="137" t="s">
        <v>241</v>
      </c>
    </row>
    <row r="17" spans="1:9" x14ac:dyDescent="0.2">
      <c r="A17" s="138" t="s">
        <v>214</v>
      </c>
      <c r="B17" s="139" t="s">
        <v>3</v>
      </c>
      <c r="C17" s="20">
        <v>15147.73662791529</v>
      </c>
      <c r="D17" s="20">
        <v>10383.175814053724</v>
      </c>
      <c r="E17" s="20">
        <v>15982.9568</v>
      </c>
      <c r="F17" s="22" t="s">
        <v>241</v>
      </c>
      <c r="G17" s="133">
        <v>5.5138281883348128</v>
      </c>
      <c r="H17" s="134">
        <v>53.931293144116097</v>
      </c>
    </row>
    <row r="18" spans="1:9" ht="13.5" thickBot="1" x14ac:dyDescent="0.25">
      <c r="A18" s="148"/>
      <c r="B18" s="149" t="s">
        <v>241</v>
      </c>
      <c r="C18" s="43" t="s">
        <v>241</v>
      </c>
      <c r="D18" s="43" t="s">
        <v>241</v>
      </c>
      <c r="E18" s="43" t="s">
        <v>241</v>
      </c>
      <c r="F18" s="44"/>
      <c r="G18" s="150" t="s">
        <v>241</v>
      </c>
      <c r="H18" s="151" t="s">
        <v>241</v>
      </c>
    </row>
    <row r="25" spans="1:9" x14ac:dyDescent="0.2">
      <c r="I25" s="147"/>
    </row>
    <row r="26" spans="1:9" x14ac:dyDescent="0.2">
      <c r="I26" s="147"/>
    </row>
    <row r="27" spans="1:9" x14ac:dyDescent="0.2">
      <c r="A27" s="152"/>
      <c r="B27" s="152"/>
      <c r="C27" s="64"/>
      <c r="D27" s="64"/>
      <c r="E27" s="21"/>
      <c r="F27" s="59"/>
      <c r="G27" s="145"/>
      <c r="H27" s="153"/>
      <c r="I27" s="147"/>
    </row>
    <row r="28" spans="1:9" x14ac:dyDescent="0.2">
      <c r="A28" s="152"/>
      <c r="B28" s="152"/>
      <c r="C28" s="64"/>
      <c r="D28" s="64"/>
      <c r="E28" s="21"/>
      <c r="F28" s="59"/>
      <c r="G28" s="145"/>
      <c r="H28" s="153"/>
      <c r="I28" s="147"/>
    </row>
    <row r="29" spans="1:9" x14ac:dyDescent="0.2">
      <c r="A29" s="152"/>
      <c r="B29" s="152"/>
      <c r="C29" s="64"/>
      <c r="D29" s="64"/>
      <c r="E29" s="21"/>
      <c r="F29" s="59"/>
      <c r="G29" s="145"/>
      <c r="H29" s="153"/>
      <c r="I29" s="147"/>
    </row>
    <row r="30" spans="1:9" x14ac:dyDescent="0.2">
      <c r="A30" s="154"/>
      <c r="B30" s="155"/>
      <c r="C30" s="21"/>
      <c r="D30" s="21"/>
      <c r="E30" s="21"/>
      <c r="F30" s="63"/>
      <c r="G30" s="145"/>
      <c r="H30" s="153"/>
      <c r="I30" s="147"/>
    </row>
    <row r="31" spans="1:9" x14ac:dyDescent="0.2">
      <c r="A31" s="156"/>
      <c r="B31" s="157"/>
      <c r="C31" s="49"/>
      <c r="D31" s="55"/>
      <c r="E31" s="49"/>
      <c r="F31" s="49"/>
      <c r="G31" s="158"/>
      <c r="H31" s="159"/>
      <c r="I31" s="147"/>
    </row>
    <row r="32" spans="1:9" ht="16.5" thickBot="1" x14ac:dyDescent="0.3">
      <c r="A32" s="117" t="s">
        <v>220</v>
      </c>
      <c r="B32" s="118"/>
      <c r="C32" s="118"/>
      <c r="D32" s="118"/>
      <c r="E32" s="118"/>
      <c r="F32" s="118"/>
      <c r="G32" s="118"/>
      <c r="H32" s="119"/>
    </row>
    <row r="33" spans="1:8" x14ac:dyDescent="0.2">
      <c r="A33" s="120"/>
      <c r="B33" s="121"/>
      <c r="C33" s="212" t="s">
        <v>16</v>
      </c>
      <c r="D33" s="208"/>
      <c r="E33" s="208"/>
      <c r="F33" s="213"/>
      <c r="G33" s="208" t="s">
        <v>1</v>
      </c>
      <c r="H33" s="209"/>
    </row>
    <row r="34" spans="1:8" x14ac:dyDescent="0.2">
      <c r="A34" s="125"/>
      <c r="B34" s="126"/>
      <c r="C34" s="127" t="s">
        <v>236</v>
      </c>
      <c r="D34" s="128" t="s">
        <v>237</v>
      </c>
      <c r="E34" s="128" t="s">
        <v>238</v>
      </c>
      <c r="F34" s="129"/>
      <c r="G34" s="130" t="s">
        <v>239</v>
      </c>
      <c r="H34" s="131" t="s">
        <v>240</v>
      </c>
    </row>
    <row r="35" spans="1:8" ht="12.75" customHeight="1" x14ac:dyDescent="0.2">
      <c r="A35" s="210" t="s">
        <v>211</v>
      </c>
      <c r="B35" s="132" t="s">
        <v>3</v>
      </c>
      <c r="C35" s="80">
        <v>982.35582708179106</v>
      </c>
      <c r="D35" s="80">
        <v>1097.9182333987906</v>
      </c>
      <c r="E35" s="81">
        <v>1333.7987954130613</v>
      </c>
      <c r="F35" s="22" t="s">
        <v>241</v>
      </c>
      <c r="G35" s="133">
        <v>35.77552640729732</v>
      </c>
      <c r="H35" s="134">
        <v>21.484346906605495</v>
      </c>
    </row>
    <row r="36" spans="1:8" ht="12.75" customHeight="1" x14ac:dyDescent="0.2">
      <c r="A36" s="211"/>
      <c r="B36" s="135" t="s">
        <v>241</v>
      </c>
      <c r="C36" s="82" t="s">
        <v>241</v>
      </c>
      <c r="D36" s="82" t="s">
        <v>241</v>
      </c>
      <c r="E36" s="82" t="s">
        <v>241</v>
      </c>
      <c r="F36" s="27"/>
      <c r="G36" s="136" t="s">
        <v>241</v>
      </c>
      <c r="H36" s="137" t="s">
        <v>241</v>
      </c>
    </row>
    <row r="37" spans="1:8" x14ac:dyDescent="0.2">
      <c r="A37" s="138" t="s">
        <v>230</v>
      </c>
      <c r="B37" s="139" t="s">
        <v>3</v>
      </c>
      <c r="C37" s="80">
        <v>317.98876156719405</v>
      </c>
      <c r="D37" s="80">
        <v>326.23983367946352</v>
      </c>
      <c r="E37" s="80">
        <v>384.05710009564035</v>
      </c>
      <c r="F37" s="22" t="s">
        <v>241</v>
      </c>
      <c r="G37" s="140">
        <v>20.7769413619624</v>
      </c>
      <c r="H37" s="141">
        <v>17.722319731496469</v>
      </c>
    </row>
    <row r="38" spans="1:8" x14ac:dyDescent="0.2">
      <c r="A38" s="142"/>
      <c r="B38" s="135" t="s">
        <v>241</v>
      </c>
      <c r="C38" s="82" t="s">
        <v>241</v>
      </c>
      <c r="D38" s="82" t="s">
        <v>241</v>
      </c>
      <c r="E38" s="82" t="s">
        <v>241</v>
      </c>
      <c r="F38" s="27"/>
      <c r="G38" s="143" t="s">
        <v>241</v>
      </c>
      <c r="H38" s="137" t="s">
        <v>241</v>
      </c>
    </row>
    <row r="39" spans="1:8" x14ac:dyDescent="0.2">
      <c r="A39" s="138" t="s">
        <v>234</v>
      </c>
      <c r="B39" s="139" t="s">
        <v>3</v>
      </c>
      <c r="C39" s="80">
        <v>227.19536181345052</v>
      </c>
      <c r="D39" s="80">
        <v>256.23559530104427</v>
      </c>
      <c r="E39" s="80">
        <v>273.20901626826986</v>
      </c>
      <c r="F39" s="22" t="s">
        <v>241</v>
      </c>
      <c r="G39" s="144">
        <v>20.252902210477799</v>
      </c>
      <c r="H39" s="141">
        <v>6.624146402174901</v>
      </c>
    </row>
    <row r="40" spans="1:8" x14ac:dyDescent="0.2">
      <c r="A40" s="142"/>
      <c r="B40" s="135" t="s">
        <v>241</v>
      </c>
      <c r="C40" s="82" t="s">
        <v>241</v>
      </c>
      <c r="D40" s="82" t="s">
        <v>241</v>
      </c>
      <c r="E40" s="82" t="s">
        <v>241</v>
      </c>
      <c r="F40" s="27"/>
      <c r="G40" s="136" t="s">
        <v>241</v>
      </c>
      <c r="H40" s="137" t="s">
        <v>241</v>
      </c>
    </row>
    <row r="41" spans="1:8" x14ac:dyDescent="0.2">
      <c r="A41" s="138" t="s">
        <v>212</v>
      </c>
      <c r="B41" s="139" t="s">
        <v>3</v>
      </c>
      <c r="C41" s="80">
        <v>283.77362038047022</v>
      </c>
      <c r="D41" s="80">
        <v>345.55780100399943</v>
      </c>
      <c r="E41" s="80">
        <v>448.97767258984481</v>
      </c>
      <c r="F41" s="22" t="s">
        <v>241</v>
      </c>
      <c r="G41" s="133">
        <v>58.216846226889174</v>
      </c>
      <c r="H41" s="134">
        <v>29.928385724577623</v>
      </c>
    </row>
    <row r="42" spans="1:8" x14ac:dyDescent="0.2">
      <c r="A42" s="142"/>
      <c r="B42" s="135" t="s">
        <v>241</v>
      </c>
      <c r="C42" s="82" t="s">
        <v>241</v>
      </c>
      <c r="D42" s="82" t="s">
        <v>241</v>
      </c>
      <c r="E42" s="82" t="s">
        <v>241</v>
      </c>
      <c r="F42" s="27"/>
      <c r="G42" s="145" t="s">
        <v>241</v>
      </c>
      <c r="H42" s="134" t="s">
        <v>241</v>
      </c>
    </row>
    <row r="43" spans="1:8" x14ac:dyDescent="0.2">
      <c r="A43" s="138" t="s">
        <v>213</v>
      </c>
      <c r="B43" s="139" t="s">
        <v>3</v>
      </c>
      <c r="C43" s="80">
        <v>31.958343427435821</v>
      </c>
      <c r="D43" s="80">
        <v>50.626081812198294</v>
      </c>
      <c r="E43" s="80">
        <v>82.138112313861399</v>
      </c>
      <c r="F43" s="22" t="s">
        <v>241</v>
      </c>
      <c r="G43" s="144">
        <v>157.01617638712435</v>
      </c>
      <c r="H43" s="141">
        <v>62.244656061987229</v>
      </c>
    </row>
    <row r="44" spans="1:8" x14ac:dyDescent="0.2">
      <c r="A44" s="142"/>
      <c r="B44" s="135" t="s">
        <v>241</v>
      </c>
      <c r="C44" s="82" t="s">
        <v>241</v>
      </c>
      <c r="D44" s="82" t="s">
        <v>241</v>
      </c>
      <c r="E44" s="82" t="s">
        <v>241</v>
      </c>
      <c r="F44" s="27"/>
      <c r="G44" s="136" t="s">
        <v>241</v>
      </c>
      <c r="H44" s="137" t="s">
        <v>241</v>
      </c>
    </row>
    <row r="45" spans="1:8" x14ac:dyDescent="0.2">
      <c r="A45" s="138" t="s">
        <v>214</v>
      </c>
      <c r="B45" s="139" t="s">
        <v>3</v>
      </c>
      <c r="C45" s="80">
        <v>121.43973989324058</v>
      </c>
      <c r="D45" s="80">
        <v>119.25892160208492</v>
      </c>
      <c r="E45" s="80">
        <v>145.41689414544481</v>
      </c>
      <c r="F45" s="22" t="s">
        <v>241</v>
      </c>
      <c r="G45" s="133">
        <v>19.744075764064448</v>
      </c>
      <c r="H45" s="134">
        <v>21.93376578620898</v>
      </c>
    </row>
    <row r="46" spans="1:8" ht="13.5" thickBot="1" x14ac:dyDescent="0.25">
      <c r="A46" s="148"/>
      <c r="B46" s="149" t="s">
        <v>241</v>
      </c>
      <c r="C46" s="86" t="s">
        <v>241</v>
      </c>
      <c r="D46" s="86" t="s">
        <v>241</v>
      </c>
      <c r="E46" s="86" t="s">
        <v>241</v>
      </c>
      <c r="F46" s="44"/>
      <c r="G46" s="150" t="s">
        <v>241</v>
      </c>
      <c r="H46" s="151" t="s">
        <v>241</v>
      </c>
    </row>
    <row r="53" spans="1:9" x14ac:dyDescent="0.2">
      <c r="I53" s="147"/>
    </row>
    <row r="54" spans="1:9" x14ac:dyDescent="0.2">
      <c r="I54" s="147"/>
    </row>
    <row r="55" spans="1:9" x14ac:dyDescent="0.2">
      <c r="A55" s="154"/>
      <c r="B55" s="155"/>
      <c r="C55" s="21"/>
      <c r="D55" s="21"/>
      <c r="E55" s="21"/>
      <c r="F55" s="63"/>
      <c r="G55" s="145"/>
      <c r="H55" s="153"/>
      <c r="I55" s="147"/>
    </row>
    <row r="56" spans="1:9" x14ac:dyDescent="0.2">
      <c r="A56" s="154"/>
      <c r="B56" s="155"/>
      <c r="C56" s="21"/>
      <c r="D56" s="21"/>
      <c r="E56" s="21"/>
      <c r="F56" s="63"/>
      <c r="G56" s="145"/>
      <c r="H56" s="153"/>
      <c r="I56" s="147"/>
    </row>
    <row r="57" spans="1:9" x14ac:dyDescent="0.2">
      <c r="A57" s="154"/>
      <c r="B57" s="155"/>
      <c r="C57" s="21"/>
      <c r="D57" s="21"/>
      <c r="E57" s="21"/>
      <c r="F57" s="63"/>
      <c r="G57" s="145"/>
      <c r="H57" s="153"/>
      <c r="I57" s="147"/>
    </row>
    <row r="58" spans="1:9" x14ac:dyDescent="0.2">
      <c r="A58" s="154"/>
      <c r="B58" s="155"/>
      <c r="C58" s="21"/>
      <c r="D58" s="21"/>
      <c r="E58" s="21"/>
      <c r="F58" s="63"/>
      <c r="G58" s="145"/>
      <c r="H58" s="153"/>
      <c r="I58" s="147"/>
    </row>
    <row r="59" spans="1:9" x14ac:dyDescent="0.2">
      <c r="A59" s="156"/>
      <c r="B59" s="157"/>
      <c r="C59" s="49"/>
      <c r="D59" s="49"/>
      <c r="E59" s="49"/>
      <c r="F59" s="49"/>
      <c r="G59" s="158"/>
      <c r="H59" s="159"/>
      <c r="I59" s="147"/>
    </row>
    <row r="60" spans="1:9" x14ac:dyDescent="0.2">
      <c r="A60" s="160"/>
      <c r="B60" s="160"/>
      <c r="C60" s="160"/>
      <c r="D60" s="160"/>
      <c r="E60" s="160"/>
      <c r="F60" s="160"/>
      <c r="G60" s="160"/>
      <c r="H60" s="160"/>
    </row>
    <row r="61" spans="1:9" ht="12.75" customHeight="1" x14ac:dyDescent="0.2">
      <c r="A61" s="161" t="s">
        <v>235</v>
      </c>
      <c r="G61" s="162"/>
      <c r="H61" s="206">
        <v>23</v>
      </c>
    </row>
    <row r="62" spans="1:9" ht="12.75" customHeight="1" x14ac:dyDescent="0.2">
      <c r="A62" s="161" t="s">
        <v>242</v>
      </c>
      <c r="G62" s="162"/>
      <c r="H62" s="207"/>
    </row>
    <row r="67" ht="12.75" customHeight="1" x14ac:dyDescent="0.2"/>
    <row r="68" ht="12.75" customHeight="1" x14ac:dyDescent="0.2"/>
  </sheetData>
  <mergeCells count="6">
    <mergeCell ref="H61:H62"/>
    <mergeCell ref="G5:H5"/>
    <mergeCell ref="A7:A8"/>
    <mergeCell ref="C33:F33"/>
    <mergeCell ref="G33:H33"/>
    <mergeCell ref="A35:A36"/>
  </mergeCells>
  <hyperlinks>
    <hyperlink ref="A2" location="Innhold!A70" display="Tilbake til innholdsfortegnelsen" xr:uid="{00000000-0004-0000-1200-000000000000}"/>
  </hyperlinks>
  <pageMargins left="0.78740157480314965" right="0.78740157480314965" top="0.98425196850393704" bottom="0.19685039370078741" header="3.937007874015748E-2" footer="3.937007874015748E-2"/>
  <pageSetup paperSize="9" scale="99"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N163"/>
  <sheetViews>
    <sheetView showGridLines="0" showRowColHeaders="0" zoomScaleNormal="100" zoomScaleSheetLayoutView="70" workbookViewId="0"/>
  </sheetViews>
  <sheetFormatPr defaultColWidth="11.42578125" defaultRowHeight="12.75" customHeight="1" x14ac:dyDescent="0.2"/>
  <cols>
    <col min="1" max="1" width="11.42578125" style="89" customWidth="1"/>
    <col min="2" max="2" width="27.140625" style="1" customWidth="1"/>
    <col min="3" max="5" width="10.5703125" style="1" customWidth="1"/>
    <col min="6" max="8" width="7.5703125" style="1" customWidth="1"/>
    <col min="9" max="16384" width="11.42578125" style="1"/>
  </cols>
  <sheetData>
    <row r="2" spans="1:8" ht="12.75" customHeight="1" x14ac:dyDescent="0.2">
      <c r="B2" s="2"/>
      <c r="C2" s="2"/>
      <c r="D2" s="2"/>
      <c r="E2" s="2"/>
      <c r="F2" s="2"/>
      <c r="G2" s="2"/>
    </row>
    <row r="3" spans="1:8" ht="12.75" customHeight="1" x14ac:dyDescent="0.2">
      <c r="A3" s="90"/>
      <c r="B3" s="2"/>
      <c r="C3" s="2"/>
      <c r="D3" s="2"/>
      <c r="E3" s="2"/>
      <c r="F3" s="2"/>
      <c r="G3" s="2"/>
    </row>
    <row r="4" spans="1:8" ht="12.75" customHeight="1" x14ac:dyDescent="0.25">
      <c r="A4" s="90"/>
      <c r="C4" s="74"/>
      <c r="D4" s="74" t="s">
        <v>88</v>
      </c>
      <c r="E4" s="74"/>
      <c r="F4" s="74"/>
      <c r="G4" s="74"/>
      <c r="H4" s="74"/>
    </row>
    <row r="5" spans="1:8" ht="12.75" customHeight="1" x14ac:dyDescent="0.25">
      <c r="A5" s="90"/>
      <c r="B5" s="75"/>
      <c r="C5" s="74"/>
      <c r="D5" s="74"/>
      <c r="E5" s="74"/>
      <c r="F5" s="74"/>
      <c r="G5" s="74"/>
      <c r="H5" s="74"/>
    </row>
    <row r="6" spans="1:8" ht="12.75" customHeight="1" x14ac:dyDescent="0.25">
      <c r="A6" s="90"/>
      <c r="B6" s="73"/>
      <c r="C6" s="73"/>
      <c r="D6" s="73"/>
      <c r="E6" s="73"/>
      <c r="F6" s="73"/>
      <c r="G6" s="73"/>
      <c r="H6" s="73"/>
    </row>
    <row r="7" spans="1:8" ht="12.75" customHeight="1" x14ac:dyDescent="0.25">
      <c r="A7" s="90"/>
      <c r="B7" s="73"/>
      <c r="C7" s="73"/>
      <c r="D7" s="73"/>
      <c r="E7" s="73"/>
      <c r="F7" s="73"/>
      <c r="G7" s="73"/>
      <c r="H7" s="73"/>
    </row>
    <row r="8" spans="1:8" ht="12.75" customHeight="1" x14ac:dyDescent="0.25">
      <c r="A8" s="91" t="s">
        <v>114</v>
      </c>
      <c r="B8" s="73" t="s">
        <v>89</v>
      </c>
      <c r="C8" s="73"/>
      <c r="D8" s="73"/>
      <c r="E8" s="73"/>
      <c r="F8" s="73"/>
      <c r="G8" s="73"/>
      <c r="H8" s="76">
        <v>2</v>
      </c>
    </row>
    <row r="9" spans="1:8" ht="12.75" customHeight="1" x14ac:dyDescent="0.25">
      <c r="B9" s="73"/>
      <c r="C9" s="73"/>
      <c r="D9" s="73"/>
      <c r="E9" s="73"/>
      <c r="F9" s="73"/>
      <c r="G9" s="73"/>
      <c r="H9" s="76"/>
    </row>
    <row r="10" spans="1:8" ht="12.75" customHeight="1" x14ac:dyDescent="0.25">
      <c r="B10" s="73" t="s">
        <v>90</v>
      </c>
      <c r="C10" s="73"/>
      <c r="D10" s="73"/>
      <c r="E10" s="73"/>
      <c r="F10" s="73"/>
      <c r="G10" s="73"/>
      <c r="H10" s="76"/>
    </row>
    <row r="11" spans="1:8" ht="12.75" customHeight="1" x14ac:dyDescent="0.25">
      <c r="A11" s="91" t="s">
        <v>115</v>
      </c>
      <c r="B11" s="73" t="str">
        <f>+'Tab2'!A6&amp;" ……………………………………………"</f>
        <v>Figur 1. Antall meldte skader etter bransjer  ……………………………………………</v>
      </c>
      <c r="C11" s="73"/>
      <c r="D11" s="73"/>
      <c r="E11" s="73"/>
      <c r="F11" s="73"/>
      <c r="G11" s="73"/>
      <c r="H11" s="76">
        <v>4</v>
      </c>
    </row>
    <row r="12" spans="1:8" ht="12.75" customHeight="1" x14ac:dyDescent="0.25">
      <c r="B12" s="73" t="str">
        <f>+'Tab2'!A32&amp;" ……………………………"</f>
        <v>Figur 2. Antall meldte skader etter bransjer  ……………………………</v>
      </c>
      <c r="C12" s="73"/>
      <c r="D12" s="73"/>
      <c r="E12" s="73"/>
      <c r="F12" s="73"/>
      <c r="G12" s="73"/>
      <c r="H12" s="76">
        <v>4</v>
      </c>
    </row>
    <row r="13" spans="1:8" ht="12.75" customHeight="1" x14ac:dyDescent="0.25">
      <c r="B13" s="73" t="str">
        <f>+'Tab2'!I6&amp;"  ………………………………………………………………………………………………….."</f>
        <v>Figur 3. Anslått erstatning etter bransje, pr.   …………………………………………………………………………………………………..</v>
      </c>
      <c r="C13" s="73"/>
      <c r="D13" s="73"/>
      <c r="E13" s="73"/>
      <c r="F13" s="73"/>
      <c r="G13" s="73"/>
      <c r="H13" s="76">
        <v>5</v>
      </c>
    </row>
    <row r="14" spans="1:8" ht="12.75" customHeight="1" x14ac:dyDescent="0.25">
      <c r="B14" s="73" t="str">
        <f>+'Tab2'!I32&amp;"  ………………………………………………………………………………………………….."</f>
        <v>Figur 4. Vannskader pr. kvartal  …………………………………………………………………………………………………..</v>
      </c>
      <c r="C14" s="73"/>
      <c r="D14" s="73"/>
      <c r="E14" s="73"/>
      <c r="F14" s="73"/>
      <c r="G14" s="73"/>
      <c r="H14" s="76">
        <v>5</v>
      </c>
    </row>
    <row r="15" spans="1:8" ht="12.75" customHeight="1" x14ac:dyDescent="0.25">
      <c r="B15" s="73" t="str">
        <f>+'Tab2'!P6&amp;" ……………………………"</f>
        <v>Figur 5. Antall meldte skader i motorvogn kvartalsvis (i 1000) ……………………………</v>
      </c>
      <c r="C15" s="73"/>
      <c r="D15" s="73"/>
      <c r="E15" s="73"/>
      <c r="F15" s="73"/>
      <c r="G15" s="73"/>
      <c r="H15" s="76">
        <v>6</v>
      </c>
    </row>
    <row r="16" spans="1:8" ht="12.75" customHeight="1" x14ac:dyDescent="0.25">
      <c r="B16" s="73" t="str">
        <f>+'Tab2'!P32&amp;" ……………………………"</f>
        <v>Figur 6. Anslått erstatning etter skadetype, motorvogn  2019 ……………………………</v>
      </c>
      <c r="C16" s="73"/>
      <c r="D16" s="73"/>
      <c r="E16" s="73"/>
      <c r="F16" s="73"/>
      <c r="G16" s="73"/>
      <c r="H16" s="76">
        <v>6</v>
      </c>
    </row>
    <row r="17" spans="1:14" ht="12.75" customHeight="1" x14ac:dyDescent="0.25">
      <c r="B17" s="73" t="str">
        <f>+'Tab2'!W6&amp;" ……………………………………………………………"</f>
        <v>Figur 7. Antall meldte skader i de Brann-kombinerte bransjer etter skadetype  ……………………………………………………………</v>
      </c>
      <c r="C17" s="73"/>
      <c r="D17" s="73"/>
      <c r="E17" s="73"/>
      <c r="F17" s="73"/>
      <c r="G17" s="73"/>
      <c r="H17" s="76">
        <v>7</v>
      </c>
    </row>
    <row r="18" spans="1:14" ht="12.75" customHeight="1" x14ac:dyDescent="0.25">
      <c r="B18" s="73" t="str">
        <f>+'Tab2'!W32&amp;" ……………………………………………………………"</f>
        <v>Figur 8. Anslått erstatning i de Brann-kombinerte bransjer etter skadetype  ……………………………………………………………</v>
      </c>
      <c r="C18" s="73"/>
      <c r="D18" s="73"/>
      <c r="E18" s="73"/>
      <c r="F18" s="73"/>
      <c r="G18" s="73"/>
      <c r="H18" s="76">
        <v>7</v>
      </c>
    </row>
    <row r="19" spans="1:14" ht="12.75" customHeight="1" x14ac:dyDescent="0.25">
      <c r="B19" s="73" t="str">
        <f>+'Tab2'!AD6&amp;"  ………………………………………………………………………………………………….."</f>
        <v>Figur 9. Brannskader pr. kvartal  …………………………………………………………………………………………………..</v>
      </c>
      <c r="C19" s="73"/>
      <c r="D19" s="73"/>
      <c r="E19" s="73"/>
      <c r="F19" s="73"/>
      <c r="G19" s="73"/>
      <c r="H19" s="76">
        <v>8</v>
      </c>
    </row>
    <row r="20" spans="1:14" ht="12.75" customHeight="1" x14ac:dyDescent="0.25">
      <c r="B20" s="73" t="str">
        <f>+'Tab2'!AD32&amp;"  ………………………………………………………………………………………………….."</f>
        <v>Figur 10. Innbrudd, tyverier og ran pr. kvartal  …………………………………………………………………………………………………..</v>
      </c>
      <c r="C20" s="73"/>
      <c r="D20" s="73"/>
      <c r="E20" s="73"/>
      <c r="F20" s="73"/>
      <c r="G20" s="73"/>
      <c r="H20" s="76">
        <v>8</v>
      </c>
    </row>
    <row r="22" spans="1:14" ht="12.75" customHeight="1" x14ac:dyDescent="0.25">
      <c r="B22" s="73" t="s">
        <v>91</v>
      </c>
      <c r="C22" s="73"/>
      <c r="D22" s="73"/>
      <c r="E22" s="73"/>
      <c r="F22" s="73"/>
      <c r="G22" s="73"/>
      <c r="H22" s="76"/>
    </row>
    <row r="23" spans="1:14" ht="12.75" customHeight="1" x14ac:dyDescent="0.25">
      <c r="A23" s="91" t="s">
        <v>116</v>
      </c>
      <c r="B23" s="73" t="s">
        <v>132</v>
      </c>
      <c r="C23" s="73"/>
      <c r="D23" s="73"/>
      <c r="E23" s="73"/>
      <c r="F23" s="73"/>
      <c r="G23" s="73"/>
      <c r="H23" s="76">
        <v>9</v>
      </c>
    </row>
    <row r="24" spans="1:14" ht="12.75" customHeight="1" x14ac:dyDescent="0.25">
      <c r="A24" s="91" t="s">
        <v>117</v>
      </c>
      <c r="B24" s="73" t="s">
        <v>93</v>
      </c>
      <c r="C24" s="73"/>
      <c r="D24" s="73"/>
      <c r="E24" s="73"/>
      <c r="F24" s="73"/>
      <c r="G24" s="73"/>
      <c r="H24" s="76">
        <f>H23+1</f>
        <v>10</v>
      </c>
    </row>
    <row r="25" spans="1:14" ht="12.75" customHeight="1" x14ac:dyDescent="0.25">
      <c r="B25" s="73"/>
      <c r="C25" s="73"/>
      <c r="D25" s="73"/>
      <c r="E25" s="73"/>
      <c r="F25" s="73"/>
      <c r="G25" s="73"/>
      <c r="H25" s="76"/>
    </row>
    <row r="26" spans="1:14" ht="12.75" customHeight="1" x14ac:dyDescent="0.25">
      <c r="A26" s="91" t="s">
        <v>118</v>
      </c>
      <c r="B26" s="73" t="s">
        <v>133</v>
      </c>
      <c r="C26" s="73"/>
      <c r="D26" s="73"/>
      <c r="E26" s="73"/>
      <c r="F26" s="73"/>
      <c r="G26" s="73"/>
      <c r="H26" s="76">
        <f>+H24+1</f>
        <v>11</v>
      </c>
    </row>
    <row r="27" spans="1:14" ht="12.75" customHeight="1" x14ac:dyDescent="0.25">
      <c r="B27" s="73" t="s">
        <v>94</v>
      </c>
      <c r="C27" s="73"/>
      <c r="D27" s="73"/>
      <c r="E27" s="73"/>
      <c r="F27" s="73"/>
      <c r="G27" s="73"/>
      <c r="H27" s="76">
        <f>+H26</f>
        <v>11</v>
      </c>
      <c r="N27" s="77"/>
    </row>
    <row r="28" spans="1:14" ht="12.75" customHeight="1" x14ac:dyDescent="0.25">
      <c r="A28" s="91" t="s">
        <v>119</v>
      </c>
      <c r="B28" s="73" t="s">
        <v>134</v>
      </c>
      <c r="C28" s="73"/>
      <c r="D28" s="73"/>
      <c r="E28" s="73"/>
      <c r="F28" s="73"/>
      <c r="G28" s="73"/>
      <c r="H28" s="76">
        <f>+H26+1</f>
        <v>12</v>
      </c>
      <c r="N28" s="77"/>
    </row>
    <row r="29" spans="1:14" ht="12.75" customHeight="1" x14ac:dyDescent="0.25">
      <c r="B29" s="73" t="s">
        <v>95</v>
      </c>
      <c r="C29" s="73"/>
      <c r="D29" s="73"/>
      <c r="E29" s="73"/>
      <c r="F29" s="73"/>
      <c r="G29" s="73"/>
      <c r="H29" s="76">
        <f>+H28</f>
        <v>12</v>
      </c>
      <c r="N29" s="77"/>
    </row>
    <row r="30" spans="1:14" ht="12.75" customHeight="1" x14ac:dyDescent="0.25">
      <c r="B30" s="73"/>
      <c r="C30" s="73"/>
      <c r="D30" s="73"/>
      <c r="E30" s="73"/>
      <c r="F30" s="73"/>
      <c r="G30" s="73"/>
      <c r="H30" s="76"/>
      <c r="N30" s="77"/>
    </row>
    <row r="31" spans="1:14" ht="12.75" customHeight="1" x14ac:dyDescent="0.25">
      <c r="A31" s="91" t="s">
        <v>120</v>
      </c>
      <c r="B31" s="73" t="s">
        <v>135</v>
      </c>
      <c r="C31" s="73"/>
      <c r="D31" s="73"/>
      <c r="E31" s="73"/>
      <c r="F31" s="73"/>
      <c r="G31" s="73"/>
      <c r="H31" s="76">
        <f>+H29+1</f>
        <v>13</v>
      </c>
      <c r="N31" s="77"/>
    </row>
    <row r="32" spans="1:14" ht="12.75" customHeight="1" x14ac:dyDescent="0.25">
      <c r="B32" s="73" t="s">
        <v>96</v>
      </c>
      <c r="C32" s="73"/>
      <c r="D32" s="73"/>
      <c r="E32" s="73"/>
      <c r="F32" s="73"/>
      <c r="G32" s="73"/>
      <c r="H32" s="76">
        <f>+H31</f>
        <v>13</v>
      </c>
      <c r="N32" s="77"/>
    </row>
    <row r="33" spans="1:14" ht="12.75" customHeight="1" x14ac:dyDescent="0.25">
      <c r="A33" s="91" t="s">
        <v>121</v>
      </c>
      <c r="B33" s="73" t="s">
        <v>136</v>
      </c>
      <c r="C33" s="73"/>
      <c r="D33" s="73"/>
      <c r="E33" s="73"/>
      <c r="F33" s="73"/>
      <c r="G33" s="73"/>
      <c r="H33" s="76">
        <f>+H31+1</f>
        <v>14</v>
      </c>
      <c r="N33" s="77"/>
    </row>
    <row r="34" spans="1:14" ht="12.75" customHeight="1" x14ac:dyDescent="0.25">
      <c r="B34" s="73" t="s">
        <v>97</v>
      </c>
      <c r="C34" s="73"/>
      <c r="D34" s="73"/>
      <c r="E34" s="73"/>
      <c r="F34" s="73"/>
      <c r="G34" s="73"/>
      <c r="H34" s="76">
        <f>+H33</f>
        <v>14</v>
      </c>
      <c r="N34" s="77"/>
    </row>
    <row r="35" spans="1:14" ht="12.75" customHeight="1" x14ac:dyDescent="0.25">
      <c r="A35" s="91" t="s">
        <v>122</v>
      </c>
      <c r="B35" s="73" t="s">
        <v>137</v>
      </c>
      <c r="C35" s="73"/>
      <c r="D35" s="73"/>
      <c r="E35" s="73"/>
      <c r="F35" s="73"/>
      <c r="G35" s="73"/>
      <c r="H35" s="76">
        <f>+H34+1</f>
        <v>15</v>
      </c>
      <c r="N35" s="77"/>
    </row>
    <row r="36" spans="1:14" ht="12.75" customHeight="1" x14ac:dyDescent="0.25">
      <c r="B36" s="73" t="s">
        <v>100</v>
      </c>
      <c r="C36" s="73"/>
      <c r="D36" s="73"/>
      <c r="E36" s="73"/>
      <c r="F36" s="73"/>
      <c r="G36" s="73"/>
      <c r="H36" s="76">
        <f>+H35</f>
        <v>15</v>
      </c>
      <c r="N36" s="77"/>
    </row>
    <row r="37" spans="1:14" ht="12.75" customHeight="1" x14ac:dyDescent="0.25">
      <c r="A37" s="91" t="s">
        <v>123</v>
      </c>
      <c r="B37" s="73" t="s">
        <v>138</v>
      </c>
      <c r="C37" s="73"/>
      <c r="D37" s="73"/>
      <c r="E37" s="73"/>
      <c r="F37" s="73"/>
      <c r="G37" s="73"/>
      <c r="H37" s="76">
        <f>+H36+1</f>
        <v>16</v>
      </c>
      <c r="N37" s="77"/>
    </row>
    <row r="38" spans="1:14" ht="12.75" customHeight="1" x14ac:dyDescent="0.25">
      <c r="B38" s="73" t="s">
        <v>101</v>
      </c>
      <c r="C38" s="73"/>
      <c r="D38" s="73"/>
      <c r="E38" s="73"/>
      <c r="F38" s="73"/>
      <c r="G38" s="73"/>
      <c r="H38" s="76">
        <f>+H37</f>
        <v>16</v>
      </c>
      <c r="N38" s="77"/>
    </row>
    <row r="39" spans="1:14" ht="12.75" customHeight="1" x14ac:dyDescent="0.25">
      <c r="B39" s="73"/>
      <c r="C39" s="73"/>
      <c r="D39" s="73"/>
      <c r="E39" s="73"/>
      <c r="F39" s="73"/>
      <c r="G39" s="73"/>
      <c r="H39" s="76"/>
      <c r="N39" s="77"/>
    </row>
    <row r="40" spans="1:14" ht="12.75" customHeight="1" x14ac:dyDescent="0.25">
      <c r="A40" s="91" t="s">
        <v>124</v>
      </c>
      <c r="B40" s="73" t="s">
        <v>167</v>
      </c>
      <c r="C40" s="73"/>
      <c r="D40" s="73"/>
      <c r="E40" s="73"/>
      <c r="F40" s="73"/>
      <c r="G40" s="73"/>
      <c r="H40" s="76">
        <f>+H38+1</f>
        <v>17</v>
      </c>
      <c r="N40" s="77"/>
    </row>
    <row r="41" spans="1:14" ht="12.75" customHeight="1" x14ac:dyDescent="0.25">
      <c r="B41" s="73" t="s">
        <v>168</v>
      </c>
      <c r="C41" s="73"/>
      <c r="D41" s="73"/>
      <c r="E41" s="73"/>
      <c r="F41" s="73"/>
      <c r="G41" s="73"/>
      <c r="H41" s="76">
        <f>+H40</f>
        <v>17</v>
      </c>
      <c r="N41" s="77"/>
    </row>
    <row r="42" spans="1:14" ht="12.75" customHeight="1" x14ac:dyDescent="0.25">
      <c r="B42" s="73"/>
      <c r="C42" s="73"/>
      <c r="D42" s="73"/>
      <c r="E42" s="73"/>
      <c r="F42" s="73"/>
      <c r="G42" s="73"/>
      <c r="H42" s="76"/>
      <c r="N42" s="77"/>
    </row>
    <row r="43" spans="1:14" ht="12.75" customHeight="1" x14ac:dyDescent="0.25">
      <c r="A43" s="91" t="s">
        <v>173</v>
      </c>
      <c r="B43" s="73" t="s">
        <v>139</v>
      </c>
      <c r="H43" s="76">
        <f>+H40+1</f>
        <v>18</v>
      </c>
      <c r="N43" s="77"/>
    </row>
    <row r="44" spans="1:14" ht="12.75" customHeight="1" x14ac:dyDescent="0.25">
      <c r="B44" s="73" t="s">
        <v>104</v>
      </c>
      <c r="H44" s="76">
        <f>+H43</f>
        <v>18</v>
      </c>
      <c r="N44" s="77"/>
    </row>
    <row r="45" spans="1:14" ht="12.75" customHeight="1" x14ac:dyDescent="0.25">
      <c r="A45" s="91" t="s">
        <v>125</v>
      </c>
      <c r="B45" s="73" t="s">
        <v>140</v>
      </c>
      <c r="H45" s="76">
        <f>+H43+1</f>
        <v>19</v>
      </c>
      <c r="N45" s="77"/>
    </row>
    <row r="46" spans="1:14" ht="12.75" customHeight="1" x14ac:dyDescent="0.25">
      <c r="B46" s="73" t="s">
        <v>102</v>
      </c>
      <c r="H46" s="76">
        <f>+H45</f>
        <v>19</v>
      </c>
      <c r="N46" s="77"/>
    </row>
    <row r="47" spans="1:14" ht="12.75" customHeight="1" x14ac:dyDescent="0.25">
      <c r="A47" s="91" t="s">
        <v>126</v>
      </c>
      <c r="B47" s="73" t="s">
        <v>141</v>
      </c>
      <c r="H47" s="76">
        <f>+H46+1</f>
        <v>20</v>
      </c>
      <c r="N47" s="77"/>
    </row>
    <row r="48" spans="1:14" ht="12.75" customHeight="1" x14ac:dyDescent="0.25">
      <c r="B48" s="73" t="s">
        <v>103</v>
      </c>
      <c r="H48" s="76">
        <f>H47</f>
        <v>20</v>
      </c>
      <c r="N48" s="77"/>
    </row>
    <row r="49" spans="1:14" ht="12.75" customHeight="1" x14ac:dyDescent="0.25">
      <c r="A49" s="91"/>
      <c r="B49" s="73"/>
      <c r="C49" s="73"/>
      <c r="D49" s="73"/>
      <c r="E49" s="73"/>
      <c r="F49" s="73"/>
      <c r="G49" s="73"/>
      <c r="H49" s="76"/>
      <c r="N49" s="77"/>
    </row>
    <row r="50" spans="1:14" ht="12.75" customHeight="1" x14ac:dyDescent="0.25">
      <c r="A50" s="91"/>
      <c r="B50" s="73"/>
      <c r="C50" s="73"/>
      <c r="D50" s="73"/>
      <c r="E50" s="73"/>
      <c r="F50" s="73"/>
      <c r="G50" s="73"/>
      <c r="H50" s="76"/>
      <c r="N50" s="77"/>
    </row>
    <row r="51" spans="1:14" ht="12.75" customHeight="1" x14ac:dyDescent="0.25">
      <c r="A51" s="91"/>
      <c r="B51" s="73"/>
      <c r="C51" s="73"/>
      <c r="D51" s="73"/>
      <c r="E51" s="73"/>
      <c r="F51" s="73"/>
      <c r="G51" s="73"/>
      <c r="H51" s="76"/>
      <c r="N51" s="77"/>
    </row>
    <row r="52" spans="1:14" ht="12.75" customHeight="1" x14ac:dyDescent="0.25">
      <c r="A52" s="91"/>
      <c r="B52" s="73"/>
      <c r="C52" s="73"/>
      <c r="D52" s="73"/>
      <c r="E52" s="73"/>
      <c r="F52" s="73"/>
      <c r="G52" s="73"/>
      <c r="H52" s="76"/>
      <c r="N52" s="77"/>
    </row>
    <row r="53" spans="1:14" ht="12.75" customHeight="1" x14ac:dyDescent="0.25">
      <c r="A53" s="91"/>
      <c r="B53" s="73"/>
      <c r="C53" s="73"/>
      <c r="D53" s="73"/>
      <c r="E53" s="73"/>
      <c r="F53" s="73"/>
      <c r="G53" s="73"/>
      <c r="H53" s="76"/>
      <c r="N53" s="77"/>
    </row>
    <row r="54" spans="1:14" ht="12.75" customHeight="1" x14ac:dyDescent="0.25">
      <c r="A54" s="91"/>
      <c r="B54" s="73"/>
      <c r="C54" s="73"/>
      <c r="D54" s="73"/>
      <c r="E54" s="73"/>
      <c r="F54" s="73"/>
      <c r="G54" s="73"/>
      <c r="H54" s="76"/>
      <c r="N54" s="77"/>
    </row>
    <row r="55" spans="1:14" ht="12.75" customHeight="1" x14ac:dyDescent="0.25">
      <c r="A55" s="91"/>
      <c r="B55" s="73"/>
      <c r="C55" s="73"/>
      <c r="D55" s="73"/>
      <c r="E55" s="73"/>
      <c r="F55" s="73"/>
      <c r="G55" s="73"/>
      <c r="H55" s="76"/>
      <c r="N55" s="77"/>
    </row>
    <row r="56" spans="1:14" ht="12.75" customHeight="1" x14ac:dyDescent="0.25">
      <c r="A56" s="91"/>
      <c r="B56" s="73"/>
      <c r="C56" s="73"/>
      <c r="D56" s="73"/>
      <c r="E56" s="73"/>
      <c r="F56" s="73"/>
      <c r="G56" s="73"/>
      <c r="H56" s="76"/>
      <c r="N56" s="77"/>
    </row>
    <row r="57" spans="1:14" ht="12.75" customHeight="1" x14ac:dyDescent="0.25">
      <c r="A57" s="91"/>
      <c r="B57" s="73"/>
      <c r="C57" s="73"/>
      <c r="D57" s="73"/>
      <c r="E57" s="73"/>
      <c r="F57" s="73"/>
      <c r="G57" s="73"/>
      <c r="H57" s="76"/>
      <c r="N57" s="77"/>
    </row>
    <row r="58" spans="1:14" ht="12.75" customHeight="1" x14ac:dyDescent="0.25">
      <c r="B58" s="73"/>
      <c r="C58" s="73"/>
      <c r="D58" s="73"/>
      <c r="E58" s="73"/>
      <c r="F58" s="73"/>
      <c r="G58" s="73"/>
      <c r="H58" s="76"/>
      <c r="N58" s="77"/>
    </row>
    <row r="59" spans="1:14" ht="12.75" customHeight="1" x14ac:dyDescent="0.2">
      <c r="B59" s="48"/>
      <c r="C59" s="49"/>
      <c r="D59" s="49"/>
      <c r="E59" s="97"/>
      <c r="F59" s="49"/>
      <c r="G59" s="50"/>
      <c r="H59" s="51"/>
      <c r="N59" s="77"/>
    </row>
    <row r="60" spans="1:14" ht="12.75" customHeight="1" x14ac:dyDescent="0.2">
      <c r="B60" s="52"/>
      <c r="C60" s="52"/>
      <c r="D60" s="52"/>
      <c r="E60" s="52"/>
      <c r="F60" s="52"/>
      <c r="G60" s="52"/>
      <c r="H60" s="52"/>
      <c r="I60" s="77"/>
    </row>
    <row r="61" spans="1:14" ht="12.75" customHeight="1" x14ac:dyDescent="0.2">
      <c r="B61" s="54" t="str">
        <f>+B123</f>
        <v>Finans Norge / Skadeforsikringsstatistikk</v>
      </c>
      <c r="H61" s="194">
        <v>1</v>
      </c>
      <c r="I61" s="77"/>
    </row>
    <row r="62" spans="1:14" ht="12.75" customHeight="1" x14ac:dyDescent="0.2">
      <c r="B62" s="54" t="str">
        <f>+B124</f>
        <v>Skadestatistikk for landbasert norsk skadeforsikring 4. kvartal 2019</v>
      </c>
      <c r="H62" s="195"/>
      <c r="I62" s="77"/>
    </row>
    <row r="63" spans="1:14" ht="12.75" customHeight="1" x14ac:dyDescent="0.2">
      <c r="I63" s="77"/>
    </row>
    <row r="64" spans="1:14" ht="12.75" customHeight="1" x14ac:dyDescent="0.2">
      <c r="I64" s="77"/>
    </row>
    <row r="66" spans="1:13" ht="12.75" customHeight="1" x14ac:dyDescent="0.25">
      <c r="A66" s="91" t="s">
        <v>127</v>
      </c>
      <c r="B66" s="73" t="s">
        <v>221</v>
      </c>
      <c r="H66" s="76">
        <f>H48+1</f>
        <v>21</v>
      </c>
    </row>
    <row r="67" spans="1:13" ht="12.75" customHeight="1" x14ac:dyDescent="0.25">
      <c r="B67" s="73" t="s">
        <v>222</v>
      </c>
      <c r="H67" s="76">
        <f>H66</f>
        <v>21</v>
      </c>
    </row>
    <row r="68" spans="1:13" ht="12.75" customHeight="1" x14ac:dyDescent="0.25">
      <c r="A68" s="91" t="s">
        <v>128</v>
      </c>
      <c r="B68" s="73" t="s">
        <v>223</v>
      </c>
      <c r="H68" s="76">
        <f>H67+1</f>
        <v>22</v>
      </c>
    </row>
    <row r="69" spans="1:13" ht="12.75" customHeight="1" x14ac:dyDescent="0.25">
      <c r="B69" s="73" t="s">
        <v>224</v>
      </c>
      <c r="H69" s="76">
        <f>H68</f>
        <v>22</v>
      </c>
    </row>
    <row r="70" spans="1:13" ht="12.75" customHeight="1" x14ac:dyDescent="0.25">
      <c r="A70" s="91" t="s">
        <v>129</v>
      </c>
      <c r="B70" s="73" t="s">
        <v>225</v>
      </c>
      <c r="H70" s="76">
        <f>H69+1</f>
        <v>23</v>
      </c>
      <c r="J70"/>
      <c r="K70"/>
      <c r="L70"/>
      <c r="M70"/>
    </row>
    <row r="71" spans="1:13" ht="12.75" customHeight="1" x14ac:dyDescent="0.25">
      <c r="B71" s="73" t="s">
        <v>226</v>
      </c>
      <c r="H71" s="76">
        <f>H70</f>
        <v>23</v>
      </c>
      <c r="J71"/>
      <c r="K71" s="71"/>
      <c r="L71" s="72"/>
      <c r="M71" s="72"/>
    </row>
    <row r="72" spans="1:13" ht="12.75" customHeight="1" x14ac:dyDescent="0.2">
      <c r="J72"/>
      <c r="K72" s="70"/>
      <c r="L72"/>
      <c r="M72"/>
    </row>
    <row r="73" spans="1:13" ht="12.75" customHeight="1" x14ac:dyDescent="0.25">
      <c r="A73" s="91" t="s">
        <v>130</v>
      </c>
      <c r="B73" s="73" t="s">
        <v>142</v>
      </c>
      <c r="C73" s="73"/>
      <c r="D73" s="73"/>
      <c r="E73" s="73"/>
      <c r="F73" s="73"/>
      <c r="G73" s="73"/>
      <c r="H73" s="76">
        <f>+H71+1</f>
        <v>24</v>
      </c>
      <c r="J73"/>
      <c r="K73" s="69"/>
      <c r="L73" s="69"/>
      <c r="M73" s="69"/>
    </row>
    <row r="74" spans="1:13" ht="12.75" customHeight="1" x14ac:dyDescent="0.25">
      <c r="B74" s="73" t="s">
        <v>107</v>
      </c>
      <c r="C74" s="73"/>
      <c r="D74" s="73"/>
      <c r="E74" s="73"/>
      <c r="F74" s="73"/>
      <c r="G74" s="73"/>
      <c r="H74" s="76">
        <f>+H73</f>
        <v>24</v>
      </c>
      <c r="J74"/>
      <c r="K74" s="69"/>
      <c r="L74" s="69"/>
      <c r="M74" s="69"/>
    </row>
    <row r="75" spans="1:13" ht="12.75" customHeight="1" x14ac:dyDescent="0.25">
      <c r="A75" s="91" t="s">
        <v>227</v>
      </c>
      <c r="B75" s="73" t="s">
        <v>143</v>
      </c>
      <c r="C75" s="73"/>
      <c r="D75" s="73"/>
      <c r="E75" s="73"/>
      <c r="F75" s="73"/>
      <c r="G75" s="73"/>
      <c r="H75" s="76">
        <f>+H74+1</f>
        <v>25</v>
      </c>
      <c r="J75"/>
      <c r="K75" s="69"/>
      <c r="L75" s="69"/>
      <c r="M75" s="69"/>
    </row>
    <row r="76" spans="1:13" ht="12.75" customHeight="1" x14ac:dyDescent="0.25">
      <c r="B76" s="73" t="s">
        <v>105</v>
      </c>
      <c r="C76" s="73"/>
      <c r="D76" s="73"/>
      <c r="E76" s="73"/>
      <c r="F76" s="73"/>
      <c r="G76" s="73"/>
      <c r="H76" s="76">
        <f>+H75</f>
        <v>25</v>
      </c>
      <c r="J76"/>
      <c r="K76" s="69"/>
      <c r="L76" s="69"/>
      <c r="M76" s="69"/>
    </row>
    <row r="77" spans="1:13" ht="12.75" customHeight="1" x14ac:dyDescent="0.25">
      <c r="A77" s="91" t="s">
        <v>228</v>
      </c>
      <c r="B77" s="73" t="s">
        <v>144</v>
      </c>
      <c r="C77" s="73"/>
      <c r="D77" s="73"/>
      <c r="E77" s="73"/>
      <c r="F77" s="73"/>
      <c r="G77" s="73"/>
      <c r="H77" s="76">
        <f>+H76+1</f>
        <v>26</v>
      </c>
      <c r="J77"/>
      <c r="K77"/>
      <c r="L77"/>
      <c r="M77"/>
    </row>
    <row r="78" spans="1:13" ht="12.75" customHeight="1" x14ac:dyDescent="0.25">
      <c r="B78" s="73" t="s">
        <v>106</v>
      </c>
      <c r="C78" s="73"/>
      <c r="D78" s="73"/>
      <c r="E78" s="73"/>
      <c r="F78" s="73"/>
      <c r="G78" s="73"/>
      <c r="H78" s="76">
        <f>+H77</f>
        <v>26</v>
      </c>
      <c r="J78"/>
      <c r="K78"/>
      <c r="L78"/>
      <c r="M78"/>
    </row>
    <row r="79" spans="1:13" ht="12.75" customHeight="1" x14ac:dyDescent="0.2">
      <c r="B79"/>
      <c r="C79"/>
      <c r="D79"/>
      <c r="E79"/>
      <c r="F79"/>
      <c r="G79"/>
      <c r="I79"/>
      <c r="J79"/>
      <c r="K79"/>
      <c r="L79"/>
      <c r="M79"/>
    </row>
    <row r="80" spans="1:13" ht="12.75" customHeight="1" x14ac:dyDescent="0.25">
      <c r="A80" s="91" t="s">
        <v>229</v>
      </c>
      <c r="B80" s="73" t="s">
        <v>92</v>
      </c>
      <c r="C80" s="73"/>
      <c r="D80" s="73"/>
      <c r="E80" s="73"/>
      <c r="F80" s="73"/>
      <c r="G80" s="73"/>
      <c r="H80" s="76">
        <f>+H78+1</f>
        <v>27</v>
      </c>
      <c r="I80"/>
      <c r="J80"/>
      <c r="K80"/>
      <c r="L80"/>
      <c r="M80"/>
    </row>
    <row r="81" spans="2:13" ht="12.75" customHeight="1" x14ac:dyDescent="0.2">
      <c r="C81"/>
      <c r="D81"/>
      <c r="E81"/>
      <c r="F81"/>
      <c r="G81"/>
      <c r="I81" s="68"/>
      <c r="J81"/>
      <c r="K81"/>
      <c r="L81"/>
      <c r="M81"/>
    </row>
    <row r="82" spans="2:13" ht="12.75" customHeight="1" x14ac:dyDescent="0.2">
      <c r="C82"/>
      <c r="D82"/>
      <c r="E82"/>
      <c r="F82"/>
      <c r="G82"/>
      <c r="I82" s="68"/>
      <c r="J82"/>
      <c r="K82"/>
      <c r="L82"/>
      <c r="M82"/>
    </row>
    <row r="83" spans="2:13" ht="12.75" customHeight="1" x14ac:dyDescent="0.2">
      <c r="C83"/>
      <c r="D83"/>
      <c r="E83"/>
      <c r="F83"/>
      <c r="G83"/>
      <c r="I83" s="68"/>
      <c r="J83"/>
      <c r="K83"/>
      <c r="L83"/>
      <c r="M83"/>
    </row>
    <row r="84" spans="2:13" ht="12.75" customHeight="1" x14ac:dyDescent="0.2">
      <c r="C84"/>
      <c r="D84"/>
      <c r="E84"/>
      <c r="F84"/>
      <c r="G84"/>
      <c r="I84" s="68"/>
      <c r="J84"/>
      <c r="K84"/>
      <c r="L84"/>
      <c r="M84"/>
    </row>
    <row r="85" spans="2:13" ht="12.75" customHeight="1" x14ac:dyDescent="0.2">
      <c r="C85"/>
      <c r="D85"/>
      <c r="E85"/>
      <c r="F85"/>
      <c r="G85"/>
      <c r="I85" s="68"/>
      <c r="J85"/>
      <c r="K85"/>
      <c r="L85"/>
      <c r="M85"/>
    </row>
    <row r="86" spans="2:13" ht="12.75" customHeight="1" x14ac:dyDescent="0.2">
      <c r="C86"/>
      <c r="D86"/>
      <c r="E86"/>
      <c r="F86"/>
      <c r="G86"/>
      <c r="I86" s="68"/>
      <c r="J86"/>
      <c r="K86"/>
      <c r="L86"/>
      <c r="M86"/>
    </row>
    <row r="87" spans="2:13" ht="12.75" customHeight="1" x14ac:dyDescent="0.2">
      <c r="C87"/>
      <c r="D87"/>
      <c r="E87"/>
      <c r="F87"/>
      <c r="G87"/>
      <c r="I87" s="68"/>
      <c r="J87"/>
      <c r="K87"/>
      <c r="L87"/>
      <c r="M87"/>
    </row>
    <row r="88" spans="2:13" ht="12.75" customHeight="1" x14ac:dyDescent="0.2">
      <c r="C88"/>
      <c r="D88"/>
      <c r="E88"/>
      <c r="F88"/>
      <c r="G88"/>
      <c r="I88" s="68"/>
      <c r="J88"/>
      <c r="K88"/>
      <c r="L88"/>
      <c r="M88"/>
    </row>
    <row r="89" spans="2:13" ht="12.75" customHeight="1" x14ac:dyDescent="0.2">
      <c r="C89"/>
      <c r="D89"/>
      <c r="E89"/>
      <c r="F89"/>
      <c r="G89"/>
      <c r="I89"/>
      <c r="J89"/>
      <c r="K89"/>
      <c r="L89"/>
      <c r="M89"/>
    </row>
    <row r="90" spans="2:13" ht="12.75" customHeight="1" x14ac:dyDescent="0.2">
      <c r="C90"/>
      <c r="D90"/>
      <c r="E90"/>
      <c r="F90"/>
      <c r="G90"/>
      <c r="I90"/>
      <c r="J90"/>
      <c r="K90"/>
      <c r="L90"/>
      <c r="M90"/>
    </row>
    <row r="91" spans="2:13" ht="12.75" customHeight="1" x14ac:dyDescent="0.25">
      <c r="B91" s="88"/>
      <c r="C91"/>
      <c r="D91"/>
      <c r="E91"/>
      <c r="F91"/>
      <c r="G91"/>
      <c r="I91"/>
      <c r="J91"/>
      <c r="K91"/>
      <c r="L91"/>
      <c r="M91"/>
    </row>
    <row r="92" spans="2:13" ht="12.75" customHeight="1" x14ac:dyDescent="0.2">
      <c r="C92"/>
      <c r="D92"/>
      <c r="E92"/>
      <c r="F92"/>
      <c r="G92"/>
      <c r="I92"/>
      <c r="J92"/>
      <c r="K92"/>
      <c r="L92"/>
      <c r="M92"/>
    </row>
    <row r="93" spans="2:13" ht="12.75" customHeight="1" x14ac:dyDescent="0.2">
      <c r="C93"/>
      <c r="D93"/>
      <c r="E93"/>
      <c r="F93"/>
      <c r="G93"/>
      <c r="I93"/>
      <c r="J93"/>
      <c r="K93"/>
      <c r="L93"/>
      <c r="M93"/>
    </row>
    <row r="94" spans="2:13" ht="12.75" customHeight="1" x14ac:dyDescent="0.2">
      <c r="B94"/>
      <c r="C94"/>
      <c r="D94"/>
      <c r="E94"/>
      <c r="F94"/>
      <c r="G94"/>
      <c r="I94"/>
      <c r="J94"/>
      <c r="K94"/>
      <c r="L94"/>
      <c r="M94"/>
    </row>
    <row r="95" spans="2:13" ht="12.75" customHeight="1" x14ac:dyDescent="0.2">
      <c r="B95"/>
      <c r="C95"/>
      <c r="D95"/>
      <c r="E95"/>
      <c r="F95"/>
      <c r="G95"/>
      <c r="I95"/>
      <c r="J95"/>
      <c r="K95"/>
      <c r="L95"/>
      <c r="M95"/>
    </row>
    <row r="96" spans="2:13" ht="12.75" customHeight="1" x14ac:dyDescent="0.2">
      <c r="C96"/>
      <c r="D96"/>
      <c r="E96"/>
      <c r="F96"/>
      <c r="G96"/>
      <c r="I96"/>
      <c r="J96"/>
      <c r="K96"/>
      <c r="L96"/>
      <c r="M96"/>
    </row>
    <row r="97" spans="2:13" ht="12.75" customHeight="1" x14ac:dyDescent="0.2">
      <c r="C97"/>
      <c r="D97"/>
      <c r="E97"/>
      <c r="F97"/>
      <c r="G97"/>
      <c r="I97"/>
      <c r="J97"/>
      <c r="K97"/>
      <c r="L97"/>
      <c r="M97"/>
    </row>
    <row r="98" spans="2:13" ht="12.75" customHeight="1" x14ac:dyDescent="0.2">
      <c r="B98"/>
      <c r="C98"/>
      <c r="D98"/>
      <c r="E98"/>
      <c r="F98"/>
      <c r="G98"/>
      <c r="I98"/>
      <c r="J98"/>
      <c r="K98"/>
      <c r="L98"/>
      <c r="M98"/>
    </row>
    <row r="99" spans="2:13" ht="12.75" customHeight="1" x14ac:dyDescent="0.2">
      <c r="C99"/>
      <c r="D99"/>
      <c r="E99"/>
      <c r="F99"/>
      <c r="G99"/>
      <c r="I99"/>
      <c r="J99"/>
      <c r="K99"/>
      <c r="L99"/>
      <c r="M99"/>
    </row>
    <row r="100" spans="2:13" ht="12.75" customHeight="1" x14ac:dyDescent="0.2">
      <c r="C100"/>
      <c r="D100"/>
      <c r="E100"/>
      <c r="F100"/>
      <c r="G100"/>
      <c r="I100"/>
      <c r="J100"/>
      <c r="K100"/>
      <c r="L100"/>
      <c r="M100"/>
    </row>
    <row r="101" spans="2:13" ht="12.75" customHeight="1" x14ac:dyDescent="0.2">
      <c r="B101"/>
      <c r="C101"/>
      <c r="D101"/>
      <c r="E101"/>
      <c r="F101"/>
      <c r="G101"/>
      <c r="I101"/>
      <c r="J101"/>
      <c r="K101"/>
      <c r="L101"/>
      <c r="M101"/>
    </row>
    <row r="102" spans="2:13" ht="12.75" customHeight="1" x14ac:dyDescent="0.2">
      <c r="B102"/>
      <c r="C102"/>
      <c r="D102"/>
      <c r="E102"/>
      <c r="F102"/>
      <c r="G102"/>
      <c r="I102"/>
      <c r="J102"/>
      <c r="K102"/>
      <c r="L102"/>
      <c r="M102"/>
    </row>
    <row r="103" spans="2:13" ht="12.75" customHeight="1" x14ac:dyDescent="0.2">
      <c r="B103"/>
      <c r="C103"/>
      <c r="D103"/>
      <c r="E103"/>
      <c r="F103"/>
      <c r="G103"/>
      <c r="I103"/>
      <c r="J103"/>
      <c r="K103"/>
      <c r="L103"/>
      <c r="M103"/>
    </row>
    <row r="104" spans="2:13" ht="12.75" customHeight="1" x14ac:dyDescent="0.2">
      <c r="B104"/>
      <c r="C104"/>
      <c r="D104"/>
      <c r="E104"/>
      <c r="F104"/>
      <c r="G104"/>
      <c r="I104"/>
      <c r="J104"/>
      <c r="K104"/>
      <c r="L104"/>
      <c r="M104"/>
    </row>
    <row r="105" spans="2:13" ht="12.75" customHeight="1" x14ac:dyDescent="0.2">
      <c r="B105"/>
      <c r="C105"/>
      <c r="D105"/>
      <c r="E105"/>
      <c r="F105"/>
      <c r="G105"/>
      <c r="I105"/>
      <c r="J105"/>
      <c r="K105"/>
      <c r="L105"/>
      <c r="M105"/>
    </row>
    <row r="106" spans="2:13" ht="12.75" customHeight="1" x14ac:dyDescent="0.2">
      <c r="B106"/>
      <c r="C106"/>
      <c r="D106"/>
      <c r="E106"/>
      <c r="F106"/>
      <c r="G106"/>
      <c r="I106"/>
      <c r="J106"/>
      <c r="K106"/>
      <c r="L106"/>
      <c r="M106"/>
    </row>
    <row r="107" spans="2:13" ht="12.75" customHeight="1" x14ac:dyDescent="0.2">
      <c r="B107"/>
      <c r="C107"/>
      <c r="D107"/>
      <c r="E107"/>
      <c r="F107"/>
      <c r="G107"/>
      <c r="I107"/>
      <c r="J107"/>
      <c r="K107"/>
      <c r="L107"/>
      <c r="M107"/>
    </row>
    <row r="108" spans="2:13" ht="12.75" customHeight="1" x14ac:dyDescent="0.2">
      <c r="B108"/>
      <c r="C108"/>
      <c r="D108"/>
      <c r="E108"/>
      <c r="F108"/>
      <c r="G108"/>
      <c r="I108"/>
      <c r="J108"/>
      <c r="K108"/>
      <c r="L108"/>
      <c r="M108"/>
    </row>
    <row r="109" spans="2:13" ht="12.75" customHeight="1" x14ac:dyDescent="0.2">
      <c r="B109"/>
      <c r="C109"/>
      <c r="D109"/>
      <c r="E109"/>
      <c r="F109"/>
      <c r="G109"/>
      <c r="I109"/>
      <c r="J109"/>
      <c r="K109"/>
      <c r="L109"/>
      <c r="M109"/>
    </row>
    <row r="110" spans="2:13" ht="12.75" customHeight="1" x14ac:dyDescent="0.2">
      <c r="B110"/>
      <c r="C110"/>
      <c r="D110"/>
      <c r="E110"/>
      <c r="F110"/>
      <c r="G110"/>
      <c r="I110"/>
      <c r="J110"/>
      <c r="K110"/>
      <c r="L110"/>
      <c r="M110"/>
    </row>
    <row r="111" spans="2:13" ht="12.75" customHeight="1" x14ac:dyDescent="0.2">
      <c r="B111"/>
      <c r="C111"/>
      <c r="D111"/>
      <c r="E111"/>
      <c r="F111"/>
      <c r="G111"/>
      <c r="I111"/>
      <c r="J111"/>
      <c r="K111"/>
      <c r="L111"/>
      <c r="M111"/>
    </row>
    <row r="112" spans="2:13" ht="12.75" customHeight="1" x14ac:dyDescent="0.2">
      <c r="B112"/>
      <c r="C112"/>
      <c r="D112"/>
      <c r="E112"/>
      <c r="F112"/>
      <c r="G112"/>
      <c r="I112"/>
      <c r="J112"/>
      <c r="K112"/>
      <c r="L112"/>
      <c r="M112"/>
    </row>
    <row r="113" spans="2:13" ht="12.75" customHeight="1" x14ac:dyDescent="0.2">
      <c r="B113"/>
      <c r="C113"/>
      <c r="D113"/>
      <c r="E113"/>
      <c r="F113"/>
      <c r="G113"/>
      <c r="I113"/>
      <c r="J113"/>
      <c r="K113"/>
      <c r="L113"/>
      <c r="M113"/>
    </row>
    <row r="114" spans="2:13" ht="12.75" customHeight="1" x14ac:dyDescent="0.2">
      <c r="B114"/>
      <c r="C114"/>
      <c r="D114"/>
      <c r="E114"/>
      <c r="F114"/>
      <c r="G114"/>
      <c r="I114"/>
      <c r="J114"/>
      <c r="K114"/>
      <c r="L114"/>
      <c r="M114"/>
    </row>
    <row r="115" spans="2:13" ht="12.75" customHeight="1" x14ac:dyDescent="0.2">
      <c r="B115"/>
      <c r="C115"/>
      <c r="D115"/>
      <c r="E115"/>
      <c r="F115"/>
      <c r="G115"/>
      <c r="L115"/>
    </row>
    <row r="116" spans="2:13" ht="12.75" customHeight="1" x14ac:dyDescent="0.2">
      <c r="B116"/>
      <c r="C116"/>
      <c r="D116"/>
      <c r="E116"/>
      <c r="F116"/>
      <c r="G116"/>
      <c r="L116"/>
    </row>
    <row r="117" spans="2:13" ht="12.75" customHeight="1" x14ac:dyDescent="0.2">
      <c r="B117"/>
      <c r="C117"/>
      <c r="D117"/>
      <c r="E117"/>
      <c r="F117"/>
      <c r="G117"/>
      <c r="I117"/>
      <c r="J117"/>
      <c r="K117"/>
      <c r="L117"/>
    </row>
    <row r="118" spans="2:13" ht="12.75" customHeight="1" x14ac:dyDescent="0.2">
      <c r="B118"/>
      <c r="C118"/>
      <c r="D118"/>
      <c r="E118"/>
      <c r="F118"/>
      <c r="G118"/>
      <c r="I118"/>
      <c r="J118"/>
      <c r="K118"/>
      <c r="L118"/>
    </row>
    <row r="119" spans="2:13" ht="12.75" customHeight="1" x14ac:dyDescent="0.2">
      <c r="B119"/>
      <c r="C119"/>
      <c r="D119"/>
      <c r="E119"/>
      <c r="F119"/>
      <c r="G119"/>
      <c r="I119"/>
      <c r="J119"/>
      <c r="K119"/>
      <c r="L119"/>
    </row>
    <row r="120" spans="2:13" ht="12.75" customHeight="1" x14ac:dyDescent="0.2">
      <c r="B120"/>
      <c r="C120"/>
      <c r="D120"/>
      <c r="E120"/>
      <c r="F120"/>
      <c r="G120"/>
      <c r="I120"/>
      <c r="J120"/>
      <c r="K120"/>
      <c r="L120"/>
    </row>
    <row r="121" spans="2:13" ht="12.75" customHeight="1" x14ac:dyDescent="0.2">
      <c r="B121"/>
      <c r="C121"/>
      <c r="D121"/>
      <c r="E121"/>
      <c r="F121"/>
      <c r="G121"/>
      <c r="I121"/>
      <c r="J121"/>
      <c r="K121"/>
      <c r="L121"/>
    </row>
    <row r="122" spans="2:13" ht="12.75" customHeight="1" x14ac:dyDescent="0.2">
      <c r="B122" s="52"/>
      <c r="C122" s="52"/>
      <c r="D122" s="52"/>
      <c r="E122" s="52"/>
      <c r="F122" s="52"/>
      <c r="G122" s="52"/>
      <c r="H122" s="52"/>
      <c r="I122"/>
      <c r="J122" s="69"/>
      <c r="K122" s="69"/>
      <c r="L122" s="69"/>
    </row>
    <row r="123" spans="2:13" ht="12.75" customHeight="1" x14ac:dyDescent="0.2">
      <c r="B123" s="54" t="s">
        <v>235</v>
      </c>
      <c r="H123" s="194">
        <v>2</v>
      </c>
      <c r="I123"/>
      <c r="J123" s="69"/>
      <c r="K123" s="69"/>
      <c r="L123" s="69"/>
    </row>
    <row r="124" spans="2:13" ht="12.75" customHeight="1" x14ac:dyDescent="0.2">
      <c r="B124" s="54" t="str">
        <f>"Skadestatistikk for landbasert norsk skadeforsikring 4. kvartal 2019"</f>
        <v>Skadestatistikk for landbasert norsk skadeforsikring 4. kvartal 2019</v>
      </c>
      <c r="H124" s="195"/>
      <c r="I124"/>
      <c r="J124"/>
      <c r="K124"/>
      <c r="L124"/>
    </row>
    <row r="125" spans="2:13" ht="12.75" customHeight="1" x14ac:dyDescent="0.2">
      <c r="B125" s="78"/>
      <c r="C125"/>
      <c r="D125"/>
      <c r="E125"/>
      <c r="F125"/>
      <c r="G125"/>
      <c r="I125"/>
      <c r="J125"/>
      <c r="K125"/>
      <c r="L125"/>
    </row>
    <row r="126" spans="2:13" ht="12.75" customHeight="1" x14ac:dyDescent="0.2">
      <c r="B126"/>
      <c r="C126"/>
      <c r="D126"/>
      <c r="E126"/>
      <c r="F126"/>
      <c r="G126"/>
      <c r="I126"/>
      <c r="J126"/>
      <c r="K126"/>
      <c r="L126"/>
    </row>
    <row r="127" spans="2:13" ht="12.75" customHeight="1" x14ac:dyDescent="0.2">
      <c r="B127"/>
      <c r="C127"/>
      <c r="D127"/>
      <c r="E127"/>
      <c r="F127"/>
      <c r="G127"/>
      <c r="L127"/>
    </row>
    <row r="128" spans="2:13" ht="12.75" customHeight="1" x14ac:dyDescent="0.2">
      <c r="B128"/>
      <c r="C128"/>
      <c r="D128"/>
      <c r="E128"/>
      <c r="F128"/>
      <c r="G128"/>
      <c r="L128"/>
    </row>
    <row r="129" spans="2:12" ht="12.75" customHeight="1" x14ac:dyDescent="0.2">
      <c r="B129"/>
      <c r="C129"/>
      <c r="D129"/>
      <c r="E129"/>
      <c r="F129"/>
      <c r="G129"/>
      <c r="I129" s="68"/>
      <c r="J129"/>
      <c r="K129"/>
      <c r="L129"/>
    </row>
    <row r="130" spans="2:12" ht="12.75" customHeight="1" x14ac:dyDescent="0.2">
      <c r="B130"/>
      <c r="C130"/>
      <c r="D130"/>
      <c r="E130"/>
      <c r="F130"/>
      <c r="G130"/>
      <c r="I130"/>
      <c r="J130"/>
      <c r="K130"/>
      <c r="L130"/>
    </row>
    <row r="131" spans="2:12" ht="12.75" customHeight="1" x14ac:dyDescent="0.2">
      <c r="B131"/>
      <c r="C131"/>
      <c r="D131"/>
      <c r="E131"/>
      <c r="F131"/>
      <c r="G131"/>
      <c r="I131"/>
      <c r="J131"/>
      <c r="K131"/>
      <c r="L131"/>
    </row>
    <row r="132" spans="2:12" ht="12.75" customHeight="1" x14ac:dyDescent="0.2">
      <c r="B132"/>
      <c r="C132"/>
      <c r="D132"/>
      <c r="E132"/>
      <c r="F132"/>
      <c r="G132"/>
      <c r="I132"/>
      <c r="J132"/>
      <c r="K132" s="69"/>
      <c r="L132" s="69"/>
    </row>
    <row r="133" spans="2:12" ht="12.75" customHeight="1" x14ac:dyDescent="0.2">
      <c r="B133"/>
      <c r="C133"/>
      <c r="D133"/>
      <c r="E133"/>
      <c r="F133"/>
      <c r="G133"/>
      <c r="I133"/>
      <c r="J133"/>
      <c r="K133" s="69"/>
      <c r="L133" s="69"/>
    </row>
    <row r="134" spans="2:12" ht="12.75" customHeight="1" x14ac:dyDescent="0.2">
      <c r="B134"/>
      <c r="C134"/>
      <c r="D134"/>
      <c r="E134"/>
      <c r="F134"/>
      <c r="G134"/>
      <c r="I134"/>
      <c r="J134"/>
      <c r="K134" s="69"/>
      <c r="L134" s="69"/>
    </row>
    <row r="135" spans="2:12" ht="12.75" customHeight="1" x14ac:dyDescent="0.2">
      <c r="B135"/>
      <c r="C135"/>
      <c r="D135"/>
      <c r="E135"/>
      <c r="F135"/>
      <c r="G135"/>
      <c r="I135"/>
      <c r="J135"/>
      <c r="K135"/>
      <c r="L135"/>
    </row>
    <row r="136" spans="2:12" ht="12.75" customHeight="1" x14ac:dyDescent="0.2">
      <c r="B136"/>
      <c r="C136"/>
      <c r="D136"/>
      <c r="E136"/>
      <c r="F136"/>
      <c r="G136"/>
      <c r="I136"/>
      <c r="J136"/>
      <c r="K136"/>
      <c r="L136"/>
    </row>
    <row r="137" spans="2:12" ht="12.75" customHeight="1" x14ac:dyDescent="0.2">
      <c r="B137"/>
      <c r="C137"/>
      <c r="D137"/>
      <c r="E137"/>
      <c r="F137"/>
      <c r="G137"/>
      <c r="I137"/>
      <c r="J137"/>
      <c r="K137"/>
      <c r="L137"/>
    </row>
    <row r="138" spans="2:12" ht="12.75" customHeight="1" x14ac:dyDescent="0.2">
      <c r="B138"/>
      <c r="C138"/>
      <c r="D138"/>
      <c r="E138"/>
      <c r="F138"/>
      <c r="G138"/>
    </row>
    <row r="139" spans="2:12" ht="12.75" customHeight="1" x14ac:dyDescent="0.2">
      <c r="B139"/>
      <c r="C139"/>
      <c r="D139"/>
      <c r="E139"/>
      <c r="F139"/>
      <c r="G139"/>
    </row>
    <row r="140" spans="2:12" ht="12.75" customHeight="1" x14ac:dyDescent="0.2">
      <c r="B140"/>
      <c r="C140"/>
      <c r="D140"/>
      <c r="E140"/>
      <c r="F140"/>
      <c r="G140"/>
      <c r="I140" s="68"/>
      <c r="J140"/>
      <c r="K140"/>
      <c r="L140"/>
    </row>
    <row r="141" spans="2:12" ht="12.75" customHeight="1" x14ac:dyDescent="0.2">
      <c r="B141"/>
      <c r="C141"/>
      <c r="D141"/>
      <c r="E141"/>
      <c r="F141"/>
      <c r="G141"/>
      <c r="I141"/>
      <c r="J141"/>
      <c r="K141"/>
      <c r="L141"/>
    </row>
    <row r="142" spans="2:12" ht="12.75" customHeight="1" x14ac:dyDescent="0.2">
      <c r="B142"/>
      <c r="C142"/>
      <c r="D142"/>
      <c r="E142"/>
      <c r="F142"/>
      <c r="G142"/>
      <c r="I142"/>
      <c r="J142"/>
      <c r="K142"/>
      <c r="L142"/>
    </row>
    <row r="143" spans="2:12" ht="12.75" customHeight="1" x14ac:dyDescent="0.2">
      <c r="B143"/>
      <c r="C143"/>
      <c r="D143"/>
      <c r="E143"/>
      <c r="F143"/>
      <c r="G143"/>
      <c r="I143"/>
      <c r="J143"/>
      <c r="K143" s="69"/>
      <c r="L143" s="69"/>
    </row>
    <row r="144" spans="2:12" ht="12.75" customHeight="1" x14ac:dyDescent="0.2">
      <c r="B144"/>
      <c r="C144"/>
      <c r="D144"/>
      <c r="E144"/>
      <c r="F144"/>
      <c r="G144"/>
      <c r="I144"/>
      <c r="J144"/>
      <c r="K144" s="69"/>
      <c r="L144" s="69"/>
    </row>
    <row r="145" spans="2:12" ht="12.75" customHeight="1" x14ac:dyDescent="0.2">
      <c r="B145"/>
      <c r="C145"/>
      <c r="D145"/>
      <c r="E145"/>
      <c r="F145"/>
      <c r="G145"/>
      <c r="I145"/>
      <c r="J145"/>
      <c r="K145" s="69"/>
      <c r="L145" s="69"/>
    </row>
    <row r="146" spans="2:12" ht="12.75" customHeight="1" x14ac:dyDescent="0.2">
      <c r="B146"/>
      <c r="C146"/>
      <c r="D146"/>
      <c r="E146"/>
      <c r="F146"/>
      <c r="G146"/>
      <c r="I146"/>
      <c r="J146"/>
      <c r="K146"/>
      <c r="L146"/>
    </row>
    <row r="147" spans="2:12" ht="12.75" customHeight="1" x14ac:dyDescent="0.2">
      <c r="B147"/>
      <c r="C147"/>
      <c r="D147"/>
      <c r="E147"/>
      <c r="F147"/>
      <c r="G147"/>
      <c r="H147"/>
      <c r="I147"/>
      <c r="J147"/>
      <c r="K147"/>
      <c r="L147"/>
    </row>
    <row r="148" spans="2:12" ht="12.75" customHeight="1" x14ac:dyDescent="0.2">
      <c r="B148"/>
      <c r="C148"/>
      <c r="D148"/>
      <c r="E148"/>
      <c r="F148"/>
      <c r="G148"/>
      <c r="H148"/>
      <c r="I148"/>
      <c r="J148"/>
      <c r="K148"/>
      <c r="L148"/>
    </row>
    <row r="149" spans="2:12" ht="12.75" customHeight="1" x14ac:dyDescent="0.2">
      <c r="B149"/>
      <c r="C149"/>
      <c r="D149"/>
      <c r="E149"/>
      <c r="F149"/>
      <c r="G149"/>
      <c r="H149"/>
      <c r="I149"/>
      <c r="J149" s="69"/>
      <c r="K149" s="69"/>
    </row>
    <row r="150" spans="2:12" ht="12.75" customHeight="1" x14ac:dyDescent="0.2">
      <c r="B150"/>
      <c r="C150" s="69"/>
      <c r="D150" s="69"/>
      <c r="E150"/>
      <c r="F150"/>
      <c r="G150"/>
      <c r="H150"/>
      <c r="I150"/>
      <c r="J150" s="69"/>
      <c r="K150" s="69"/>
    </row>
    <row r="151" spans="2:12" ht="12.75" customHeight="1" x14ac:dyDescent="0.2">
      <c r="B151"/>
      <c r="C151"/>
      <c r="D151"/>
      <c r="E151"/>
      <c r="G151"/>
      <c r="H151"/>
      <c r="I151"/>
      <c r="J151"/>
      <c r="K151"/>
    </row>
    <row r="152" spans="2:12" ht="12.75" customHeight="1" x14ac:dyDescent="0.2">
      <c r="B152"/>
      <c r="C152"/>
      <c r="D152"/>
      <c r="E152"/>
      <c r="G152"/>
      <c r="H152"/>
      <c r="I152"/>
      <c r="J152"/>
      <c r="K152"/>
    </row>
    <row r="153" spans="2:12" ht="12.75" customHeight="1" x14ac:dyDescent="0.2">
      <c r="B153"/>
      <c r="C153"/>
      <c r="D153"/>
      <c r="E153"/>
      <c r="G153"/>
      <c r="H153"/>
      <c r="I153"/>
      <c r="J153"/>
      <c r="K153"/>
    </row>
    <row r="154" spans="2:12" ht="12.75" customHeight="1" x14ac:dyDescent="0.2">
      <c r="B154"/>
      <c r="C154" s="69"/>
      <c r="D154" s="69"/>
      <c r="E154"/>
      <c r="G154"/>
      <c r="H154"/>
      <c r="I154"/>
      <c r="J154"/>
      <c r="K154"/>
    </row>
    <row r="155" spans="2:12" ht="12.75" customHeight="1" x14ac:dyDescent="0.2">
      <c r="B155"/>
      <c r="C155" s="69"/>
      <c r="D155" s="69"/>
      <c r="E155"/>
      <c r="G155"/>
      <c r="H155"/>
      <c r="I155"/>
      <c r="J155"/>
      <c r="K155"/>
    </row>
    <row r="156" spans="2:12" ht="12.75" customHeight="1" x14ac:dyDescent="0.2">
      <c r="B156"/>
      <c r="C156" s="69"/>
      <c r="D156" s="69"/>
      <c r="E156"/>
      <c r="G156"/>
    </row>
    <row r="157" spans="2:12" ht="12.75" customHeight="1" x14ac:dyDescent="0.2">
      <c r="B157"/>
      <c r="C157"/>
      <c r="D157"/>
      <c r="E157"/>
      <c r="G157"/>
    </row>
    <row r="158" spans="2:12" ht="12.75" customHeight="1" x14ac:dyDescent="0.2">
      <c r="B158"/>
      <c r="C158" s="69"/>
      <c r="D158" s="69"/>
      <c r="E158"/>
      <c r="G158"/>
    </row>
    <row r="159" spans="2:12" ht="12.75" customHeight="1" x14ac:dyDescent="0.2">
      <c r="B159"/>
      <c r="C159" s="69"/>
      <c r="D159" s="69"/>
      <c r="E159"/>
      <c r="G159"/>
    </row>
    <row r="160" spans="2:12" ht="12.75" customHeight="1" x14ac:dyDescent="0.2">
      <c r="B160"/>
      <c r="C160" s="69"/>
      <c r="D160" s="69"/>
      <c r="E160"/>
      <c r="G160"/>
    </row>
    <row r="161" spans="2:7" ht="12.75" customHeight="1" x14ac:dyDescent="0.2">
      <c r="B161"/>
      <c r="C161"/>
      <c r="D161"/>
      <c r="E161"/>
      <c r="G161"/>
    </row>
    <row r="162" spans="2:7" ht="12.75" customHeight="1" x14ac:dyDescent="0.2">
      <c r="B162"/>
      <c r="C162" s="69"/>
      <c r="D162" s="69"/>
      <c r="E162"/>
      <c r="G162"/>
    </row>
    <row r="163" spans="2:7" ht="12.75" customHeight="1" x14ac:dyDescent="0.2">
      <c r="B163"/>
      <c r="C163" s="69"/>
      <c r="D163" s="69"/>
      <c r="E163"/>
      <c r="G163"/>
    </row>
  </sheetData>
  <mergeCells count="2">
    <mergeCell ref="H61:H62"/>
    <mergeCell ref="H123:H124"/>
  </mergeCells>
  <phoneticPr fontId="0" type="noConversion"/>
  <hyperlinks>
    <hyperlink ref="A8" location="Tab1!A2" display="Tab1" xr:uid="{00000000-0004-0000-0100-000000000000}"/>
    <hyperlink ref="A11" location="Tab2!A2" display="Tab2" xr:uid="{00000000-0004-0000-0100-000001000000}"/>
    <hyperlink ref="A23" location="Tab3!A2" display="Tab3" xr:uid="{00000000-0004-0000-0100-000002000000}"/>
    <hyperlink ref="A24" location="Tab4!A2" display="Tab4" xr:uid="{00000000-0004-0000-0100-000003000000}"/>
    <hyperlink ref="A26" location="Tab5!A2" display="Tab5" xr:uid="{00000000-0004-0000-0100-000004000000}"/>
    <hyperlink ref="A28" location="Tab6!A2" display="Tab6" xr:uid="{00000000-0004-0000-0100-000005000000}"/>
    <hyperlink ref="A31" location="Tab7!A2" display="Tab7" xr:uid="{00000000-0004-0000-0100-000006000000}"/>
    <hyperlink ref="A33" location="Tab8!A2" display="Tab8" xr:uid="{00000000-0004-0000-0100-000007000000}"/>
    <hyperlink ref="A35" location="Tab9!A2" display="Tab9" xr:uid="{00000000-0004-0000-0100-000008000000}"/>
    <hyperlink ref="A37" location="Tab10!A2" display="Tab10" xr:uid="{00000000-0004-0000-0100-000009000000}"/>
    <hyperlink ref="A40" location="Tab11!A2" display="Tab11" xr:uid="{00000000-0004-0000-0100-00000A000000}"/>
    <hyperlink ref="A43" location="'Tab12'!A2" display="Tab12" xr:uid="{00000000-0004-0000-0100-00000B000000}"/>
    <hyperlink ref="A45" location="'Tab13'!A2" display="Tab13" xr:uid="{00000000-0004-0000-0100-00000C000000}"/>
    <hyperlink ref="A73" location="'Tab18'!A2" display="Tab18" xr:uid="{00000000-0004-0000-0100-00000D000000}"/>
    <hyperlink ref="A75" location="'Tab19'!A2" display="Tab19" xr:uid="{00000000-0004-0000-0100-00000E000000}"/>
    <hyperlink ref="A77" location="'Tab20'!A2" display="Tab20" xr:uid="{00000000-0004-0000-0100-00000F000000}"/>
    <hyperlink ref="A47" location="'Tab14'!A2" display="Tab14" xr:uid="{00000000-0004-0000-0100-000010000000}"/>
    <hyperlink ref="A80" location="'Tab21'!A2" display="Tab21" xr:uid="{00000000-0004-0000-0100-000011000000}"/>
    <hyperlink ref="A66" location="'Tab15'!A2" display="Tab15" xr:uid="{00000000-0004-0000-0100-000012000000}"/>
    <hyperlink ref="A68" location="'Tab16'!A2" display="Tab16" xr:uid="{00000000-0004-0000-0100-000013000000}"/>
    <hyperlink ref="A70" location="'Tab17'!A2" display="Tab17" xr:uid="{00000000-0004-0000-0100-000014000000}"/>
  </hyperlinks>
  <pageMargins left="0.78740157480314965" right="0.78740157480314965" top="0.98425196850393704" bottom="0.19685039370078741" header="3.937007874015748E-2" footer="3.937007874015748E-2"/>
  <pageSetup paperSize="9" scale="93" fitToWidth="0" fitToHeight="0" orientation="portrait" horizontalDpi="300" verticalDpi="300" r:id="rId1"/>
  <headerFooter alignWithMargins="0"/>
  <rowBreaks count="1" manualBreakCount="1">
    <brk id="62" max="16383" man="1"/>
  </rowBreaks>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I68"/>
  <sheetViews>
    <sheetView showGridLines="0" showRowColHeaders="0" zoomScaleNormal="100" zoomScaleSheetLayoutView="70" workbookViewId="0"/>
  </sheetViews>
  <sheetFormatPr defaultColWidth="11.42578125" defaultRowHeight="12.75" x14ac:dyDescent="0.2"/>
  <cols>
    <col min="1" max="1" width="26.42578125" style="1" customWidth="1"/>
    <col min="2" max="2" width="8.140625" style="1" customWidth="1"/>
    <col min="3" max="4" width="10.42578125" style="1" customWidth="1"/>
    <col min="5" max="5" width="9.85546875" style="1" customWidth="1"/>
    <col min="6" max="6" width="1.5703125" style="1" customWidth="1"/>
    <col min="7" max="7" width="7.5703125" style="1" customWidth="1"/>
    <col min="8" max="8" width="8.85546875" style="1" customWidth="1"/>
    <col min="9" max="16384" width="11.42578125" style="1"/>
  </cols>
  <sheetData>
    <row r="1" spans="1:8" ht="5.25" customHeight="1" x14ac:dyDescent="0.2"/>
    <row r="2" spans="1:8" x14ac:dyDescent="0.2">
      <c r="A2" s="92" t="s">
        <v>0</v>
      </c>
      <c r="B2" s="2"/>
      <c r="C2" s="2"/>
      <c r="D2" s="2"/>
      <c r="E2" s="2"/>
      <c r="F2" s="2"/>
      <c r="G2" s="2"/>
    </row>
    <row r="3" spans="1:8" ht="6" customHeight="1" x14ac:dyDescent="0.2">
      <c r="A3" s="3"/>
      <c r="B3" s="2"/>
      <c r="C3" s="2"/>
      <c r="D3" s="2"/>
      <c r="E3" s="2"/>
      <c r="F3" s="2"/>
      <c r="G3" s="2"/>
    </row>
    <row r="4" spans="1:8" ht="16.5" thickBot="1" x14ac:dyDescent="0.3">
      <c r="A4" s="4" t="s">
        <v>155</v>
      </c>
      <c r="B4" s="5"/>
      <c r="C4" s="5"/>
      <c r="D4" s="5"/>
      <c r="E4" s="5"/>
      <c r="F4" s="5"/>
      <c r="G4" s="5"/>
      <c r="H4" s="6"/>
    </row>
    <row r="5" spans="1:8" x14ac:dyDescent="0.2">
      <c r="A5" s="7"/>
      <c r="B5" s="8"/>
      <c r="C5" s="9"/>
      <c r="D5" s="8"/>
      <c r="E5" s="10"/>
      <c r="F5" s="11"/>
      <c r="G5" s="197" t="s">
        <v>1</v>
      </c>
      <c r="H5" s="198"/>
    </row>
    <row r="6" spans="1:8" x14ac:dyDescent="0.2">
      <c r="A6" s="12"/>
      <c r="B6" s="13"/>
      <c r="C6" s="14" t="s">
        <v>236</v>
      </c>
      <c r="D6" s="15" t="s">
        <v>237</v>
      </c>
      <c r="E6" s="15" t="s">
        <v>238</v>
      </c>
      <c r="F6" s="16"/>
      <c r="G6" s="17" t="s">
        <v>239</v>
      </c>
      <c r="H6" s="18" t="s">
        <v>240</v>
      </c>
    </row>
    <row r="7" spans="1:8" x14ac:dyDescent="0.2">
      <c r="A7" s="199" t="s">
        <v>61</v>
      </c>
      <c r="B7" s="19" t="s">
        <v>3</v>
      </c>
      <c r="C7" s="20">
        <v>320312</v>
      </c>
      <c r="D7" s="20">
        <v>333492</v>
      </c>
      <c r="E7" s="79">
        <v>351332</v>
      </c>
      <c r="F7" s="22" t="s">
        <v>241</v>
      </c>
      <c r="G7" s="23">
        <v>9.6843077998951088</v>
      </c>
      <c r="H7" s="24">
        <v>5.3494536600578186</v>
      </c>
    </row>
    <row r="8" spans="1:8" x14ac:dyDescent="0.2">
      <c r="A8" s="200"/>
      <c r="B8" s="25" t="s">
        <v>241</v>
      </c>
      <c r="C8" s="26" t="s">
        <v>241</v>
      </c>
      <c r="D8" s="26" t="s">
        <v>241</v>
      </c>
      <c r="E8" s="26" t="s">
        <v>241</v>
      </c>
      <c r="F8" s="27"/>
      <c r="G8" s="28" t="s">
        <v>241</v>
      </c>
      <c r="H8" s="29" t="s">
        <v>241</v>
      </c>
    </row>
    <row r="9" spans="1:8" x14ac:dyDescent="0.2">
      <c r="A9" s="30" t="s">
        <v>62</v>
      </c>
      <c r="B9" s="31" t="s">
        <v>3</v>
      </c>
      <c r="C9" s="20">
        <v>95488</v>
      </c>
      <c r="D9" s="20">
        <v>93851</v>
      </c>
      <c r="E9" s="21">
        <v>103744</v>
      </c>
      <c r="F9" s="22" t="s">
        <v>241</v>
      </c>
      <c r="G9" s="32">
        <v>8.6461126005361848</v>
      </c>
      <c r="H9" s="33">
        <v>10.541176972008827</v>
      </c>
    </row>
    <row r="10" spans="1:8" x14ac:dyDescent="0.2">
      <c r="A10" s="34"/>
      <c r="B10" s="25" t="s">
        <v>241</v>
      </c>
      <c r="C10" s="26" t="s">
        <v>241</v>
      </c>
      <c r="D10" s="26" t="s">
        <v>241</v>
      </c>
      <c r="E10" s="26" t="s">
        <v>241</v>
      </c>
      <c r="F10" s="27"/>
      <c r="G10" s="35" t="s">
        <v>241</v>
      </c>
      <c r="H10" s="29" t="s">
        <v>241</v>
      </c>
    </row>
    <row r="11" spans="1:8" x14ac:dyDescent="0.2">
      <c r="A11" s="30" t="s">
        <v>47</v>
      </c>
      <c r="B11" s="31" t="s">
        <v>3</v>
      </c>
      <c r="C11" s="20">
        <v>11450</v>
      </c>
      <c r="D11" s="20">
        <v>11771</v>
      </c>
      <c r="E11" s="21">
        <v>12745</v>
      </c>
      <c r="F11" s="22" t="s">
        <v>241</v>
      </c>
      <c r="G11" s="37">
        <v>11.310043668122276</v>
      </c>
      <c r="H11" s="33">
        <v>8.2745731033896845</v>
      </c>
    </row>
    <row r="12" spans="1:8" x14ac:dyDescent="0.2">
      <c r="A12" s="34"/>
      <c r="B12" s="25" t="s">
        <v>241</v>
      </c>
      <c r="C12" s="26" t="s">
        <v>241</v>
      </c>
      <c r="D12" s="26" t="s">
        <v>241</v>
      </c>
      <c r="E12" s="26" t="s">
        <v>241</v>
      </c>
      <c r="F12" s="27"/>
      <c r="G12" s="28" t="s">
        <v>241</v>
      </c>
      <c r="H12" s="29" t="s">
        <v>241</v>
      </c>
    </row>
    <row r="13" spans="1:8" x14ac:dyDescent="0.2">
      <c r="A13" s="30" t="s">
        <v>48</v>
      </c>
      <c r="B13" s="31" t="s">
        <v>3</v>
      </c>
      <c r="C13" s="20">
        <v>94408</v>
      </c>
      <c r="D13" s="20">
        <v>97865</v>
      </c>
      <c r="E13" s="21">
        <v>103618</v>
      </c>
      <c r="F13" s="22" t="s">
        <v>241</v>
      </c>
      <c r="G13" s="23">
        <v>9.7555291924413154</v>
      </c>
      <c r="H13" s="24">
        <v>5.8785061053492171</v>
      </c>
    </row>
    <row r="14" spans="1:8" x14ac:dyDescent="0.2">
      <c r="A14" s="34"/>
      <c r="B14" s="25" t="s">
        <v>241</v>
      </c>
      <c r="C14" s="26" t="s">
        <v>241</v>
      </c>
      <c r="D14" s="26" t="s">
        <v>241</v>
      </c>
      <c r="E14" s="26" t="s">
        <v>241</v>
      </c>
      <c r="F14" s="27"/>
      <c r="G14" s="38" t="s">
        <v>241</v>
      </c>
      <c r="H14" s="24" t="s">
        <v>241</v>
      </c>
    </row>
    <row r="15" spans="1:8" x14ac:dyDescent="0.2">
      <c r="A15" s="30" t="s">
        <v>49</v>
      </c>
      <c r="B15" s="31" t="s">
        <v>3</v>
      </c>
      <c r="C15" s="20">
        <v>80714</v>
      </c>
      <c r="D15" s="20">
        <v>84267</v>
      </c>
      <c r="E15" s="21">
        <v>86209</v>
      </c>
      <c r="F15" s="22" t="s">
        <v>241</v>
      </c>
      <c r="G15" s="37">
        <v>6.8079887008449589</v>
      </c>
      <c r="H15" s="33">
        <v>2.3045794913785898</v>
      </c>
    </row>
    <row r="16" spans="1:8" x14ac:dyDescent="0.2">
      <c r="A16" s="34"/>
      <c r="B16" s="25" t="s">
        <v>241</v>
      </c>
      <c r="C16" s="26" t="s">
        <v>241</v>
      </c>
      <c r="D16" s="26" t="s">
        <v>241</v>
      </c>
      <c r="E16" s="26" t="s">
        <v>241</v>
      </c>
      <c r="F16" s="27"/>
      <c r="G16" s="28" t="s">
        <v>241</v>
      </c>
      <c r="H16" s="29" t="s">
        <v>241</v>
      </c>
    </row>
    <row r="17" spans="1:9" x14ac:dyDescent="0.2">
      <c r="A17" s="30" t="s">
        <v>50</v>
      </c>
      <c r="B17" s="31" t="s">
        <v>3</v>
      </c>
      <c r="C17" s="20">
        <v>50788</v>
      </c>
      <c r="D17" s="20">
        <v>58846</v>
      </c>
      <c r="E17" s="21">
        <v>59651</v>
      </c>
      <c r="F17" s="22" t="s">
        <v>241</v>
      </c>
      <c r="G17" s="37">
        <v>17.450972670709604</v>
      </c>
      <c r="H17" s="33">
        <v>1.3679774326207337</v>
      </c>
    </row>
    <row r="18" spans="1:9" ht="13.5" thickBot="1" x14ac:dyDescent="0.25">
      <c r="A18" s="56"/>
      <c r="B18" s="42" t="s">
        <v>241</v>
      </c>
      <c r="C18" s="43" t="s">
        <v>241</v>
      </c>
      <c r="D18" s="43" t="s">
        <v>241</v>
      </c>
      <c r="E18" s="43" t="s">
        <v>241</v>
      </c>
      <c r="F18" s="44"/>
      <c r="G18" s="57" t="s">
        <v>241</v>
      </c>
      <c r="H18" s="46" t="s">
        <v>241</v>
      </c>
    </row>
    <row r="19" spans="1:9" x14ac:dyDescent="0.2">
      <c r="A19" s="58"/>
      <c r="B19" s="58"/>
      <c r="C19" s="21"/>
      <c r="D19" s="21"/>
      <c r="E19" s="21"/>
      <c r="F19" s="59"/>
      <c r="G19" s="38"/>
      <c r="H19" s="60"/>
      <c r="I19" s="61"/>
    </row>
    <row r="20" spans="1:9" x14ac:dyDescent="0.2">
      <c r="A20" s="58"/>
      <c r="B20" s="62"/>
      <c r="C20" s="21"/>
      <c r="D20" s="21"/>
      <c r="E20" s="21"/>
      <c r="F20" s="63"/>
      <c r="G20" s="38"/>
      <c r="H20" s="60"/>
      <c r="I20" s="61"/>
    </row>
    <row r="21" spans="1:9" x14ac:dyDescent="0.2">
      <c r="A21" s="58"/>
      <c r="B21" s="58"/>
      <c r="C21" s="21"/>
      <c r="D21" s="21"/>
      <c r="E21" s="21"/>
      <c r="F21" s="59"/>
      <c r="G21" s="38"/>
      <c r="H21" s="60"/>
      <c r="I21" s="61"/>
    </row>
    <row r="22" spans="1:9" x14ac:dyDescent="0.2">
      <c r="A22" s="58"/>
      <c r="B22" s="62"/>
      <c r="C22" s="21"/>
      <c r="D22" s="21"/>
      <c r="E22" s="21"/>
      <c r="F22" s="63"/>
      <c r="G22" s="38"/>
      <c r="H22" s="60"/>
      <c r="I22" s="61"/>
    </row>
    <row r="23" spans="1:9" x14ac:dyDescent="0.2">
      <c r="A23" s="58"/>
      <c r="B23" s="58"/>
      <c r="C23" s="21"/>
      <c r="D23" s="21"/>
      <c r="E23" s="21"/>
      <c r="F23" s="59"/>
      <c r="G23" s="38"/>
      <c r="H23" s="60"/>
      <c r="I23" s="61"/>
    </row>
    <row r="24" spans="1:9" x14ac:dyDescent="0.2">
      <c r="A24" s="58"/>
      <c r="B24" s="62"/>
      <c r="C24" s="21"/>
      <c r="D24" s="21"/>
      <c r="E24" s="21"/>
      <c r="F24" s="63"/>
      <c r="G24" s="38"/>
      <c r="H24" s="60"/>
      <c r="I24" s="61"/>
    </row>
    <row r="25" spans="1:9" x14ac:dyDescent="0.2">
      <c r="A25" s="58"/>
      <c r="B25" s="58"/>
      <c r="C25" s="21"/>
      <c r="D25" s="21"/>
      <c r="E25" s="21"/>
      <c r="F25" s="59"/>
      <c r="G25" s="38"/>
      <c r="H25" s="60"/>
      <c r="I25" s="61"/>
    </row>
    <row r="26" spans="1:9" x14ac:dyDescent="0.2">
      <c r="A26" s="58"/>
      <c r="B26" s="62"/>
      <c r="C26" s="21"/>
      <c r="D26" s="21"/>
      <c r="E26" s="21"/>
      <c r="F26" s="63"/>
      <c r="G26" s="38"/>
      <c r="H26" s="60"/>
      <c r="I26" s="61"/>
    </row>
    <row r="27" spans="1:9" x14ac:dyDescent="0.2">
      <c r="A27" s="58"/>
      <c r="B27" s="58"/>
      <c r="C27" s="21"/>
      <c r="D27" s="21"/>
      <c r="E27" s="21"/>
      <c r="F27" s="59"/>
      <c r="G27" s="38"/>
      <c r="H27" s="60"/>
      <c r="I27" s="61"/>
    </row>
    <row r="28" spans="1:9" x14ac:dyDescent="0.2">
      <c r="A28" s="58"/>
      <c r="B28" s="62"/>
      <c r="C28" s="21"/>
      <c r="D28" s="21"/>
      <c r="E28" s="21"/>
      <c r="F28" s="63"/>
      <c r="G28" s="38"/>
      <c r="H28" s="60"/>
      <c r="I28" s="61"/>
    </row>
    <row r="29" spans="1:9" x14ac:dyDescent="0.2">
      <c r="A29" s="58"/>
      <c r="B29" s="58"/>
      <c r="C29" s="64"/>
      <c r="D29" s="64"/>
      <c r="E29" s="21"/>
      <c r="F29" s="59"/>
      <c r="G29" s="38"/>
      <c r="H29" s="60"/>
      <c r="I29" s="61"/>
    </row>
    <row r="30" spans="1:9" x14ac:dyDescent="0.2">
      <c r="A30" s="65"/>
      <c r="B30" s="62"/>
      <c r="C30" s="21"/>
      <c r="D30" s="21"/>
      <c r="E30" s="21"/>
      <c r="F30" s="63"/>
      <c r="G30" s="38"/>
      <c r="H30" s="60"/>
      <c r="I30" s="61"/>
    </row>
    <row r="31" spans="1:9" x14ac:dyDescent="0.2">
      <c r="A31" s="47"/>
      <c r="B31" s="48"/>
      <c r="C31" s="49"/>
      <c r="D31" s="55"/>
      <c r="E31" s="49"/>
      <c r="F31" s="49"/>
      <c r="G31" s="50"/>
      <c r="H31" s="51"/>
      <c r="I31" s="61"/>
    </row>
    <row r="32" spans="1:9" ht="16.5" thickBot="1" x14ac:dyDescent="0.3">
      <c r="A32" s="4" t="s">
        <v>71</v>
      </c>
      <c r="B32" s="5"/>
      <c r="C32" s="5"/>
      <c r="D32" s="5"/>
      <c r="E32" s="5"/>
      <c r="F32" s="5"/>
      <c r="G32" s="5"/>
      <c r="H32" s="6"/>
    </row>
    <row r="33" spans="1:9" x14ac:dyDescent="0.2">
      <c r="A33" s="7"/>
      <c r="B33" s="8"/>
      <c r="C33" s="203" t="s">
        <v>16</v>
      </c>
      <c r="D33" s="197"/>
      <c r="E33" s="197"/>
      <c r="F33" s="204"/>
      <c r="G33" s="197" t="s">
        <v>1</v>
      </c>
      <c r="H33" s="198"/>
    </row>
    <row r="34" spans="1:9" x14ac:dyDescent="0.2">
      <c r="A34" s="12"/>
      <c r="B34" s="13"/>
      <c r="C34" s="14" t="s">
        <v>236</v>
      </c>
      <c r="D34" s="15" t="s">
        <v>237</v>
      </c>
      <c r="E34" s="15" t="s">
        <v>238</v>
      </c>
      <c r="F34" s="16"/>
      <c r="G34" s="17" t="s">
        <v>239</v>
      </c>
      <c r="H34" s="18" t="s">
        <v>240</v>
      </c>
    </row>
    <row r="35" spans="1:9" ht="12.75" customHeight="1" x14ac:dyDescent="0.2">
      <c r="A35" s="199" t="s">
        <v>61</v>
      </c>
      <c r="B35" s="19" t="s">
        <v>3</v>
      </c>
      <c r="C35" s="80">
        <v>2078.8919979673683</v>
      </c>
      <c r="D35" s="80">
        <v>2198.8611608924543</v>
      </c>
      <c r="E35" s="81">
        <v>2298.9281077959999</v>
      </c>
      <c r="F35" s="22" t="s">
        <v>241</v>
      </c>
      <c r="G35" s="23">
        <v>10.5842973104794</v>
      </c>
      <c r="H35" s="24">
        <v>4.5508533546034187</v>
      </c>
    </row>
    <row r="36" spans="1:9" ht="12.75" customHeight="1" x14ac:dyDescent="0.2">
      <c r="A36" s="200"/>
      <c r="B36" s="25" t="s">
        <v>241</v>
      </c>
      <c r="C36" s="82" t="s">
        <v>241</v>
      </c>
      <c r="D36" s="82" t="s">
        <v>241</v>
      </c>
      <c r="E36" s="82" t="s">
        <v>241</v>
      </c>
      <c r="F36" s="27"/>
      <c r="G36" s="28" t="s">
        <v>241</v>
      </c>
      <c r="H36" s="29" t="s">
        <v>241</v>
      </c>
    </row>
    <row r="37" spans="1:9" x14ac:dyDescent="0.2">
      <c r="A37" s="30" t="s">
        <v>62</v>
      </c>
      <c r="B37" s="31" t="s">
        <v>3</v>
      </c>
      <c r="C37" s="80">
        <v>319.84506398723425</v>
      </c>
      <c r="D37" s="80">
        <v>322.95153879669886</v>
      </c>
      <c r="E37" s="83">
        <v>340.69064907730871</v>
      </c>
      <c r="F37" s="22" t="s">
        <v>241</v>
      </c>
      <c r="G37" s="32">
        <v>6.5174009034907101</v>
      </c>
      <c r="H37" s="33">
        <v>5.4928087188266232</v>
      </c>
    </row>
    <row r="38" spans="1:9" x14ac:dyDescent="0.2">
      <c r="A38" s="34"/>
      <c r="B38" s="25" t="s">
        <v>241</v>
      </c>
      <c r="C38" s="82" t="s">
        <v>241</v>
      </c>
      <c r="D38" s="82" t="s">
        <v>241</v>
      </c>
      <c r="E38" s="82" t="s">
        <v>241</v>
      </c>
      <c r="F38" s="27"/>
      <c r="G38" s="35" t="s">
        <v>241</v>
      </c>
      <c r="H38" s="29" t="s">
        <v>241</v>
      </c>
    </row>
    <row r="39" spans="1:9" x14ac:dyDescent="0.2">
      <c r="A39" s="30" t="s">
        <v>47</v>
      </c>
      <c r="B39" s="31" t="s">
        <v>3</v>
      </c>
      <c r="C39" s="80">
        <v>202.57119352030477</v>
      </c>
      <c r="D39" s="80">
        <v>210.41494721508857</v>
      </c>
      <c r="E39" s="83">
        <v>228.75983207302215</v>
      </c>
      <c r="F39" s="22" t="s">
        <v>241</v>
      </c>
      <c r="G39" s="37">
        <v>12.928115837996671</v>
      </c>
      <c r="H39" s="33">
        <v>8.718432364589205</v>
      </c>
    </row>
    <row r="40" spans="1:9" x14ac:dyDescent="0.2">
      <c r="A40" s="34"/>
      <c r="B40" s="25" t="s">
        <v>241</v>
      </c>
      <c r="C40" s="82" t="s">
        <v>241</v>
      </c>
      <c r="D40" s="82" t="s">
        <v>241</v>
      </c>
      <c r="E40" s="82" t="s">
        <v>241</v>
      </c>
      <c r="F40" s="27"/>
      <c r="G40" s="28" t="s">
        <v>241</v>
      </c>
      <c r="H40" s="29" t="s">
        <v>241</v>
      </c>
    </row>
    <row r="41" spans="1:9" x14ac:dyDescent="0.2">
      <c r="A41" s="30" t="s">
        <v>48</v>
      </c>
      <c r="B41" s="31" t="s">
        <v>3</v>
      </c>
      <c r="C41" s="80">
        <v>965.91741902220747</v>
      </c>
      <c r="D41" s="80">
        <v>1026.8400479912541</v>
      </c>
      <c r="E41" s="83">
        <v>1066.8003560881791</v>
      </c>
      <c r="F41" s="22" t="s">
        <v>241</v>
      </c>
      <c r="G41" s="23">
        <v>10.444261080630966</v>
      </c>
      <c r="H41" s="24">
        <v>3.8915805996364412</v>
      </c>
    </row>
    <row r="42" spans="1:9" x14ac:dyDescent="0.2">
      <c r="A42" s="34"/>
      <c r="B42" s="25" t="s">
        <v>241</v>
      </c>
      <c r="C42" s="82" t="s">
        <v>241</v>
      </c>
      <c r="D42" s="82" t="s">
        <v>241</v>
      </c>
      <c r="E42" s="82" t="s">
        <v>241</v>
      </c>
      <c r="F42" s="27"/>
      <c r="G42" s="38" t="s">
        <v>241</v>
      </c>
      <c r="H42" s="24" t="s">
        <v>241</v>
      </c>
    </row>
    <row r="43" spans="1:9" x14ac:dyDescent="0.2">
      <c r="A43" s="30" t="s">
        <v>49</v>
      </c>
      <c r="B43" s="31" t="s">
        <v>3</v>
      </c>
      <c r="C43" s="80">
        <v>435.81523128285698</v>
      </c>
      <c r="D43" s="80">
        <v>482.04813965634264</v>
      </c>
      <c r="E43" s="83">
        <v>496.37535018128114</v>
      </c>
      <c r="F43" s="22" t="s">
        <v>241</v>
      </c>
      <c r="G43" s="37">
        <v>13.895824319898267</v>
      </c>
      <c r="H43" s="33">
        <v>2.9721534731266672</v>
      </c>
    </row>
    <row r="44" spans="1:9" x14ac:dyDescent="0.2">
      <c r="A44" s="34"/>
      <c r="B44" s="25" t="s">
        <v>241</v>
      </c>
      <c r="C44" s="82" t="s">
        <v>241</v>
      </c>
      <c r="D44" s="82" t="s">
        <v>241</v>
      </c>
      <c r="E44" s="82" t="s">
        <v>241</v>
      </c>
      <c r="F44" s="27"/>
      <c r="G44" s="28" t="s">
        <v>241</v>
      </c>
      <c r="H44" s="29" t="s">
        <v>241</v>
      </c>
    </row>
    <row r="45" spans="1:9" x14ac:dyDescent="0.2">
      <c r="A45" s="30" t="s">
        <v>50</v>
      </c>
      <c r="B45" s="31" t="s">
        <v>3</v>
      </c>
      <c r="C45" s="80">
        <v>154.74309015476481</v>
      </c>
      <c r="D45" s="80">
        <v>156.60648723306983</v>
      </c>
      <c r="E45" s="83">
        <v>166.30192037620884</v>
      </c>
      <c r="F45" s="22" t="s">
        <v>241</v>
      </c>
      <c r="G45" s="37">
        <v>7.4696907046922547</v>
      </c>
      <c r="H45" s="33">
        <v>6.1909524403735361</v>
      </c>
    </row>
    <row r="46" spans="1:9" ht="13.5" thickBot="1" x14ac:dyDescent="0.25">
      <c r="A46" s="56"/>
      <c r="B46" s="42" t="s">
        <v>241</v>
      </c>
      <c r="C46" s="86" t="s">
        <v>241</v>
      </c>
      <c r="D46" s="86" t="s">
        <v>241</v>
      </c>
      <c r="E46" s="86" t="s">
        <v>241</v>
      </c>
      <c r="F46" s="44"/>
      <c r="G46" s="57" t="s">
        <v>241</v>
      </c>
      <c r="H46" s="46" t="s">
        <v>241</v>
      </c>
    </row>
    <row r="47" spans="1:9" x14ac:dyDescent="0.2">
      <c r="A47" s="58"/>
      <c r="B47" s="58"/>
      <c r="C47" s="21"/>
      <c r="D47" s="21"/>
      <c r="E47" s="21"/>
      <c r="F47" s="59"/>
      <c r="G47" s="38"/>
      <c r="H47" s="60"/>
      <c r="I47" s="61"/>
    </row>
    <row r="48" spans="1:9" x14ac:dyDescent="0.2">
      <c r="A48" s="58"/>
      <c r="B48" s="62"/>
      <c r="C48" s="21"/>
      <c r="D48" s="21"/>
      <c r="E48" s="21"/>
      <c r="F48" s="63"/>
      <c r="G48" s="38"/>
      <c r="H48" s="60"/>
      <c r="I48" s="61"/>
    </row>
    <row r="49" spans="1:9" x14ac:dyDescent="0.2">
      <c r="A49" s="58"/>
      <c r="B49" s="58"/>
      <c r="C49" s="21"/>
      <c r="D49" s="21"/>
      <c r="E49" s="96"/>
      <c r="F49" s="59"/>
      <c r="G49" s="38"/>
      <c r="H49" s="60"/>
      <c r="I49" s="61"/>
    </row>
    <row r="50" spans="1:9" x14ac:dyDescent="0.2">
      <c r="A50" s="58"/>
      <c r="B50" s="62"/>
      <c r="C50" s="21"/>
      <c r="D50" s="21"/>
      <c r="E50" s="21"/>
      <c r="F50" s="63"/>
      <c r="G50" s="38"/>
      <c r="H50" s="60"/>
      <c r="I50" s="61"/>
    </row>
    <row r="51" spans="1:9" x14ac:dyDescent="0.2">
      <c r="A51" s="58"/>
      <c r="B51" s="58"/>
      <c r="C51" s="21"/>
      <c r="D51" s="21"/>
      <c r="E51" s="21"/>
      <c r="F51" s="59"/>
      <c r="G51" s="38"/>
      <c r="H51" s="60"/>
      <c r="I51" s="61"/>
    </row>
    <row r="52" spans="1:9" x14ac:dyDescent="0.2">
      <c r="A52" s="58"/>
      <c r="B52" s="62"/>
      <c r="C52" s="21"/>
      <c r="D52" s="21"/>
      <c r="E52" s="21"/>
      <c r="F52" s="63"/>
      <c r="G52" s="38"/>
      <c r="H52" s="60"/>
      <c r="I52" s="61"/>
    </row>
    <row r="53" spans="1:9" x14ac:dyDescent="0.2">
      <c r="A53" s="58"/>
      <c r="B53" s="58"/>
      <c r="C53" s="21"/>
      <c r="D53" s="21"/>
      <c r="E53" s="21"/>
      <c r="F53" s="59"/>
      <c r="G53" s="38"/>
      <c r="H53" s="60"/>
      <c r="I53" s="61"/>
    </row>
    <row r="54" spans="1:9" x14ac:dyDescent="0.2">
      <c r="A54" s="58"/>
      <c r="B54" s="62"/>
      <c r="C54" s="21"/>
      <c r="D54" s="21"/>
      <c r="E54" s="21"/>
      <c r="F54" s="63"/>
      <c r="G54" s="38"/>
      <c r="H54" s="60"/>
      <c r="I54" s="61"/>
    </row>
    <row r="55" spans="1:9" x14ac:dyDescent="0.2">
      <c r="A55" s="58"/>
      <c r="B55" s="58"/>
      <c r="C55" s="21"/>
      <c r="D55" s="21"/>
      <c r="E55" s="21"/>
      <c r="F55" s="59"/>
      <c r="G55" s="38"/>
      <c r="H55" s="60"/>
      <c r="I55" s="61"/>
    </row>
    <row r="56" spans="1:9" x14ac:dyDescent="0.2">
      <c r="A56" s="58"/>
      <c r="B56" s="62"/>
      <c r="C56" s="21"/>
      <c r="D56" s="21"/>
      <c r="E56" s="21"/>
      <c r="F56" s="63"/>
      <c r="G56" s="38"/>
      <c r="H56" s="60"/>
      <c r="I56" s="61"/>
    </row>
    <row r="57" spans="1:9" x14ac:dyDescent="0.2">
      <c r="A57" s="58"/>
      <c r="B57" s="58"/>
      <c r="C57" s="64"/>
      <c r="D57" s="64"/>
      <c r="E57" s="21"/>
      <c r="F57" s="59"/>
      <c r="G57" s="38"/>
      <c r="H57" s="60"/>
      <c r="I57" s="61"/>
    </row>
    <row r="58" spans="1:9" x14ac:dyDescent="0.2">
      <c r="A58" s="65"/>
      <c r="B58" s="62"/>
      <c r="C58" s="21"/>
      <c r="D58" s="21"/>
      <c r="E58" s="21"/>
      <c r="F58" s="63"/>
      <c r="G58" s="38"/>
      <c r="H58" s="60"/>
      <c r="I58" s="61"/>
    </row>
    <row r="59" spans="1:9" x14ac:dyDescent="0.2">
      <c r="A59" s="47"/>
      <c r="B59" s="48"/>
      <c r="C59" s="49"/>
      <c r="D59" s="49"/>
      <c r="E59" s="49"/>
      <c r="F59" s="49"/>
      <c r="G59" s="50"/>
      <c r="H59" s="51"/>
    </row>
    <row r="60" spans="1:9" x14ac:dyDescent="0.2">
      <c r="A60" s="52"/>
      <c r="B60" s="52"/>
      <c r="C60" s="52"/>
      <c r="D60" s="52"/>
      <c r="E60" s="52"/>
      <c r="F60" s="52"/>
      <c r="G60" s="52"/>
      <c r="H60" s="52"/>
    </row>
    <row r="61" spans="1:9" ht="12.75" customHeight="1" x14ac:dyDescent="0.2">
      <c r="A61" s="54" t="s">
        <v>235</v>
      </c>
      <c r="G61" s="53"/>
      <c r="H61" s="202">
        <v>24</v>
      </c>
    </row>
    <row r="62" spans="1:9" ht="12.75" customHeight="1" x14ac:dyDescent="0.2">
      <c r="A62" s="54" t="s">
        <v>242</v>
      </c>
      <c r="G62" s="53"/>
      <c r="H62" s="195"/>
    </row>
    <row r="67" ht="12.75" customHeight="1" x14ac:dyDescent="0.2"/>
    <row r="68" ht="12.75" customHeight="1" x14ac:dyDescent="0.2"/>
  </sheetData>
  <mergeCells count="6">
    <mergeCell ref="H61:H62"/>
    <mergeCell ref="A35:A36"/>
    <mergeCell ref="A7:A8"/>
    <mergeCell ref="G5:H5"/>
    <mergeCell ref="G33:H33"/>
    <mergeCell ref="C33:F33"/>
  </mergeCells>
  <phoneticPr fontId="0" type="noConversion"/>
  <hyperlinks>
    <hyperlink ref="A2" location="Innhold!A73" display="Tilbake til innholdsfortegnelsen" xr:uid="{00000000-0004-0000-1300-000000000000}"/>
  </hyperlinks>
  <pageMargins left="0.78740157480314965" right="0.78740157480314965" top="0.98425196850393704" bottom="0.19685039370078741" header="3.937007874015748E-2" footer="3.937007874015748E-2"/>
  <pageSetup paperSize="9" scale="99" orientation="portrait" horizontalDpi="300" verticalDpi="300"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I68"/>
  <sheetViews>
    <sheetView showGridLines="0" showRowColHeaders="0" zoomScaleNormal="100" zoomScaleSheetLayoutView="70" workbookViewId="0"/>
  </sheetViews>
  <sheetFormatPr defaultColWidth="11.42578125" defaultRowHeight="12.75" x14ac:dyDescent="0.2"/>
  <cols>
    <col min="1" max="1" width="26.42578125" style="1" customWidth="1"/>
    <col min="2" max="2" width="8.140625" style="1" customWidth="1"/>
    <col min="3" max="4" width="10.42578125" style="1" customWidth="1"/>
    <col min="5" max="5" width="9.85546875" style="1" customWidth="1"/>
    <col min="6" max="6" width="1.5703125" style="1" customWidth="1"/>
    <col min="7" max="7" width="7.5703125" style="1" customWidth="1"/>
    <col min="8" max="8" width="8.85546875" style="1" customWidth="1"/>
    <col min="9" max="16384" width="11.42578125" style="1"/>
  </cols>
  <sheetData>
    <row r="1" spans="1:8" ht="5.25" customHeight="1" x14ac:dyDescent="0.2"/>
    <row r="2" spans="1:8" x14ac:dyDescent="0.2">
      <c r="A2" s="92" t="s">
        <v>0</v>
      </c>
      <c r="B2" s="2"/>
      <c r="C2" s="2"/>
      <c r="D2" s="2"/>
      <c r="E2" s="2"/>
      <c r="F2" s="2"/>
      <c r="G2" s="2"/>
    </row>
    <row r="3" spans="1:8" ht="6" customHeight="1" x14ac:dyDescent="0.2">
      <c r="A3" s="3"/>
      <c r="B3" s="2"/>
      <c r="C3" s="2"/>
      <c r="D3" s="2"/>
      <c r="E3" s="2"/>
      <c r="F3" s="2"/>
      <c r="G3" s="2"/>
    </row>
    <row r="4" spans="1:8" ht="16.5" thickBot="1" x14ac:dyDescent="0.3">
      <c r="A4" s="4" t="s">
        <v>156</v>
      </c>
      <c r="B4" s="5"/>
      <c r="C4" s="5"/>
      <c r="D4" s="5"/>
      <c r="E4" s="5"/>
      <c r="F4" s="5"/>
      <c r="G4" s="5"/>
      <c r="H4" s="6"/>
    </row>
    <row r="5" spans="1:8" x14ac:dyDescent="0.2">
      <c r="A5" s="7"/>
      <c r="B5" s="8"/>
      <c r="C5" s="9"/>
      <c r="D5" s="8"/>
      <c r="E5" s="10"/>
      <c r="F5" s="11"/>
      <c r="G5" s="197" t="s">
        <v>1</v>
      </c>
      <c r="H5" s="198"/>
    </row>
    <row r="6" spans="1:8" x14ac:dyDescent="0.2">
      <c r="A6" s="12"/>
      <c r="B6" s="13"/>
      <c r="C6" s="14" t="s">
        <v>236</v>
      </c>
      <c r="D6" s="15" t="s">
        <v>237</v>
      </c>
      <c r="E6" s="15" t="s">
        <v>238</v>
      </c>
      <c r="F6" s="16"/>
      <c r="G6" s="17" t="s">
        <v>239</v>
      </c>
      <c r="H6" s="18" t="s">
        <v>240</v>
      </c>
    </row>
    <row r="7" spans="1:8" x14ac:dyDescent="0.2">
      <c r="A7" s="199" t="s">
        <v>51</v>
      </c>
      <c r="B7" s="19" t="s">
        <v>3</v>
      </c>
      <c r="C7" s="20">
        <v>9835.3017456359103</v>
      </c>
      <c r="D7" s="20">
        <v>12077.194513715711</v>
      </c>
      <c r="E7" s="79">
        <v>10785.192019950126</v>
      </c>
      <c r="F7" s="22" t="s">
        <v>241</v>
      </c>
      <c r="G7" s="23">
        <v>9.6579677866588867</v>
      </c>
      <c r="H7" s="24">
        <v>-10.697869379335543</v>
      </c>
    </row>
    <row r="8" spans="1:8" x14ac:dyDescent="0.2">
      <c r="A8" s="200"/>
      <c r="B8" s="25" t="s">
        <v>241</v>
      </c>
      <c r="C8" s="26" t="s">
        <v>241</v>
      </c>
      <c r="D8" s="26" t="s">
        <v>241</v>
      </c>
      <c r="E8" s="26" t="s">
        <v>241</v>
      </c>
      <c r="F8" s="27"/>
      <c r="G8" s="28" t="s">
        <v>241</v>
      </c>
      <c r="H8" s="29" t="s">
        <v>241</v>
      </c>
    </row>
    <row r="9" spans="1:8" x14ac:dyDescent="0.2">
      <c r="A9" s="30" t="s">
        <v>12</v>
      </c>
      <c r="B9" s="31" t="s">
        <v>3</v>
      </c>
      <c r="C9" s="20">
        <v>251.97450000000001</v>
      </c>
      <c r="D9" s="20">
        <v>316.09050000000002</v>
      </c>
      <c r="E9" s="21">
        <v>308.33100000000002</v>
      </c>
      <c r="F9" s="22" t="s">
        <v>241</v>
      </c>
      <c r="G9" s="32">
        <v>22.365953697695602</v>
      </c>
      <c r="H9" s="33">
        <v>-2.4548349286043134</v>
      </c>
    </row>
    <row r="10" spans="1:8" x14ac:dyDescent="0.2">
      <c r="A10" s="34"/>
      <c r="B10" s="25" t="s">
        <v>241</v>
      </c>
      <c r="C10" s="26" t="s">
        <v>241</v>
      </c>
      <c r="D10" s="26" t="s">
        <v>241</v>
      </c>
      <c r="E10" s="26" t="s">
        <v>241</v>
      </c>
      <c r="F10" s="27"/>
      <c r="G10" s="35" t="s">
        <v>241</v>
      </c>
      <c r="H10" s="29" t="s">
        <v>241</v>
      </c>
    </row>
    <row r="11" spans="1:8" x14ac:dyDescent="0.2">
      <c r="A11" s="30" t="s">
        <v>18</v>
      </c>
      <c r="B11" s="31" t="s">
        <v>3</v>
      </c>
      <c r="C11" s="20">
        <v>273.38980000000004</v>
      </c>
      <c r="D11" s="20">
        <v>259.43619999999999</v>
      </c>
      <c r="E11" s="21">
        <v>294.5324</v>
      </c>
      <c r="F11" s="22" t="s">
        <v>241</v>
      </c>
      <c r="G11" s="37">
        <v>7.7334999330625749</v>
      </c>
      <c r="H11" s="33">
        <v>13.527873134127006</v>
      </c>
    </row>
    <row r="12" spans="1:8" x14ac:dyDescent="0.2">
      <c r="A12" s="34"/>
      <c r="B12" s="25" t="s">
        <v>241</v>
      </c>
      <c r="C12" s="26" t="s">
        <v>241</v>
      </c>
      <c r="D12" s="26" t="s">
        <v>241</v>
      </c>
      <c r="E12" s="26" t="s">
        <v>241</v>
      </c>
      <c r="F12" s="27"/>
      <c r="G12" s="28" t="s">
        <v>241</v>
      </c>
      <c r="H12" s="29" t="s">
        <v>241</v>
      </c>
    </row>
    <row r="13" spans="1:8" x14ac:dyDescent="0.2">
      <c r="A13" s="30" t="s">
        <v>63</v>
      </c>
      <c r="B13" s="31" t="s">
        <v>3</v>
      </c>
      <c r="C13" s="20">
        <v>1360.6543750000001</v>
      </c>
      <c r="D13" s="20">
        <v>1273.089375</v>
      </c>
      <c r="E13" s="21">
        <v>1188.99125</v>
      </c>
      <c r="F13" s="22" t="s">
        <v>241</v>
      </c>
      <c r="G13" s="23">
        <v>-12.616218207507686</v>
      </c>
      <c r="H13" s="24">
        <v>-6.6058304036980928</v>
      </c>
    </row>
    <row r="14" spans="1:8" x14ac:dyDescent="0.2">
      <c r="A14" s="34"/>
      <c r="B14" s="25" t="s">
        <v>241</v>
      </c>
      <c r="C14" s="26" t="s">
        <v>241</v>
      </c>
      <c r="D14" s="26" t="s">
        <v>241</v>
      </c>
      <c r="E14" s="26" t="s">
        <v>241</v>
      </c>
      <c r="F14" s="27"/>
      <c r="G14" s="38" t="s">
        <v>241</v>
      </c>
      <c r="H14" s="24" t="s">
        <v>241</v>
      </c>
    </row>
    <row r="15" spans="1:8" x14ac:dyDescent="0.2">
      <c r="A15" s="30" t="s">
        <v>52</v>
      </c>
      <c r="B15" s="31" t="s">
        <v>3</v>
      </c>
      <c r="C15" s="20">
        <v>4984.05375</v>
      </c>
      <c r="D15" s="20">
        <v>6422.0837499999998</v>
      </c>
      <c r="E15" s="21">
        <v>5801.2924999999996</v>
      </c>
      <c r="F15" s="22" t="s">
        <v>241</v>
      </c>
      <c r="G15" s="37">
        <v>16.397069353435427</v>
      </c>
      <c r="H15" s="33">
        <v>-9.666508164114191</v>
      </c>
    </row>
    <row r="16" spans="1:8" x14ac:dyDescent="0.2">
      <c r="A16" s="34"/>
      <c r="B16" s="25" t="s">
        <v>241</v>
      </c>
      <c r="C16" s="26" t="s">
        <v>241</v>
      </c>
      <c r="D16" s="26" t="s">
        <v>241</v>
      </c>
      <c r="E16" s="26" t="s">
        <v>241</v>
      </c>
      <c r="F16" s="27"/>
      <c r="G16" s="28" t="s">
        <v>241</v>
      </c>
      <c r="H16" s="29" t="s">
        <v>241</v>
      </c>
    </row>
    <row r="17" spans="1:9" x14ac:dyDescent="0.2">
      <c r="A17" s="30" t="s">
        <v>50</v>
      </c>
      <c r="B17" s="31" t="s">
        <v>3</v>
      </c>
      <c r="C17" s="20">
        <v>3582.8724999999999</v>
      </c>
      <c r="D17" s="20">
        <v>4497.4524999999994</v>
      </c>
      <c r="E17" s="21">
        <v>3958.6549999999997</v>
      </c>
      <c r="F17" s="22" t="s">
        <v>241</v>
      </c>
      <c r="G17" s="37">
        <v>10.488302332834891</v>
      </c>
      <c r="H17" s="33">
        <v>-11.980059822755209</v>
      </c>
    </row>
    <row r="18" spans="1:9" ht="13.5" thickBot="1" x14ac:dyDescent="0.25">
      <c r="A18" s="56"/>
      <c r="B18" s="42" t="s">
        <v>241</v>
      </c>
      <c r="C18" s="43" t="s">
        <v>241</v>
      </c>
      <c r="D18" s="43" t="s">
        <v>241</v>
      </c>
      <c r="E18" s="43" t="s">
        <v>241</v>
      </c>
      <c r="F18" s="44"/>
      <c r="G18" s="57" t="s">
        <v>241</v>
      </c>
      <c r="H18" s="46" t="s">
        <v>241</v>
      </c>
    </row>
    <row r="19" spans="1:9" x14ac:dyDescent="0.2">
      <c r="A19" s="58"/>
      <c r="B19" s="58"/>
      <c r="C19" s="21"/>
      <c r="D19" s="21"/>
      <c r="E19" s="21"/>
      <c r="F19" s="59"/>
      <c r="G19" s="38"/>
      <c r="H19" s="60"/>
      <c r="I19" s="61"/>
    </row>
    <row r="20" spans="1:9" x14ac:dyDescent="0.2">
      <c r="A20" s="58"/>
      <c r="B20" s="62"/>
      <c r="C20" s="21"/>
      <c r="D20" s="21"/>
      <c r="E20" s="21"/>
      <c r="F20" s="63"/>
      <c r="G20" s="38"/>
      <c r="H20" s="60"/>
      <c r="I20" s="61"/>
    </row>
    <row r="21" spans="1:9" x14ac:dyDescent="0.2">
      <c r="A21" s="58"/>
      <c r="B21" s="58"/>
      <c r="C21" s="21"/>
      <c r="D21" s="21"/>
      <c r="E21" s="21"/>
      <c r="F21" s="59"/>
      <c r="G21" s="38"/>
      <c r="H21" s="60"/>
      <c r="I21" s="61"/>
    </row>
    <row r="22" spans="1:9" x14ac:dyDescent="0.2">
      <c r="A22" s="58"/>
      <c r="B22" s="62"/>
      <c r="C22" s="21"/>
      <c r="D22" s="21"/>
      <c r="E22" s="21"/>
      <c r="F22" s="63"/>
      <c r="G22" s="38"/>
      <c r="H22" s="60"/>
      <c r="I22" s="61"/>
    </row>
    <row r="23" spans="1:9" x14ac:dyDescent="0.2">
      <c r="A23" s="58"/>
      <c r="B23" s="58"/>
      <c r="C23" s="21"/>
      <c r="D23" s="21"/>
      <c r="E23" s="21"/>
      <c r="F23" s="59"/>
      <c r="G23" s="38"/>
      <c r="H23" s="60"/>
      <c r="I23" s="61"/>
    </row>
    <row r="24" spans="1:9" x14ac:dyDescent="0.2">
      <c r="A24" s="58"/>
      <c r="B24" s="62"/>
      <c r="C24" s="21"/>
      <c r="D24" s="21"/>
      <c r="E24" s="21"/>
      <c r="F24" s="63"/>
      <c r="G24" s="38"/>
      <c r="H24" s="60"/>
      <c r="I24" s="61"/>
    </row>
    <row r="25" spans="1:9" x14ac:dyDescent="0.2">
      <c r="A25" s="58"/>
      <c r="B25" s="58"/>
      <c r="C25" s="21"/>
      <c r="D25" s="21"/>
      <c r="E25" s="21"/>
      <c r="F25" s="59"/>
      <c r="G25" s="38"/>
      <c r="H25" s="60"/>
      <c r="I25" s="61"/>
    </row>
    <row r="26" spans="1:9" x14ac:dyDescent="0.2">
      <c r="A26" s="58"/>
      <c r="B26" s="62"/>
      <c r="C26" s="21"/>
      <c r="D26" s="21"/>
      <c r="E26" s="21"/>
      <c r="F26" s="63"/>
      <c r="G26" s="38"/>
      <c r="H26" s="60"/>
      <c r="I26" s="61"/>
    </row>
    <row r="27" spans="1:9" x14ac:dyDescent="0.2">
      <c r="A27" s="58"/>
      <c r="B27" s="58"/>
      <c r="C27" s="21"/>
      <c r="D27" s="21"/>
      <c r="E27" s="21"/>
      <c r="F27" s="59"/>
      <c r="G27" s="38"/>
      <c r="H27" s="60"/>
      <c r="I27" s="61"/>
    </row>
    <row r="28" spans="1:9" x14ac:dyDescent="0.2">
      <c r="A28" s="58"/>
      <c r="B28" s="62"/>
      <c r="C28" s="21"/>
      <c r="D28" s="21"/>
      <c r="E28" s="21"/>
      <c r="F28" s="63"/>
      <c r="G28" s="38"/>
      <c r="H28" s="60"/>
      <c r="I28" s="61"/>
    </row>
    <row r="29" spans="1:9" x14ac:dyDescent="0.2">
      <c r="A29" s="58"/>
      <c r="B29" s="58"/>
      <c r="C29" s="64"/>
      <c r="D29" s="64"/>
      <c r="E29" s="21"/>
      <c r="F29" s="59"/>
      <c r="G29" s="38"/>
      <c r="H29" s="60"/>
      <c r="I29" s="61"/>
    </row>
    <row r="30" spans="1:9" x14ac:dyDescent="0.2">
      <c r="A30" s="65"/>
      <c r="B30" s="62"/>
      <c r="C30" s="21"/>
      <c r="D30" s="21"/>
      <c r="E30" s="21"/>
      <c r="F30" s="63"/>
      <c r="G30" s="38"/>
      <c r="H30" s="60"/>
      <c r="I30" s="61"/>
    </row>
    <row r="31" spans="1:9" x14ac:dyDescent="0.2">
      <c r="A31" s="47"/>
      <c r="B31" s="48"/>
      <c r="C31" s="49"/>
      <c r="D31" s="55"/>
      <c r="E31" s="49"/>
      <c r="F31" s="49"/>
      <c r="G31" s="50"/>
      <c r="H31" s="51"/>
      <c r="I31" s="61"/>
    </row>
    <row r="32" spans="1:9" ht="16.5" thickBot="1" x14ac:dyDescent="0.3">
      <c r="A32" s="4" t="s">
        <v>70</v>
      </c>
      <c r="B32" s="5"/>
      <c r="C32" s="5"/>
      <c r="D32" s="5"/>
      <c r="E32" s="5"/>
      <c r="F32" s="5"/>
      <c r="G32" s="5"/>
      <c r="H32" s="6"/>
    </row>
    <row r="33" spans="1:9" x14ac:dyDescent="0.2">
      <c r="A33" s="7"/>
      <c r="B33" s="8"/>
      <c r="C33" s="203" t="s">
        <v>16</v>
      </c>
      <c r="D33" s="197"/>
      <c r="E33" s="197"/>
      <c r="F33" s="204"/>
      <c r="G33" s="197" t="s">
        <v>1</v>
      </c>
      <c r="H33" s="198"/>
    </row>
    <row r="34" spans="1:9" x14ac:dyDescent="0.2">
      <c r="A34" s="12"/>
      <c r="B34" s="13"/>
      <c r="C34" s="14" t="s">
        <v>236</v>
      </c>
      <c r="D34" s="15" t="s">
        <v>237</v>
      </c>
      <c r="E34" s="15" t="s">
        <v>238</v>
      </c>
      <c r="F34" s="16"/>
      <c r="G34" s="17" t="s">
        <v>239</v>
      </c>
      <c r="H34" s="18" t="s">
        <v>240</v>
      </c>
    </row>
    <row r="35" spans="1:9" ht="12.75" customHeight="1" x14ac:dyDescent="0.2">
      <c r="A35" s="199" t="s">
        <v>51</v>
      </c>
      <c r="B35" s="19" t="s">
        <v>3</v>
      </c>
      <c r="C35" s="80">
        <v>468.76565664708272</v>
      </c>
      <c r="D35" s="80">
        <v>540.69659437321707</v>
      </c>
      <c r="E35" s="81">
        <v>506.53855755591945</v>
      </c>
      <c r="F35" s="22" t="s">
        <v>241</v>
      </c>
      <c r="G35" s="23">
        <v>8.0579497182052791</v>
      </c>
      <c r="H35" s="24">
        <v>-6.3174129766609894</v>
      </c>
    </row>
    <row r="36" spans="1:9" ht="12.75" customHeight="1" x14ac:dyDescent="0.2">
      <c r="A36" s="200"/>
      <c r="B36" s="25" t="s">
        <v>241</v>
      </c>
      <c r="C36" s="82" t="s">
        <v>241</v>
      </c>
      <c r="D36" s="82" t="s">
        <v>241</v>
      </c>
      <c r="E36" s="82" t="s">
        <v>241</v>
      </c>
      <c r="F36" s="27"/>
      <c r="G36" s="28" t="s">
        <v>241</v>
      </c>
      <c r="H36" s="29" t="s">
        <v>241</v>
      </c>
    </row>
    <row r="37" spans="1:9" x14ac:dyDescent="0.2">
      <c r="A37" s="30" t="s">
        <v>12</v>
      </c>
      <c r="B37" s="31" t="s">
        <v>3</v>
      </c>
      <c r="C37" s="80">
        <v>2.9888742341862042</v>
      </c>
      <c r="D37" s="80">
        <v>4.690887210384215</v>
      </c>
      <c r="E37" s="83">
        <v>7.1079572424110653</v>
      </c>
      <c r="F37" s="22" t="s">
        <v>241</v>
      </c>
      <c r="G37" s="32">
        <v>137.81386185847276</v>
      </c>
      <c r="H37" s="33">
        <v>51.526927074182964</v>
      </c>
    </row>
    <row r="38" spans="1:9" x14ac:dyDescent="0.2">
      <c r="A38" s="34"/>
      <c r="B38" s="25" t="s">
        <v>241</v>
      </c>
      <c r="C38" s="82" t="s">
        <v>241</v>
      </c>
      <c r="D38" s="82" t="s">
        <v>241</v>
      </c>
      <c r="E38" s="82" t="s">
        <v>241</v>
      </c>
      <c r="F38" s="27"/>
      <c r="G38" s="35" t="s">
        <v>241</v>
      </c>
      <c r="H38" s="29" t="s">
        <v>241</v>
      </c>
    </row>
    <row r="39" spans="1:9" x14ac:dyDescent="0.2">
      <c r="A39" s="30" t="s">
        <v>18</v>
      </c>
      <c r="B39" s="31" t="s">
        <v>3</v>
      </c>
      <c r="C39" s="80">
        <v>31.57427038837665</v>
      </c>
      <c r="D39" s="80">
        <v>30.739915328211762</v>
      </c>
      <c r="E39" s="83">
        <v>27.304542334659359</v>
      </c>
      <c r="F39" s="22" t="s">
        <v>241</v>
      </c>
      <c r="G39" s="37">
        <v>-13.522808290414517</v>
      </c>
      <c r="H39" s="33">
        <v>-11.17560981177968</v>
      </c>
    </row>
    <row r="40" spans="1:9" x14ac:dyDescent="0.2">
      <c r="A40" s="34"/>
      <c r="B40" s="25" t="s">
        <v>241</v>
      </c>
      <c r="C40" s="82" t="s">
        <v>241</v>
      </c>
      <c r="D40" s="82" t="s">
        <v>241</v>
      </c>
      <c r="E40" s="82" t="s">
        <v>241</v>
      </c>
      <c r="F40" s="27"/>
      <c r="G40" s="28" t="s">
        <v>241</v>
      </c>
      <c r="H40" s="29" t="s">
        <v>241</v>
      </c>
    </row>
    <row r="41" spans="1:9" x14ac:dyDescent="0.2">
      <c r="A41" s="30" t="s">
        <v>63</v>
      </c>
      <c r="B41" s="31" t="s">
        <v>3</v>
      </c>
      <c r="C41" s="80">
        <v>63.538101099784932</v>
      </c>
      <c r="D41" s="80">
        <v>59.013278673136305</v>
      </c>
      <c r="E41" s="83">
        <v>61.88728937561298</v>
      </c>
      <c r="F41" s="22" t="s">
        <v>241</v>
      </c>
      <c r="G41" s="23">
        <v>-2.5981445708920319</v>
      </c>
      <c r="H41" s="24">
        <v>4.8701085028596509</v>
      </c>
    </row>
    <row r="42" spans="1:9" x14ac:dyDescent="0.2">
      <c r="A42" s="34"/>
      <c r="B42" s="25" t="s">
        <v>241</v>
      </c>
      <c r="C42" s="82" t="s">
        <v>241</v>
      </c>
      <c r="D42" s="82" t="s">
        <v>241</v>
      </c>
      <c r="E42" s="82" t="s">
        <v>241</v>
      </c>
      <c r="F42" s="27"/>
      <c r="G42" s="38" t="s">
        <v>241</v>
      </c>
      <c r="H42" s="24" t="s">
        <v>241</v>
      </c>
    </row>
    <row r="43" spans="1:9" x14ac:dyDescent="0.2">
      <c r="A43" s="30" t="s">
        <v>52</v>
      </c>
      <c r="B43" s="31" t="s">
        <v>3</v>
      </c>
      <c r="C43" s="80">
        <v>234.64305984490011</v>
      </c>
      <c r="D43" s="80">
        <v>294.63609474175274</v>
      </c>
      <c r="E43" s="83">
        <v>277.98505848710892</v>
      </c>
      <c r="F43" s="22" t="s">
        <v>241</v>
      </c>
      <c r="G43" s="37">
        <v>18.471459872223804</v>
      </c>
      <c r="H43" s="33">
        <v>-5.6513904955325955</v>
      </c>
    </row>
    <row r="44" spans="1:9" x14ac:dyDescent="0.2">
      <c r="A44" s="34"/>
      <c r="B44" s="25" t="s">
        <v>241</v>
      </c>
      <c r="C44" s="82" t="s">
        <v>241</v>
      </c>
      <c r="D44" s="82" t="s">
        <v>241</v>
      </c>
      <c r="E44" s="82" t="s">
        <v>241</v>
      </c>
      <c r="F44" s="27"/>
      <c r="G44" s="28" t="s">
        <v>241</v>
      </c>
      <c r="H44" s="29" t="s">
        <v>241</v>
      </c>
    </row>
    <row r="45" spans="1:9" x14ac:dyDescent="0.2">
      <c r="A45" s="30" t="s">
        <v>50</v>
      </c>
      <c r="B45" s="31" t="s">
        <v>3</v>
      </c>
      <c r="C45" s="80">
        <v>136.02135107983489</v>
      </c>
      <c r="D45" s="80">
        <v>151.61641841973207</v>
      </c>
      <c r="E45" s="83">
        <v>132.25371011612714</v>
      </c>
      <c r="F45" s="22" t="s">
        <v>241</v>
      </c>
      <c r="G45" s="37">
        <v>-2.7698893841279499</v>
      </c>
      <c r="H45" s="33">
        <v>-12.770851933727627</v>
      </c>
    </row>
    <row r="46" spans="1:9" ht="13.5" thickBot="1" x14ac:dyDescent="0.25">
      <c r="A46" s="56"/>
      <c r="B46" s="42" t="s">
        <v>241</v>
      </c>
      <c r="C46" s="86" t="s">
        <v>241</v>
      </c>
      <c r="D46" s="86" t="s">
        <v>241</v>
      </c>
      <c r="E46" s="86" t="s">
        <v>241</v>
      </c>
      <c r="F46" s="44"/>
      <c r="G46" s="57" t="s">
        <v>241</v>
      </c>
      <c r="H46" s="46" t="s">
        <v>241</v>
      </c>
    </row>
    <row r="47" spans="1:9" x14ac:dyDescent="0.2">
      <c r="A47" s="58"/>
      <c r="B47" s="58"/>
      <c r="C47" s="21"/>
      <c r="D47" s="21"/>
      <c r="E47" s="21"/>
      <c r="F47" s="59"/>
      <c r="G47" s="38"/>
      <c r="H47" s="60"/>
      <c r="I47" s="61"/>
    </row>
    <row r="48" spans="1:9" x14ac:dyDescent="0.2">
      <c r="A48" s="58"/>
      <c r="B48" s="62"/>
      <c r="C48" s="21"/>
      <c r="D48" s="21"/>
      <c r="E48" s="21"/>
      <c r="F48" s="63"/>
      <c r="G48" s="38"/>
      <c r="H48" s="60"/>
      <c r="I48" s="61"/>
    </row>
    <row r="49" spans="1:9" x14ac:dyDescent="0.2">
      <c r="A49" s="58"/>
      <c r="B49" s="58"/>
      <c r="C49" s="21"/>
      <c r="D49" s="21"/>
      <c r="E49" s="96"/>
      <c r="F49" s="59"/>
      <c r="G49" s="38"/>
      <c r="H49" s="60"/>
      <c r="I49" s="61"/>
    </row>
    <row r="50" spans="1:9" x14ac:dyDescent="0.2">
      <c r="A50" s="58"/>
      <c r="B50" s="62"/>
      <c r="C50" s="21"/>
      <c r="D50" s="21"/>
      <c r="E50" s="21"/>
      <c r="F50" s="63"/>
      <c r="G50" s="38"/>
      <c r="H50" s="60"/>
      <c r="I50" s="61"/>
    </row>
    <row r="51" spans="1:9" x14ac:dyDescent="0.2">
      <c r="A51" s="58"/>
      <c r="B51" s="58"/>
      <c r="C51" s="21"/>
      <c r="D51" s="21"/>
      <c r="E51" s="21"/>
      <c r="F51" s="59"/>
      <c r="G51" s="38"/>
      <c r="H51" s="60"/>
      <c r="I51" s="61"/>
    </row>
    <row r="52" spans="1:9" x14ac:dyDescent="0.2">
      <c r="A52" s="58"/>
      <c r="B52" s="62"/>
      <c r="C52" s="21"/>
      <c r="D52" s="21"/>
      <c r="E52" s="21"/>
      <c r="F52" s="63"/>
      <c r="G52" s="38"/>
      <c r="H52" s="60"/>
      <c r="I52" s="61"/>
    </row>
    <row r="53" spans="1:9" x14ac:dyDescent="0.2">
      <c r="A53" s="58"/>
      <c r="B53" s="58"/>
      <c r="C53" s="21"/>
      <c r="D53" s="21"/>
      <c r="E53" s="21"/>
      <c r="F53" s="59"/>
      <c r="G53" s="38"/>
      <c r="H53" s="60"/>
      <c r="I53" s="61"/>
    </row>
    <row r="54" spans="1:9" x14ac:dyDescent="0.2">
      <c r="A54" s="58"/>
      <c r="B54" s="62"/>
      <c r="C54" s="21"/>
      <c r="D54" s="21"/>
      <c r="E54" s="21"/>
      <c r="F54" s="63"/>
      <c r="G54" s="38"/>
      <c r="H54" s="60"/>
      <c r="I54" s="61"/>
    </row>
    <row r="55" spans="1:9" x14ac:dyDescent="0.2">
      <c r="A55" s="58"/>
      <c r="B55" s="58"/>
      <c r="C55" s="21"/>
      <c r="D55" s="21"/>
      <c r="E55" s="21"/>
      <c r="F55" s="59"/>
      <c r="G55" s="38"/>
      <c r="H55" s="60"/>
      <c r="I55" s="61"/>
    </row>
    <row r="56" spans="1:9" x14ac:dyDescent="0.2">
      <c r="A56" s="58"/>
      <c r="B56" s="62"/>
      <c r="C56" s="21"/>
      <c r="D56" s="21"/>
      <c r="E56" s="21"/>
      <c r="F56" s="63"/>
      <c r="G56" s="38"/>
      <c r="H56" s="60"/>
      <c r="I56" s="61"/>
    </row>
    <row r="57" spans="1:9" x14ac:dyDescent="0.2">
      <c r="A57" s="58"/>
      <c r="B57" s="58"/>
      <c r="C57" s="64"/>
      <c r="D57" s="64"/>
      <c r="E57" s="21"/>
      <c r="F57" s="59"/>
      <c r="G57" s="38"/>
      <c r="H57" s="60"/>
      <c r="I57" s="61"/>
    </row>
    <row r="58" spans="1:9" x14ac:dyDescent="0.2">
      <c r="A58" s="65"/>
      <c r="B58" s="62"/>
      <c r="C58" s="21"/>
      <c r="D58" s="21"/>
      <c r="E58" s="21"/>
      <c r="F58" s="63"/>
      <c r="G58" s="38"/>
      <c r="H58" s="60"/>
      <c r="I58" s="61"/>
    </row>
    <row r="59" spans="1:9" x14ac:dyDescent="0.2">
      <c r="A59" s="47"/>
      <c r="B59" s="48"/>
      <c r="C59" s="49"/>
      <c r="D59" s="49"/>
      <c r="E59" s="49"/>
      <c r="F59" s="49"/>
      <c r="G59" s="50"/>
      <c r="H59" s="51"/>
    </row>
    <row r="60" spans="1:9" x14ac:dyDescent="0.2">
      <c r="A60" s="52"/>
      <c r="B60" s="52"/>
      <c r="C60" s="52"/>
      <c r="D60" s="52"/>
      <c r="E60" s="52"/>
      <c r="F60" s="52"/>
      <c r="G60" s="52"/>
      <c r="H60" s="52"/>
    </row>
    <row r="61" spans="1:9" ht="12.75" customHeight="1" x14ac:dyDescent="0.2">
      <c r="A61" s="54" t="s">
        <v>235</v>
      </c>
      <c r="H61" s="194">
        <v>25</v>
      </c>
    </row>
    <row r="62" spans="1:9" ht="12.75" customHeight="1" x14ac:dyDescent="0.2">
      <c r="A62" s="54" t="s">
        <v>242</v>
      </c>
      <c r="H62" s="195"/>
    </row>
    <row r="67" ht="12.75" customHeight="1" x14ac:dyDescent="0.2"/>
    <row r="68" ht="12.75" customHeight="1" x14ac:dyDescent="0.2"/>
  </sheetData>
  <mergeCells count="6">
    <mergeCell ref="H61:H62"/>
    <mergeCell ref="A35:A36"/>
    <mergeCell ref="A7:A8"/>
    <mergeCell ref="G5:H5"/>
    <mergeCell ref="G33:H33"/>
    <mergeCell ref="C33:F33"/>
  </mergeCells>
  <phoneticPr fontId="0" type="noConversion"/>
  <hyperlinks>
    <hyperlink ref="A2" location="Innhold!A75" display="Tilbake til innholdsfortegnelsen" xr:uid="{00000000-0004-0000-1400-000000000000}"/>
  </hyperlinks>
  <pageMargins left="0.78740157480314965" right="0.78740157480314965" top="0.98425196850393704" bottom="0.19685039370078741" header="3.937007874015748E-2" footer="3.937007874015748E-2"/>
  <pageSetup paperSize="9" scale="99" orientation="portrait" horizontalDpi="300" verticalDpi="300"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I68"/>
  <sheetViews>
    <sheetView showGridLines="0" showRowColHeaders="0" zoomScaleNormal="100" zoomScaleSheetLayoutView="70" workbookViewId="0"/>
  </sheetViews>
  <sheetFormatPr defaultColWidth="11.42578125" defaultRowHeight="12.75" x14ac:dyDescent="0.2"/>
  <cols>
    <col min="1" max="1" width="26.42578125" style="1" customWidth="1"/>
    <col min="2" max="2" width="8.140625" style="1" customWidth="1"/>
    <col min="3" max="4" width="10.42578125" style="1" customWidth="1"/>
    <col min="5" max="5" width="9.85546875" style="1" customWidth="1"/>
    <col min="6" max="6" width="1.5703125" style="1" customWidth="1"/>
    <col min="7" max="7" width="7.5703125" style="1" customWidth="1"/>
    <col min="8" max="8" width="8.85546875" style="1" customWidth="1"/>
    <col min="9" max="16384" width="11.42578125" style="1"/>
  </cols>
  <sheetData>
    <row r="1" spans="1:8" ht="5.25" customHeight="1" x14ac:dyDescent="0.2"/>
    <row r="2" spans="1:8" x14ac:dyDescent="0.2">
      <c r="A2" s="92" t="s">
        <v>0</v>
      </c>
      <c r="B2" s="2"/>
      <c r="C2" s="2"/>
      <c r="D2" s="2"/>
      <c r="E2" s="2"/>
      <c r="F2" s="2"/>
      <c r="G2" s="2"/>
    </row>
    <row r="3" spans="1:8" ht="6" customHeight="1" x14ac:dyDescent="0.2">
      <c r="A3" s="3"/>
      <c r="B3" s="2"/>
      <c r="C3" s="2"/>
      <c r="D3" s="2"/>
      <c r="E3" s="2"/>
      <c r="F3" s="2"/>
      <c r="G3" s="2"/>
    </row>
    <row r="4" spans="1:8" ht="16.5" thickBot="1" x14ac:dyDescent="0.3">
      <c r="A4" s="4" t="s">
        <v>157</v>
      </c>
      <c r="B4" s="5"/>
      <c r="C4" s="5"/>
      <c r="D4" s="5"/>
      <c r="E4" s="5"/>
      <c r="F4" s="5"/>
      <c r="G4" s="5"/>
      <c r="H4" s="6"/>
    </row>
    <row r="5" spans="1:8" x14ac:dyDescent="0.2">
      <c r="A5" s="7"/>
      <c r="B5" s="8"/>
      <c r="C5" s="9"/>
      <c r="D5" s="8"/>
      <c r="E5" s="10"/>
      <c r="F5" s="11"/>
      <c r="G5" s="197" t="s">
        <v>1</v>
      </c>
      <c r="H5" s="198"/>
    </row>
    <row r="6" spans="1:8" x14ac:dyDescent="0.2">
      <c r="A6" s="12"/>
      <c r="B6" s="13"/>
      <c r="C6" s="14" t="s">
        <v>236</v>
      </c>
      <c r="D6" s="15" t="s">
        <v>237</v>
      </c>
      <c r="E6" s="15" t="s">
        <v>238</v>
      </c>
      <c r="F6" s="16"/>
      <c r="G6" s="17" t="s">
        <v>239</v>
      </c>
      <c r="H6" s="18" t="s">
        <v>240</v>
      </c>
    </row>
    <row r="7" spans="1:8" ht="12.75" customHeight="1" x14ac:dyDescent="0.2">
      <c r="A7" s="199" t="s">
        <v>64</v>
      </c>
      <c r="B7" s="19" t="s">
        <v>3</v>
      </c>
      <c r="C7" s="20">
        <v>9480.0519999999997</v>
      </c>
      <c r="D7" s="20">
        <v>11145.096</v>
      </c>
      <c r="E7" s="79">
        <v>11204.776</v>
      </c>
      <c r="F7" s="22" t="s">
        <v>241</v>
      </c>
      <c r="G7" s="23">
        <v>18.193191345363928</v>
      </c>
      <c r="H7" s="24">
        <v>0.53548215286795653</v>
      </c>
    </row>
    <row r="8" spans="1:8" ht="12.75" customHeight="1" x14ac:dyDescent="0.2">
      <c r="A8" s="200"/>
      <c r="B8" s="25" t="s">
        <v>241</v>
      </c>
      <c r="C8" s="26" t="s">
        <v>241</v>
      </c>
      <c r="D8" s="26" t="s">
        <v>241</v>
      </c>
      <c r="E8" s="26" t="s">
        <v>241</v>
      </c>
      <c r="F8" s="27"/>
      <c r="G8" s="28" t="s">
        <v>241</v>
      </c>
      <c r="H8" s="29" t="s">
        <v>241</v>
      </c>
    </row>
    <row r="9" spans="1:8" x14ac:dyDescent="0.2">
      <c r="A9" s="30" t="s">
        <v>53</v>
      </c>
      <c r="B9" s="31" t="s">
        <v>3</v>
      </c>
      <c r="C9" s="20">
        <v>3.12052</v>
      </c>
      <c r="D9" s="20">
        <v>3.13096</v>
      </c>
      <c r="E9" s="21">
        <v>6.1577599999999997</v>
      </c>
      <c r="F9" s="22" t="s">
        <v>241</v>
      </c>
      <c r="G9" s="32">
        <v>97.331214028431134</v>
      </c>
      <c r="H9" s="33">
        <v>96.673224825612579</v>
      </c>
    </row>
    <row r="10" spans="1:8" x14ac:dyDescent="0.2">
      <c r="A10" s="34"/>
      <c r="B10" s="25" t="s">
        <v>241</v>
      </c>
      <c r="C10" s="26" t="s">
        <v>241</v>
      </c>
      <c r="D10" s="26" t="s">
        <v>241</v>
      </c>
      <c r="E10" s="26" t="s">
        <v>241</v>
      </c>
      <c r="F10" s="27"/>
      <c r="G10" s="35" t="s">
        <v>241</v>
      </c>
      <c r="H10" s="29" t="s">
        <v>241</v>
      </c>
    </row>
    <row r="11" spans="1:8" x14ac:dyDescent="0.2">
      <c r="A11" s="30" t="s">
        <v>54</v>
      </c>
      <c r="B11" s="31" t="s">
        <v>3</v>
      </c>
      <c r="C11" s="20">
        <v>781.60259999999994</v>
      </c>
      <c r="D11" s="20">
        <v>955.65480000000002</v>
      </c>
      <c r="E11" s="21">
        <v>845.78880000000004</v>
      </c>
      <c r="F11" s="22" t="s">
        <v>241</v>
      </c>
      <c r="G11" s="37">
        <v>8.2121272370383736</v>
      </c>
      <c r="H11" s="33">
        <v>-11.496410628607734</v>
      </c>
    </row>
    <row r="12" spans="1:8" x14ac:dyDescent="0.2">
      <c r="A12" s="34"/>
      <c r="B12" s="25" t="s">
        <v>241</v>
      </c>
      <c r="C12" s="26" t="s">
        <v>241</v>
      </c>
      <c r="D12" s="26" t="s">
        <v>241</v>
      </c>
      <c r="E12" s="26" t="s">
        <v>241</v>
      </c>
      <c r="F12" s="27"/>
      <c r="G12" s="28" t="s">
        <v>241</v>
      </c>
      <c r="H12" s="29" t="s">
        <v>241</v>
      </c>
    </row>
    <row r="13" spans="1:8" x14ac:dyDescent="0.2">
      <c r="A13" s="30" t="s">
        <v>66</v>
      </c>
      <c r="B13" s="31" t="s">
        <v>3</v>
      </c>
      <c r="C13" s="20">
        <v>370.24104</v>
      </c>
      <c r="D13" s="20">
        <v>56.261920000000003</v>
      </c>
      <c r="E13" s="21">
        <v>99.315519999999992</v>
      </c>
      <c r="F13" s="22" t="s">
        <v>241</v>
      </c>
      <c r="G13" s="23">
        <v>-73.175442679180037</v>
      </c>
      <c r="H13" s="24">
        <v>76.523517149787949</v>
      </c>
    </row>
    <row r="14" spans="1:8" x14ac:dyDescent="0.2">
      <c r="A14" s="34"/>
      <c r="B14" s="25" t="s">
        <v>241</v>
      </c>
      <c r="C14" s="26" t="s">
        <v>241</v>
      </c>
      <c r="D14" s="26" t="s">
        <v>241</v>
      </c>
      <c r="E14" s="26" t="s">
        <v>241</v>
      </c>
      <c r="F14" s="27"/>
      <c r="G14" s="38" t="s">
        <v>241</v>
      </c>
      <c r="H14" s="24" t="s">
        <v>241</v>
      </c>
    </row>
    <row r="15" spans="1:8" x14ac:dyDescent="0.2">
      <c r="A15" s="30" t="s">
        <v>55</v>
      </c>
      <c r="B15" s="31" t="s">
        <v>3</v>
      </c>
      <c r="C15" s="20">
        <v>6849.6415999999999</v>
      </c>
      <c r="D15" s="20">
        <v>7916.4768000000004</v>
      </c>
      <c r="E15" s="21">
        <v>8441.6208000000006</v>
      </c>
      <c r="F15" s="22" t="s">
        <v>241</v>
      </c>
      <c r="G15" s="37">
        <v>23.2417883002813</v>
      </c>
      <c r="H15" s="33">
        <v>6.6335569883814998</v>
      </c>
    </row>
    <row r="16" spans="1:8" x14ac:dyDescent="0.2">
      <c r="A16" s="34"/>
      <c r="B16" s="25" t="s">
        <v>241</v>
      </c>
      <c r="C16" s="26" t="s">
        <v>241</v>
      </c>
      <c r="D16" s="26" t="s">
        <v>241</v>
      </c>
      <c r="E16" s="26" t="s">
        <v>241</v>
      </c>
      <c r="F16" s="27"/>
      <c r="G16" s="28" t="s">
        <v>241</v>
      </c>
      <c r="H16" s="29" t="s">
        <v>241</v>
      </c>
    </row>
    <row r="17" spans="1:9" x14ac:dyDescent="0.2">
      <c r="A17" s="30" t="s">
        <v>67</v>
      </c>
      <c r="B17" s="31" t="s">
        <v>3</v>
      </c>
      <c r="C17" s="20">
        <v>355.6026</v>
      </c>
      <c r="D17" s="20">
        <v>408.65480000000002</v>
      </c>
      <c r="E17" s="21">
        <v>858.78880000000004</v>
      </c>
      <c r="F17" s="22" t="s">
        <v>241</v>
      </c>
      <c r="G17" s="37">
        <v>141.50239621420093</v>
      </c>
      <c r="H17" s="33">
        <v>110.15018054357859</v>
      </c>
    </row>
    <row r="18" spans="1:9" x14ac:dyDescent="0.2">
      <c r="A18" s="30"/>
      <c r="B18" s="25" t="s">
        <v>241</v>
      </c>
      <c r="C18" s="26" t="s">
        <v>241</v>
      </c>
      <c r="D18" s="26" t="s">
        <v>241</v>
      </c>
      <c r="E18" s="26" t="s">
        <v>241</v>
      </c>
      <c r="F18" s="27"/>
      <c r="G18" s="28" t="s">
        <v>241</v>
      </c>
      <c r="H18" s="29" t="s">
        <v>241</v>
      </c>
    </row>
    <row r="19" spans="1:9" x14ac:dyDescent="0.2">
      <c r="A19" s="39" t="s">
        <v>56</v>
      </c>
      <c r="B19" s="31" t="s">
        <v>3</v>
      </c>
      <c r="C19" s="20">
        <v>8.1205199999999991</v>
      </c>
      <c r="D19" s="20">
        <v>29.130960000000002</v>
      </c>
      <c r="E19" s="21">
        <v>94.157759999999996</v>
      </c>
      <c r="F19" s="22" t="s">
        <v>241</v>
      </c>
      <c r="G19" s="23">
        <v>1059.5040711678564</v>
      </c>
      <c r="H19" s="24">
        <v>223.22230369339013</v>
      </c>
    </row>
    <row r="20" spans="1:9" x14ac:dyDescent="0.2">
      <c r="A20" s="34"/>
      <c r="B20" s="25" t="s">
        <v>241</v>
      </c>
      <c r="C20" s="26" t="s">
        <v>241</v>
      </c>
      <c r="D20" s="26" t="s">
        <v>241</v>
      </c>
      <c r="E20" s="26" t="s">
        <v>241</v>
      </c>
      <c r="F20" s="27"/>
      <c r="G20" s="38" t="s">
        <v>241</v>
      </c>
      <c r="H20" s="24" t="s">
        <v>241</v>
      </c>
    </row>
    <row r="21" spans="1:9" x14ac:dyDescent="0.2">
      <c r="A21" s="39" t="s">
        <v>68</v>
      </c>
      <c r="B21" s="31" t="s">
        <v>3</v>
      </c>
      <c r="C21" s="20">
        <v>103.12052</v>
      </c>
      <c r="D21" s="20">
        <v>51.130960000000002</v>
      </c>
      <c r="E21" s="21">
        <v>11.15776</v>
      </c>
      <c r="F21" s="22" t="s">
        <v>241</v>
      </c>
      <c r="G21" s="37">
        <v>-89.17988388731942</v>
      </c>
      <c r="H21" s="33">
        <v>-78.178074497329987</v>
      </c>
    </row>
    <row r="22" spans="1:9" x14ac:dyDescent="0.2">
      <c r="A22" s="34"/>
      <c r="B22" s="25" t="s">
        <v>241</v>
      </c>
      <c r="C22" s="26" t="s">
        <v>241</v>
      </c>
      <c r="D22" s="26" t="s">
        <v>241</v>
      </c>
      <c r="E22" s="26" t="s">
        <v>241</v>
      </c>
      <c r="F22" s="27"/>
      <c r="G22" s="28" t="s">
        <v>241</v>
      </c>
      <c r="H22" s="29" t="s">
        <v>241</v>
      </c>
    </row>
    <row r="23" spans="1:9" x14ac:dyDescent="0.2">
      <c r="A23" s="30" t="s">
        <v>69</v>
      </c>
      <c r="B23" s="31" t="s">
        <v>3</v>
      </c>
      <c r="C23" s="20">
        <v>1266.6025999999999</v>
      </c>
      <c r="D23" s="20">
        <v>1746.6548</v>
      </c>
      <c r="E23" s="21">
        <v>1446.7888</v>
      </c>
      <c r="F23" s="22" t="s">
        <v>241</v>
      </c>
      <c r="G23" s="23">
        <v>14.225945849155863</v>
      </c>
      <c r="H23" s="24">
        <v>-17.168017401034248</v>
      </c>
    </row>
    <row r="24" spans="1:9" ht="13.5" thickBot="1" x14ac:dyDescent="0.25">
      <c r="A24" s="56"/>
      <c r="B24" s="42" t="s">
        <v>241</v>
      </c>
      <c r="C24" s="43" t="s">
        <v>241</v>
      </c>
      <c r="D24" s="43" t="s">
        <v>241</v>
      </c>
      <c r="E24" s="43" t="s">
        <v>241</v>
      </c>
      <c r="F24" s="44"/>
      <c r="G24" s="57" t="s">
        <v>241</v>
      </c>
      <c r="H24" s="46" t="s">
        <v>241</v>
      </c>
    </row>
    <row r="25" spans="1:9" x14ac:dyDescent="0.2">
      <c r="A25" s="58"/>
      <c r="B25" s="58"/>
      <c r="C25" s="64"/>
      <c r="D25" s="64"/>
      <c r="E25" s="21"/>
      <c r="F25" s="59"/>
      <c r="G25" s="38"/>
      <c r="H25" s="60"/>
      <c r="I25" s="61"/>
    </row>
    <row r="26" spans="1:9" x14ac:dyDescent="0.2">
      <c r="A26" s="58"/>
      <c r="B26" s="58"/>
      <c r="C26" s="64"/>
      <c r="D26" s="64"/>
      <c r="E26" s="21"/>
      <c r="F26" s="59"/>
      <c r="G26" s="38"/>
      <c r="H26" s="60"/>
      <c r="I26" s="61"/>
    </row>
    <row r="27" spans="1:9" x14ac:dyDescent="0.2">
      <c r="A27" s="58"/>
      <c r="B27" s="58"/>
      <c r="C27" s="64"/>
      <c r="D27" s="64"/>
      <c r="E27" s="21"/>
      <c r="F27" s="59"/>
      <c r="G27" s="38"/>
      <c r="H27" s="60"/>
      <c r="I27" s="61"/>
    </row>
    <row r="28" spans="1:9" x14ac:dyDescent="0.2">
      <c r="A28" s="58"/>
      <c r="B28" s="58"/>
      <c r="C28" s="64"/>
      <c r="D28" s="64"/>
      <c r="E28" s="21"/>
      <c r="F28" s="59"/>
      <c r="G28" s="38"/>
      <c r="H28" s="60"/>
      <c r="I28" s="61"/>
    </row>
    <row r="29" spans="1:9" x14ac:dyDescent="0.2">
      <c r="A29" s="58"/>
      <c r="B29" s="58"/>
      <c r="C29" s="64"/>
      <c r="D29" s="64"/>
      <c r="E29" s="21"/>
      <c r="F29" s="59"/>
      <c r="G29" s="38"/>
      <c r="H29" s="60"/>
      <c r="I29" s="61"/>
    </row>
    <row r="30" spans="1:9" x14ac:dyDescent="0.2">
      <c r="A30" s="65"/>
      <c r="B30" s="62"/>
      <c r="C30" s="21"/>
      <c r="D30" s="21"/>
      <c r="E30" s="21"/>
      <c r="F30" s="63"/>
      <c r="G30" s="38"/>
      <c r="H30" s="60"/>
      <c r="I30" s="61"/>
    </row>
    <row r="31" spans="1:9" x14ac:dyDescent="0.2">
      <c r="A31" s="47"/>
      <c r="B31" s="48"/>
      <c r="C31" s="49"/>
      <c r="D31" s="55"/>
      <c r="E31" s="49"/>
      <c r="F31" s="49"/>
      <c r="G31" s="50"/>
      <c r="H31" s="51"/>
      <c r="I31" s="61"/>
    </row>
    <row r="32" spans="1:9" ht="16.5" thickBot="1" x14ac:dyDescent="0.3">
      <c r="A32" s="4" t="s">
        <v>65</v>
      </c>
      <c r="B32" s="5"/>
      <c r="C32" s="5"/>
      <c r="D32" s="5"/>
      <c r="E32" s="5"/>
      <c r="F32" s="5"/>
      <c r="G32" s="5"/>
      <c r="H32" s="6"/>
    </row>
    <row r="33" spans="1:8" x14ac:dyDescent="0.2">
      <c r="A33" s="7"/>
      <c r="B33" s="8"/>
      <c r="C33" s="203" t="s">
        <v>16</v>
      </c>
      <c r="D33" s="197"/>
      <c r="E33" s="197"/>
      <c r="F33" s="204"/>
      <c r="G33" s="197" t="s">
        <v>1</v>
      </c>
      <c r="H33" s="198"/>
    </row>
    <row r="34" spans="1:8" x14ac:dyDescent="0.2">
      <c r="A34" s="12"/>
      <c r="B34" s="13"/>
      <c r="C34" s="14" t="s">
        <v>236</v>
      </c>
      <c r="D34" s="15" t="s">
        <v>237</v>
      </c>
      <c r="E34" s="15" t="s">
        <v>238</v>
      </c>
      <c r="F34" s="16"/>
      <c r="G34" s="17" t="s">
        <v>239</v>
      </c>
      <c r="H34" s="18" t="s">
        <v>240</v>
      </c>
    </row>
    <row r="35" spans="1:8" ht="12.75" customHeight="1" x14ac:dyDescent="0.2">
      <c r="A35" s="199" t="s">
        <v>64</v>
      </c>
      <c r="B35" s="19" t="s">
        <v>3</v>
      </c>
      <c r="C35" s="80">
        <v>963.64843128868392</v>
      </c>
      <c r="D35" s="80">
        <v>1093.9684121220591</v>
      </c>
      <c r="E35" s="81">
        <v>1202.7935045741626</v>
      </c>
      <c r="F35" s="22" t="s">
        <v>241</v>
      </c>
      <c r="G35" s="23">
        <v>24.816630787814461</v>
      </c>
      <c r="H35" s="24">
        <v>9.9477362642497553</v>
      </c>
    </row>
    <row r="36" spans="1:8" ht="12.75" customHeight="1" x14ac:dyDescent="0.2">
      <c r="A36" s="200"/>
      <c r="B36" s="25" t="s">
        <v>241</v>
      </c>
      <c r="C36" s="82" t="s">
        <v>241</v>
      </c>
      <c r="D36" s="82" t="s">
        <v>241</v>
      </c>
      <c r="E36" s="82" t="s">
        <v>241</v>
      </c>
      <c r="F36" s="27"/>
      <c r="G36" s="28" t="s">
        <v>241</v>
      </c>
      <c r="H36" s="29" t="s">
        <v>241</v>
      </c>
    </row>
    <row r="37" spans="1:8" x14ac:dyDescent="0.2">
      <c r="A37" s="30" t="s">
        <v>53</v>
      </c>
      <c r="B37" s="31" t="s">
        <v>3</v>
      </c>
      <c r="C37" s="80">
        <v>0.22367484399517759</v>
      </c>
      <c r="D37" s="80">
        <v>0.132257286811863</v>
      </c>
      <c r="E37" s="83">
        <v>0.134134343800104</v>
      </c>
      <c r="F37" s="22" t="s">
        <v>241</v>
      </c>
      <c r="G37" s="32">
        <v>-40.0315469525952</v>
      </c>
      <c r="H37" s="33">
        <v>1.4192465560790737</v>
      </c>
    </row>
    <row r="38" spans="1:8" x14ac:dyDescent="0.2">
      <c r="A38" s="34"/>
      <c r="B38" s="25" t="s">
        <v>241</v>
      </c>
      <c r="C38" s="82" t="s">
        <v>241</v>
      </c>
      <c r="D38" s="82" t="s">
        <v>241</v>
      </c>
      <c r="E38" s="82" t="s">
        <v>241</v>
      </c>
      <c r="F38" s="27"/>
      <c r="G38" s="35" t="s">
        <v>241</v>
      </c>
      <c r="H38" s="29" t="s">
        <v>241</v>
      </c>
    </row>
    <row r="39" spans="1:8" x14ac:dyDescent="0.2">
      <c r="A39" s="30" t="s">
        <v>54</v>
      </c>
      <c r="B39" s="31" t="s">
        <v>3</v>
      </c>
      <c r="C39" s="80">
        <v>49.903237326064755</v>
      </c>
      <c r="D39" s="80">
        <v>57.856684124532407</v>
      </c>
      <c r="E39" s="83">
        <v>57.99108096435662</v>
      </c>
      <c r="F39" s="22" t="s">
        <v>241</v>
      </c>
      <c r="G39" s="37">
        <v>16.207052030405137</v>
      </c>
      <c r="H39" s="33">
        <v>0.23229267604574488</v>
      </c>
    </row>
    <row r="40" spans="1:8" x14ac:dyDescent="0.2">
      <c r="A40" s="34"/>
      <c r="B40" s="25" t="s">
        <v>241</v>
      </c>
      <c r="C40" s="82" t="s">
        <v>241</v>
      </c>
      <c r="D40" s="82" t="s">
        <v>241</v>
      </c>
      <c r="E40" s="82" t="s">
        <v>241</v>
      </c>
      <c r="F40" s="27"/>
      <c r="G40" s="28" t="s">
        <v>241</v>
      </c>
      <c r="H40" s="29" t="s">
        <v>241</v>
      </c>
    </row>
    <row r="41" spans="1:8" x14ac:dyDescent="0.2">
      <c r="A41" s="30" t="s">
        <v>66</v>
      </c>
      <c r="B41" s="31" t="s">
        <v>3</v>
      </c>
      <c r="C41" s="80">
        <v>29.691987090402726</v>
      </c>
      <c r="D41" s="80">
        <v>25.332420010772623</v>
      </c>
      <c r="E41" s="83">
        <v>13.468025871353923</v>
      </c>
      <c r="F41" s="22" t="s">
        <v>241</v>
      </c>
      <c r="G41" s="23">
        <v>-54.640873881737733</v>
      </c>
      <c r="H41" s="24">
        <v>-46.834823259575522</v>
      </c>
    </row>
    <row r="42" spans="1:8" x14ac:dyDescent="0.2">
      <c r="A42" s="34"/>
      <c r="B42" s="25" t="s">
        <v>241</v>
      </c>
      <c r="C42" s="82" t="s">
        <v>241</v>
      </c>
      <c r="D42" s="82" t="s">
        <v>241</v>
      </c>
      <c r="E42" s="82" t="s">
        <v>241</v>
      </c>
      <c r="F42" s="27"/>
      <c r="G42" s="38" t="s">
        <v>241</v>
      </c>
      <c r="H42" s="24" t="s">
        <v>241</v>
      </c>
    </row>
    <row r="43" spans="1:8" x14ac:dyDescent="0.2">
      <c r="A43" s="30" t="s">
        <v>55</v>
      </c>
      <c r="B43" s="31" t="s">
        <v>3</v>
      </c>
      <c r="C43" s="80">
        <v>639.02268746624634</v>
      </c>
      <c r="D43" s="80">
        <v>708.58016793359445</v>
      </c>
      <c r="E43" s="83">
        <v>759.299213361076</v>
      </c>
      <c r="F43" s="22" t="s">
        <v>241</v>
      </c>
      <c r="G43" s="37">
        <v>18.821949244358052</v>
      </c>
      <c r="H43" s="33">
        <v>7.1578415150104462</v>
      </c>
    </row>
    <row r="44" spans="1:8" x14ac:dyDescent="0.2">
      <c r="A44" s="34"/>
      <c r="B44" s="25" t="s">
        <v>241</v>
      </c>
      <c r="C44" s="82" t="s">
        <v>241</v>
      </c>
      <c r="D44" s="82" t="s">
        <v>241</v>
      </c>
      <c r="E44" s="82" t="s">
        <v>241</v>
      </c>
      <c r="F44" s="27"/>
      <c r="G44" s="28" t="s">
        <v>241</v>
      </c>
      <c r="H44" s="29" t="s">
        <v>241</v>
      </c>
    </row>
    <row r="45" spans="1:8" x14ac:dyDescent="0.2">
      <c r="A45" s="30" t="s">
        <v>67</v>
      </c>
      <c r="B45" s="31" t="s">
        <v>3</v>
      </c>
      <c r="C45" s="80">
        <v>123.46069868687358</v>
      </c>
      <c r="D45" s="80">
        <v>109.72973136447267</v>
      </c>
      <c r="E45" s="83">
        <v>205.76448864684264</v>
      </c>
      <c r="F45" s="22" t="s">
        <v>241</v>
      </c>
      <c r="G45" s="37">
        <v>66.663959329042456</v>
      </c>
      <c r="H45" s="33">
        <v>87.51935878106346</v>
      </c>
    </row>
    <row r="46" spans="1:8" x14ac:dyDescent="0.2">
      <c r="A46" s="30"/>
      <c r="B46" s="25" t="s">
        <v>241</v>
      </c>
      <c r="C46" s="82" t="s">
        <v>241</v>
      </c>
      <c r="D46" s="82" t="s">
        <v>241</v>
      </c>
      <c r="E46" s="82" t="s">
        <v>241</v>
      </c>
      <c r="F46" s="27"/>
      <c r="G46" s="28" t="s">
        <v>241</v>
      </c>
      <c r="H46" s="29" t="s">
        <v>241</v>
      </c>
    </row>
    <row r="47" spans="1:8" x14ac:dyDescent="0.2">
      <c r="A47" s="39" t="s">
        <v>56</v>
      </c>
      <c r="B47" s="31" t="s">
        <v>3</v>
      </c>
      <c r="C47" s="80">
        <v>3.9777678179466296</v>
      </c>
      <c r="D47" s="80">
        <v>4.6671651927617948</v>
      </c>
      <c r="E47" s="83">
        <v>10.318568645070682</v>
      </c>
      <c r="F47" s="22" t="s">
        <v>241</v>
      </c>
      <c r="G47" s="23">
        <v>159.40600651742534</v>
      </c>
      <c r="H47" s="24">
        <v>121.08856701865892</v>
      </c>
    </row>
    <row r="48" spans="1:8" x14ac:dyDescent="0.2">
      <c r="A48" s="34"/>
      <c r="B48" s="25" t="s">
        <v>241</v>
      </c>
      <c r="C48" s="82" t="s">
        <v>241</v>
      </c>
      <c r="D48" s="82" t="s">
        <v>241</v>
      </c>
      <c r="E48" s="82" t="s">
        <v>241</v>
      </c>
      <c r="F48" s="27"/>
      <c r="G48" s="38" t="s">
        <v>241</v>
      </c>
      <c r="H48" s="24" t="s">
        <v>241</v>
      </c>
    </row>
    <row r="49" spans="1:9" x14ac:dyDescent="0.2">
      <c r="A49" s="39" t="s">
        <v>68</v>
      </c>
      <c r="B49" s="31" t="s">
        <v>3</v>
      </c>
      <c r="C49" s="80">
        <v>12.016896349864272</v>
      </c>
      <c r="D49" s="80">
        <v>7.8416505044696772</v>
      </c>
      <c r="E49" s="83">
        <v>4.4052246519785063</v>
      </c>
      <c r="F49" s="22" t="s">
        <v>241</v>
      </c>
      <c r="G49" s="37">
        <v>-63.341410929051889</v>
      </c>
      <c r="H49" s="33">
        <v>-43.82273668703337</v>
      </c>
    </row>
    <row r="50" spans="1:9" x14ac:dyDescent="0.2">
      <c r="A50" s="34"/>
      <c r="B50" s="25" t="s">
        <v>241</v>
      </c>
      <c r="C50" s="82" t="s">
        <v>241</v>
      </c>
      <c r="D50" s="82" t="s">
        <v>241</v>
      </c>
      <c r="E50" s="82" t="s">
        <v>241</v>
      </c>
      <c r="F50" s="27"/>
      <c r="G50" s="28" t="s">
        <v>241</v>
      </c>
      <c r="H50" s="29" t="s">
        <v>241</v>
      </c>
    </row>
    <row r="51" spans="1:9" x14ac:dyDescent="0.2">
      <c r="A51" s="30" t="s">
        <v>69</v>
      </c>
      <c r="B51" s="31" t="s">
        <v>3</v>
      </c>
      <c r="C51" s="80">
        <v>105.35148170729047</v>
      </c>
      <c r="D51" s="80">
        <v>179.82833570464365</v>
      </c>
      <c r="E51" s="83">
        <v>151.4127680896845</v>
      </c>
      <c r="F51" s="22" t="s">
        <v>241</v>
      </c>
      <c r="G51" s="23">
        <v>43.721536361843619</v>
      </c>
      <c r="H51" s="24">
        <v>-15.801496190027507</v>
      </c>
    </row>
    <row r="52" spans="1:9" ht="13.5" thickBot="1" x14ac:dyDescent="0.25">
      <c r="A52" s="56"/>
      <c r="B52" s="42" t="s">
        <v>241</v>
      </c>
      <c r="C52" s="86" t="s">
        <v>241</v>
      </c>
      <c r="D52" s="86" t="s">
        <v>241</v>
      </c>
      <c r="E52" s="86" t="s">
        <v>241</v>
      </c>
      <c r="F52" s="44"/>
      <c r="G52" s="57" t="s">
        <v>241</v>
      </c>
      <c r="H52" s="46" t="s">
        <v>241</v>
      </c>
    </row>
    <row r="53" spans="1:9" x14ac:dyDescent="0.2">
      <c r="A53" s="65"/>
      <c r="B53" s="62"/>
      <c r="C53" s="21"/>
      <c r="D53" s="21"/>
      <c r="E53" s="21"/>
      <c r="F53" s="63"/>
      <c r="G53" s="38"/>
      <c r="H53" s="60"/>
      <c r="I53" s="61"/>
    </row>
    <row r="54" spans="1:9" x14ac:dyDescent="0.2">
      <c r="A54" s="65"/>
      <c r="B54" s="62"/>
      <c r="C54" s="21"/>
      <c r="D54" s="21"/>
      <c r="E54" s="21"/>
      <c r="F54" s="63"/>
      <c r="G54" s="38"/>
      <c r="H54" s="60"/>
      <c r="I54" s="61"/>
    </row>
    <row r="55" spans="1:9" x14ac:dyDescent="0.2">
      <c r="A55" s="65"/>
      <c r="B55" s="62"/>
      <c r="C55" s="21"/>
      <c r="D55" s="21"/>
      <c r="E55" s="21"/>
      <c r="F55" s="63"/>
      <c r="G55" s="38"/>
      <c r="H55" s="60"/>
      <c r="I55" s="61"/>
    </row>
    <row r="56" spans="1:9" x14ac:dyDescent="0.2">
      <c r="A56" s="65"/>
      <c r="B56" s="62"/>
      <c r="C56" s="21"/>
      <c r="D56" s="21"/>
      <c r="E56" s="21"/>
      <c r="F56" s="63"/>
      <c r="G56" s="38"/>
      <c r="H56" s="60"/>
      <c r="I56" s="61"/>
    </row>
    <row r="57" spans="1:9" x14ac:dyDescent="0.2">
      <c r="A57" s="65"/>
      <c r="B57" s="62"/>
      <c r="C57" s="21"/>
      <c r="D57" s="21"/>
      <c r="E57" s="21"/>
      <c r="F57" s="63"/>
      <c r="G57" s="38"/>
      <c r="H57" s="60"/>
      <c r="I57" s="61"/>
    </row>
    <row r="58" spans="1:9" x14ac:dyDescent="0.2">
      <c r="A58" s="65"/>
      <c r="B58" s="62"/>
      <c r="C58" s="21"/>
      <c r="D58" s="21"/>
      <c r="E58" s="21"/>
      <c r="F58" s="63"/>
      <c r="G58" s="38"/>
      <c r="H58" s="60"/>
      <c r="I58" s="61"/>
    </row>
    <row r="59" spans="1:9" x14ac:dyDescent="0.2">
      <c r="A59" s="47"/>
      <c r="B59" s="48"/>
      <c r="C59" s="49"/>
      <c r="D59" s="49"/>
      <c r="E59" s="49"/>
      <c r="F59" s="49"/>
      <c r="G59" s="50"/>
      <c r="H59" s="51"/>
      <c r="I59" s="61"/>
    </row>
    <row r="60" spans="1:9" x14ac:dyDescent="0.2">
      <c r="A60" s="52"/>
      <c r="B60" s="52"/>
      <c r="C60" s="52"/>
      <c r="D60" s="52"/>
      <c r="E60" s="52"/>
      <c r="F60" s="52"/>
      <c r="G60" s="52"/>
      <c r="H60" s="52"/>
    </row>
    <row r="61" spans="1:9" ht="12.75" customHeight="1" x14ac:dyDescent="0.2">
      <c r="A61" s="54" t="s">
        <v>235</v>
      </c>
      <c r="G61" s="53"/>
      <c r="H61" s="202">
        <v>26</v>
      </c>
    </row>
    <row r="62" spans="1:9" ht="12.75" customHeight="1" x14ac:dyDescent="0.2">
      <c r="A62" s="54" t="s">
        <v>242</v>
      </c>
      <c r="G62" s="53"/>
      <c r="H62" s="195"/>
    </row>
    <row r="67" ht="12.75" customHeight="1" x14ac:dyDescent="0.2"/>
    <row r="68" ht="12.75" customHeight="1" x14ac:dyDescent="0.2"/>
  </sheetData>
  <mergeCells count="6">
    <mergeCell ref="H61:H62"/>
    <mergeCell ref="A35:A36"/>
    <mergeCell ref="A7:A8"/>
    <mergeCell ref="G5:H5"/>
    <mergeCell ref="G33:H33"/>
    <mergeCell ref="C33:F33"/>
  </mergeCells>
  <phoneticPr fontId="0" type="noConversion"/>
  <hyperlinks>
    <hyperlink ref="A2" location="Innhold!A77" display="Tilbake til innholdsfortegnelsen" xr:uid="{00000000-0004-0000-1500-000000000000}"/>
  </hyperlinks>
  <pageMargins left="0.78740157480314965" right="0.78740157480314965" top="0.98425196850393704" bottom="0.19685039370078741" header="3.937007874015748E-2" footer="3.937007874015748E-2"/>
  <pageSetup paperSize="9" scale="99" orientation="portrait" horizontalDpi="300" verticalDpi="300"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N138"/>
  <sheetViews>
    <sheetView showGridLines="0" showRowColHeaders="0" zoomScaleNormal="100" zoomScaleSheetLayoutView="70" workbookViewId="0"/>
  </sheetViews>
  <sheetFormatPr defaultColWidth="11.42578125" defaultRowHeight="12.75" x14ac:dyDescent="0.2"/>
  <cols>
    <col min="1" max="1" width="27.140625" style="1" customWidth="1"/>
    <col min="2" max="4" width="10.5703125" style="1" customWidth="1"/>
    <col min="5" max="6" width="7.5703125" style="1" customWidth="1"/>
    <col min="7" max="7" width="8.140625" style="1" customWidth="1"/>
    <col min="8" max="16384" width="11.42578125" style="1"/>
  </cols>
  <sheetData>
    <row r="1" spans="1:7" ht="5.25" customHeight="1" x14ac:dyDescent="0.2"/>
    <row r="2" spans="1:7" x14ac:dyDescent="0.2">
      <c r="A2" s="92" t="s">
        <v>0</v>
      </c>
      <c r="B2" s="2"/>
      <c r="C2" s="2"/>
      <c r="D2" s="2"/>
      <c r="E2" s="2"/>
      <c r="F2" s="2"/>
    </row>
    <row r="3" spans="1:7" ht="6" customHeight="1" x14ac:dyDescent="0.2">
      <c r="A3" s="2"/>
      <c r="B3" s="2"/>
      <c r="C3" s="2"/>
      <c r="D3" s="2"/>
      <c r="E3" s="2"/>
      <c r="F3" s="2"/>
    </row>
    <row r="4" spans="1:7" ht="15.75" customHeight="1" x14ac:dyDescent="0.25">
      <c r="A4" s="88" t="s">
        <v>109</v>
      </c>
      <c r="B4" s="74"/>
      <c r="C4" s="74"/>
      <c r="D4" s="74"/>
      <c r="E4" s="74"/>
      <c r="F4" s="74"/>
      <c r="G4" s="74"/>
    </row>
    <row r="5" spans="1:7" ht="15.75" customHeight="1" x14ac:dyDescent="0.25">
      <c r="A5" s="75"/>
      <c r="B5" s="74"/>
      <c r="C5" s="74"/>
      <c r="D5" s="74"/>
      <c r="E5" s="74"/>
      <c r="F5" s="74"/>
      <c r="G5" s="74"/>
    </row>
    <row r="6" spans="1:7" ht="15.75" customHeight="1" x14ac:dyDescent="0.25">
      <c r="A6" s="73"/>
      <c r="B6" s="73"/>
      <c r="C6" s="73"/>
      <c r="D6" s="73"/>
      <c r="E6" s="73"/>
      <c r="F6" s="73"/>
      <c r="G6" s="73"/>
    </row>
    <row r="7" spans="1:7" ht="15.75" customHeight="1" x14ac:dyDescent="0.25">
      <c r="A7" s="73"/>
      <c r="B7" s="73"/>
      <c r="C7" s="73"/>
      <c r="D7" s="73"/>
      <c r="E7" s="73"/>
      <c r="F7" s="73"/>
      <c r="G7" s="73"/>
    </row>
    <row r="8" spans="1:7" ht="15.75" customHeight="1" x14ac:dyDescent="0.25">
      <c r="A8" s="73"/>
      <c r="B8" s="73"/>
      <c r="C8" s="73"/>
      <c r="D8" s="73"/>
      <c r="E8" s="73"/>
      <c r="F8" s="73"/>
      <c r="G8" s="73"/>
    </row>
    <row r="9" spans="1:7" ht="15.75" customHeight="1" x14ac:dyDescent="0.25">
      <c r="A9" s="73"/>
      <c r="B9" s="73"/>
      <c r="C9" s="73"/>
      <c r="D9" s="73"/>
      <c r="E9" s="73"/>
      <c r="F9" s="73"/>
      <c r="G9" s="73"/>
    </row>
    <row r="10" spans="1:7" ht="15.75" customHeight="1" x14ac:dyDescent="0.25">
      <c r="A10" s="73"/>
      <c r="B10" s="73"/>
      <c r="C10" s="73"/>
      <c r="D10" s="73"/>
      <c r="E10" s="73"/>
      <c r="F10" s="73"/>
      <c r="G10" s="73"/>
    </row>
    <row r="11" spans="1:7" ht="15.75" customHeight="1" x14ac:dyDescent="0.25">
      <c r="A11" s="73"/>
      <c r="B11" s="73"/>
      <c r="C11" s="73"/>
      <c r="D11" s="73"/>
      <c r="E11" s="73"/>
      <c r="F11" s="73"/>
      <c r="G11" s="73"/>
    </row>
    <row r="12" spans="1:7" ht="15.75" customHeight="1" x14ac:dyDescent="0.25">
      <c r="A12" s="73"/>
      <c r="B12" s="73"/>
      <c r="C12" s="73"/>
      <c r="D12" s="73"/>
      <c r="E12" s="73"/>
      <c r="F12" s="73"/>
      <c r="G12" s="73"/>
    </row>
    <row r="13" spans="1:7" ht="15.75" customHeight="1" x14ac:dyDescent="0.25">
      <c r="A13" s="73"/>
      <c r="B13" s="73"/>
      <c r="C13" s="73"/>
      <c r="D13" s="73"/>
      <c r="E13" s="73"/>
      <c r="F13" s="73"/>
      <c r="G13" s="73"/>
    </row>
    <row r="14" spans="1:7" ht="15.75" customHeight="1" x14ac:dyDescent="0.25">
      <c r="A14" s="73"/>
      <c r="B14" s="73"/>
      <c r="C14" s="73"/>
      <c r="D14" s="73"/>
      <c r="E14" s="73"/>
      <c r="F14" s="73"/>
      <c r="G14" s="73"/>
    </row>
    <row r="15" spans="1:7" ht="15.75" customHeight="1" x14ac:dyDescent="0.25">
      <c r="A15" s="73"/>
      <c r="B15" s="73"/>
      <c r="C15" s="73"/>
      <c r="D15" s="73"/>
      <c r="E15" s="73"/>
      <c r="F15" s="73"/>
      <c r="G15" s="73"/>
    </row>
    <row r="16" spans="1:7" ht="15.75" customHeight="1" x14ac:dyDescent="0.25">
      <c r="A16" s="73"/>
      <c r="B16" s="73"/>
      <c r="C16" s="73"/>
      <c r="D16" s="73"/>
      <c r="E16" s="73"/>
      <c r="F16" s="73"/>
      <c r="G16" s="73"/>
    </row>
    <row r="17" spans="1:13" ht="15.75" customHeight="1" x14ac:dyDescent="0.25">
      <c r="A17" s="73"/>
      <c r="B17" s="73"/>
      <c r="C17" s="73"/>
      <c r="D17" s="73"/>
      <c r="E17" s="73"/>
      <c r="F17" s="73"/>
      <c r="G17" s="73"/>
    </row>
    <row r="18" spans="1:13" ht="15.75" customHeight="1" x14ac:dyDescent="0.25">
      <c r="A18" s="73"/>
      <c r="B18" s="73"/>
      <c r="C18" s="73"/>
      <c r="D18" s="73"/>
      <c r="E18" s="73"/>
      <c r="F18" s="73"/>
      <c r="G18" s="73"/>
    </row>
    <row r="19" spans="1:13" ht="15.75" customHeight="1" x14ac:dyDescent="0.25">
      <c r="A19" s="73"/>
      <c r="B19" s="73"/>
      <c r="C19" s="73"/>
      <c r="D19" s="73"/>
      <c r="E19" s="73"/>
      <c r="F19" s="73"/>
      <c r="G19" s="73"/>
    </row>
    <row r="20" spans="1:13" ht="15.75" customHeight="1" x14ac:dyDescent="0.25">
      <c r="A20" s="73"/>
      <c r="B20" s="73"/>
      <c r="C20" s="73"/>
      <c r="D20" s="73"/>
      <c r="E20" s="73"/>
      <c r="F20" s="73"/>
      <c r="G20" s="73"/>
    </row>
    <row r="21" spans="1:13" ht="15.75" customHeight="1" x14ac:dyDescent="0.25">
      <c r="A21" s="73"/>
      <c r="B21" s="73"/>
      <c r="C21" s="73"/>
      <c r="D21" s="73"/>
      <c r="E21" s="73"/>
      <c r="F21" s="73"/>
      <c r="G21" s="73"/>
    </row>
    <row r="22" spans="1:13" ht="15.75" customHeight="1" x14ac:dyDescent="0.25">
      <c r="A22" s="73"/>
      <c r="B22" s="73"/>
      <c r="C22" s="73"/>
      <c r="D22" s="73"/>
      <c r="E22" s="73"/>
      <c r="F22" s="73"/>
      <c r="G22" s="73"/>
    </row>
    <row r="23" spans="1:13" ht="15.75" customHeight="1" x14ac:dyDescent="0.25">
      <c r="A23" s="73"/>
      <c r="B23" s="73"/>
      <c r="C23" s="73"/>
      <c r="D23" s="73"/>
      <c r="E23" s="73"/>
      <c r="F23" s="73"/>
      <c r="G23" s="73"/>
    </row>
    <row r="24" spans="1:13" ht="15.75" customHeight="1" x14ac:dyDescent="0.25">
      <c r="A24" s="73"/>
      <c r="B24" s="73"/>
      <c r="C24" s="73"/>
      <c r="D24" s="73"/>
      <c r="E24" s="73"/>
      <c r="F24" s="73"/>
      <c r="G24" s="73"/>
    </row>
    <row r="25" spans="1:13" ht="15.75" customHeight="1" x14ac:dyDescent="0.25">
      <c r="A25" s="73"/>
      <c r="B25" s="73"/>
      <c r="C25" s="73"/>
      <c r="D25" s="73"/>
      <c r="E25" s="73"/>
      <c r="F25" s="73"/>
      <c r="G25" s="73"/>
    </row>
    <row r="26" spans="1:13" ht="15.75" customHeight="1" x14ac:dyDescent="0.25">
      <c r="A26" s="73"/>
      <c r="B26" s="73"/>
      <c r="C26" s="73"/>
      <c r="D26" s="73"/>
      <c r="E26" s="73"/>
      <c r="F26" s="73"/>
      <c r="G26" s="73"/>
    </row>
    <row r="27" spans="1:13" ht="15.75" customHeight="1" x14ac:dyDescent="0.25">
      <c r="A27" s="73"/>
      <c r="B27" s="73"/>
      <c r="C27" s="73"/>
      <c r="D27" s="73"/>
      <c r="E27" s="73"/>
      <c r="F27" s="73"/>
      <c r="G27" s="73"/>
      <c r="M27" s="77"/>
    </row>
    <row r="28" spans="1:13" ht="15.75" customHeight="1" x14ac:dyDescent="0.25">
      <c r="A28" s="73"/>
      <c r="B28" s="73"/>
      <c r="C28" s="73"/>
      <c r="D28" s="73"/>
      <c r="E28" s="73"/>
      <c r="F28" s="73"/>
      <c r="G28" s="73"/>
      <c r="M28" s="77"/>
    </row>
    <row r="29" spans="1:13" ht="15.75" customHeight="1" x14ac:dyDescent="0.25">
      <c r="A29" s="73"/>
      <c r="B29" s="73"/>
      <c r="C29" s="73"/>
      <c r="D29" s="73"/>
      <c r="E29" s="73"/>
      <c r="F29" s="73"/>
      <c r="G29" s="73"/>
      <c r="M29" s="77"/>
    </row>
    <row r="30" spans="1:13" ht="15.75" customHeight="1" x14ac:dyDescent="0.25">
      <c r="A30" s="73"/>
      <c r="B30" s="73"/>
      <c r="C30" s="73"/>
      <c r="D30" s="73"/>
      <c r="E30" s="73"/>
      <c r="F30" s="73"/>
      <c r="G30" s="73"/>
      <c r="M30" s="77"/>
    </row>
    <row r="31" spans="1:13" ht="15.75" customHeight="1" x14ac:dyDescent="0.25">
      <c r="A31" s="73"/>
      <c r="B31" s="73"/>
      <c r="C31" s="73"/>
      <c r="D31" s="73"/>
      <c r="E31" s="73"/>
      <c r="F31" s="73"/>
      <c r="G31" s="73"/>
      <c r="M31" s="77"/>
    </row>
    <row r="32" spans="1:13" ht="15.75" customHeight="1" x14ac:dyDescent="0.25">
      <c r="A32" s="73"/>
      <c r="B32" s="73"/>
      <c r="C32" s="73"/>
      <c r="D32" s="73"/>
      <c r="E32" s="73"/>
      <c r="F32" s="73"/>
      <c r="G32" s="73"/>
      <c r="M32" s="77"/>
    </row>
    <row r="33" spans="1:13" ht="15.75" customHeight="1" x14ac:dyDescent="0.25">
      <c r="A33" s="73"/>
      <c r="B33" s="73"/>
      <c r="C33" s="73"/>
      <c r="D33" s="73"/>
      <c r="E33" s="73"/>
      <c r="F33" s="73"/>
      <c r="G33" s="73"/>
      <c r="M33" s="77"/>
    </row>
    <row r="34" spans="1:13" ht="15.75" customHeight="1" x14ac:dyDescent="0.25">
      <c r="A34" s="73"/>
      <c r="B34" s="73"/>
      <c r="C34" s="73"/>
      <c r="D34" s="73"/>
      <c r="E34" s="73"/>
      <c r="F34" s="73"/>
      <c r="G34" s="73"/>
      <c r="M34" s="77"/>
    </row>
    <row r="35" spans="1:13" ht="15.75" customHeight="1" x14ac:dyDescent="0.25">
      <c r="A35" s="73"/>
      <c r="B35" s="73"/>
      <c r="C35" s="73"/>
      <c r="D35" s="73"/>
      <c r="E35" s="73"/>
      <c r="F35" s="73"/>
      <c r="G35" s="73"/>
      <c r="M35" s="77"/>
    </row>
    <row r="36" spans="1:13" ht="15.75" customHeight="1" x14ac:dyDescent="0.25">
      <c r="A36" s="73"/>
      <c r="B36" s="73"/>
      <c r="C36" s="73"/>
      <c r="D36" s="73"/>
      <c r="E36" s="73"/>
      <c r="F36" s="73"/>
      <c r="G36" s="73"/>
      <c r="M36" s="77"/>
    </row>
    <row r="37" spans="1:13" ht="15.75" customHeight="1" x14ac:dyDescent="0.25">
      <c r="A37" s="73"/>
      <c r="B37" s="73"/>
      <c r="C37" s="73"/>
      <c r="D37" s="73"/>
      <c r="E37" s="73"/>
      <c r="F37" s="73"/>
      <c r="G37" s="73"/>
      <c r="M37" s="77"/>
    </row>
    <row r="38" spans="1:13" ht="15.75" customHeight="1" x14ac:dyDescent="0.25">
      <c r="A38" s="73"/>
      <c r="B38" s="73"/>
      <c r="C38" s="73"/>
      <c r="D38" s="73"/>
      <c r="E38" s="73"/>
      <c r="F38" s="73"/>
      <c r="G38" s="73"/>
      <c r="M38" s="77"/>
    </row>
    <row r="39" spans="1:13" ht="15.75" customHeight="1" x14ac:dyDescent="0.25">
      <c r="A39" s="73"/>
      <c r="B39" s="73"/>
      <c r="C39" s="73"/>
      <c r="D39" s="73"/>
      <c r="E39" s="73"/>
      <c r="F39" s="73"/>
      <c r="G39" s="73"/>
      <c r="M39" s="77"/>
    </row>
    <row r="40" spans="1:13" ht="15.75" customHeight="1" x14ac:dyDescent="0.25">
      <c r="A40" s="73"/>
      <c r="B40" s="73"/>
      <c r="C40" s="73"/>
      <c r="D40" s="73"/>
      <c r="E40" s="73"/>
      <c r="F40" s="73"/>
      <c r="G40" s="73"/>
      <c r="M40" s="77"/>
    </row>
    <row r="41" spans="1:13" ht="15.75" customHeight="1" x14ac:dyDescent="0.25">
      <c r="A41" s="73"/>
      <c r="B41" s="73"/>
      <c r="C41" s="73"/>
      <c r="D41" s="73"/>
      <c r="E41" s="73"/>
      <c r="F41" s="73"/>
      <c r="G41" s="73"/>
      <c r="M41" s="77"/>
    </row>
    <row r="42" spans="1:13" ht="15.75" customHeight="1" x14ac:dyDescent="0.25">
      <c r="A42" s="73"/>
      <c r="B42" s="73"/>
      <c r="C42" s="73"/>
      <c r="D42" s="73"/>
      <c r="E42" s="73"/>
      <c r="F42" s="73"/>
      <c r="G42" s="73"/>
      <c r="M42" s="77"/>
    </row>
    <row r="43" spans="1:13" ht="15.75" customHeight="1" x14ac:dyDescent="0.25">
      <c r="A43" s="73"/>
      <c r="B43" s="73"/>
      <c r="C43" s="73"/>
      <c r="D43" s="73"/>
      <c r="E43" s="73"/>
      <c r="F43" s="73"/>
      <c r="G43" s="73"/>
      <c r="M43" s="77"/>
    </row>
    <row r="44" spans="1:13" ht="15.75" customHeight="1" x14ac:dyDescent="0.25">
      <c r="A44" s="73"/>
      <c r="B44" s="73"/>
      <c r="C44" s="73"/>
      <c r="D44" s="73"/>
      <c r="E44" s="73"/>
      <c r="F44" s="73"/>
      <c r="G44" s="73"/>
      <c r="M44" s="77"/>
    </row>
    <row r="45" spans="1:13" ht="15.75" customHeight="1" x14ac:dyDescent="0.25">
      <c r="A45" s="73"/>
      <c r="B45" s="73"/>
      <c r="C45" s="73"/>
      <c r="D45" s="73"/>
      <c r="E45" s="73"/>
      <c r="F45" s="73"/>
      <c r="G45" s="73"/>
      <c r="M45" s="77"/>
    </row>
    <row r="46" spans="1:13" ht="15.75" customHeight="1" x14ac:dyDescent="0.25">
      <c r="A46" s="73"/>
      <c r="B46" s="73"/>
      <c r="C46" s="73"/>
      <c r="D46" s="73"/>
      <c r="E46" s="73"/>
      <c r="F46" s="73"/>
      <c r="G46" s="73"/>
      <c r="M46" s="77"/>
    </row>
    <row r="47" spans="1:13" ht="15.75" customHeight="1" x14ac:dyDescent="0.25">
      <c r="A47" s="73"/>
      <c r="B47" s="73"/>
      <c r="C47" s="73"/>
      <c r="D47" s="73"/>
      <c r="E47" s="73"/>
      <c r="F47" s="73"/>
      <c r="G47" s="73"/>
      <c r="M47" s="77"/>
    </row>
    <row r="48" spans="1:13" ht="15.75" customHeight="1" x14ac:dyDescent="0.25">
      <c r="A48" s="73"/>
      <c r="B48" s="73"/>
      <c r="C48" s="73"/>
      <c r="D48" s="73"/>
      <c r="E48" s="73"/>
      <c r="F48" s="73"/>
      <c r="G48" s="73"/>
      <c r="M48" s="77"/>
    </row>
    <row r="49" spans="1:14" ht="15.75" customHeight="1" x14ac:dyDescent="0.25">
      <c r="A49" s="73"/>
      <c r="B49" s="73"/>
      <c r="C49" s="73"/>
      <c r="D49" s="73"/>
      <c r="E49" s="95"/>
      <c r="F49" s="73"/>
      <c r="G49" s="73"/>
      <c r="M49" s="77"/>
    </row>
    <row r="50" spans="1:14" ht="15.75" customHeight="1" x14ac:dyDescent="0.25">
      <c r="A50" s="73"/>
      <c r="B50" s="73"/>
      <c r="C50" s="73"/>
      <c r="D50" s="73"/>
      <c r="E50" s="73"/>
      <c r="F50" s="73"/>
      <c r="G50" s="73"/>
      <c r="M50" s="77"/>
    </row>
    <row r="51" spans="1:14" ht="12.75" customHeight="1" x14ac:dyDescent="0.2">
      <c r="A51" s="52"/>
      <c r="B51" s="52"/>
      <c r="C51" s="52"/>
      <c r="D51" s="52"/>
      <c r="E51" s="52"/>
      <c r="F51" s="52"/>
      <c r="G51" s="52"/>
      <c r="H51" s="52"/>
      <c r="I51" s="52"/>
      <c r="J51" s="52"/>
      <c r="K51" s="52"/>
      <c r="L51" s="52"/>
      <c r="M51" s="52"/>
      <c r="N51" s="52"/>
    </row>
    <row r="52" spans="1:14" ht="12.75" customHeight="1" x14ac:dyDescent="0.2">
      <c r="A52" s="54" t="str">
        <f>+Innhold!B123</f>
        <v>Finans Norge / Skadeforsikringsstatistikk</v>
      </c>
      <c r="G52" s="194">
        <v>27</v>
      </c>
      <c r="H52" s="54" t="str">
        <f>+Innhold!B123</f>
        <v>Finans Norge / Skadeforsikringsstatistikk</v>
      </c>
      <c r="N52" s="194">
        <v>28</v>
      </c>
    </row>
    <row r="53" spans="1:14" ht="12.75" customHeight="1" x14ac:dyDescent="0.2">
      <c r="A53" s="54" t="str">
        <f>+Innhold!B124</f>
        <v>Skadestatistikk for landbasert norsk skadeforsikring 4. kvartal 2019</v>
      </c>
      <c r="G53" s="195"/>
      <c r="H53" s="54" t="str">
        <f>+Innhold!B124</f>
        <v>Skadestatistikk for landbasert norsk skadeforsikring 4. kvartal 2019</v>
      </c>
      <c r="N53" s="195"/>
    </row>
    <row r="54" spans="1:14" ht="15.75" customHeight="1" x14ac:dyDescent="0.2"/>
    <row r="55" spans="1:14" ht="15.75" customHeight="1" x14ac:dyDescent="0.2"/>
    <row r="56" spans="1:14" ht="15.75" customHeight="1" x14ac:dyDescent="0.2"/>
    <row r="57" spans="1:14" ht="15.75" customHeight="1" x14ac:dyDescent="0.2"/>
    <row r="58" spans="1:14" ht="15.75" customHeight="1" x14ac:dyDescent="0.2"/>
    <row r="59" spans="1:14" ht="15.75" customHeight="1" x14ac:dyDescent="0.2"/>
    <row r="60" spans="1:14" ht="15.75" customHeight="1" x14ac:dyDescent="0.2">
      <c r="J60"/>
      <c r="K60"/>
      <c r="L60"/>
    </row>
    <row r="61" spans="1:14" ht="15.75" customHeight="1" x14ac:dyDescent="0.2">
      <c r="J61" s="71"/>
      <c r="K61" s="72"/>
      <c r="L61" s="72"/>
    </row>
    <row r="62" spans="1:14" ht="15.75" customHeight="1" x14ac:dyDescent="0.2">
      <c r="J62" s="70"/>
      <c r="K62"/>
      <c r="L62"/>
    </row>
    <row r="63" spans="1:14" ht="15.75" customHeight="1" x14ac:dyDescent="0.2">
      <c r="J63" s="69"/>
      <c r="K63" s="69"/>
      <c r="L63" s="69"/>
    </row>
    <row r="64" spans="1:14" ht="15.75" customHeight="1" x14ac:dyDescent="0.2">
      <c r="J64" s="69"/>
      <c r="K64" s="69"/>
      <c r="L64" s="69"/>
    </row>
    <row r="65" spans="1:12" ht="15.75" customHeight="1" x14ac:dyDescent="0.2">
      <c r="J65" s="69"/>
      <c r="K65" s="69"/>
      <c r="L65" s="69"/>
    </row>
    <row r="66" spans="1:12" ht="15.75" customHeight="1" x14ac:dyDescent="0.2">
      <c r="J66" s="69"/>
      <c r="K66" s="69"/>
      <c r="L66" s="69"/>
    </row>
    <row r="67" spans="1:12" ht="15.75" customHeight="1" x14ac:dyDescent="0.2">
      <c r="J67" s="69"/>
      <c r="K67" s="69"/>
      <c r="L67" s="69"/>
    </row>
    <row r="68" spans="1:12" ht="15.75" customHeight="1" x14ac:dyDescent="0.2">
      <c r="J68" s="69"/>
      <c r="K68" s="69"/>
      <c r="L68" s="69"/>
    </row>
    <row r="69" spans="1:12" ht="15.75" customHeight="1" x14ac:dyDescent="0.2">
      <c r="J69" s="69"/>
      <c r="K69" s="69"/>
      <c r="L69" s="69"/>
    </row>
    <row r="70" spans="1:12" ht="15.75" customHeight="1" x14ac:dyDescent="0.2">
      <c r="J70"/>
      <c r="K70"/>
      <c r="L70"/>
    </row>
    <row r="71" spans="1:12" x14ac:dyDescent="0.2">
      <c r="J71"/>
      <c r="K71"/>
      <c r="L71"/>
    </row>
    <row r="72" spans="1:12" x14ac:dyDescent="0.2">
      <c r="J72"/>
      <c r="K72"/>
      <c r="L72"/>
    </row>
    <row r="73" spans="1:12" x14ac:dyDescent="0.2">
      <c r="A73"/>
      <c r="B73"/>
      <c r="C73"/>
      <c r="D73"/>
      <c r="E73"/>
      <c r="F73"/>
      <c r="H73"/>
      <c r="I73"/>
      <c r="J73"/>
      <c r="K73"/>
      <c r="L73"/>
    </row>
    <row r="74" spans="1:12" x14ac:dyDescent="0.2">
      <c r="A74"/>
      <c r="B74"/>
      <c r="C74"/>
      <c r="D74"/>
      <c r="E74"/>
      <c r="F74"/>
      <c r="H74"/>
      <c r="I74"/>
      <c r="J74"/>
      <c r="K74"/>
      <c r="L74"/>
    </row>
    <row r="75" spans="1:12" x14ac:dyDescent="0.2">
      <c r="A75"/>
      <c r="B75"/>
      <c r="C75"/>
      <c r="D75"/>
      <c r="E75"/>
      <c r="F75"/>
      <c r="H75"/>
      <c r="I75"/>
      <c r="J75"/>
      <c r="K75"/>
      <c r="L75"/>
    </row>
    <row r="76" spans="1:12" x14ac:dyDescent="0.2">
      <c r="A76"/>
      <c r="B76"/>
      <c r="C76"/>
      <c r="D76"/>
      <c r="E76"/>
      <c r="F76"/>
      <c r="H76"/>
      <c r="I76"/>
      <c r="J76"/>
      <c r="K76"/>
      <c r="L76"/>
    </row>
    <row r="77" spans="1:12" x14ac:dyDescent="0.2">
      <c r="A77"/>
      <c r="B77"/>
      <c r="C77"/>
      <c r="D77"/>
      <c r="E77"/>
      <c r="F77"/>
      <c r="H77"/>
      <c r="I77"/>
      <c r="J77"/>
      <c r="K77"/>
      <c r="L77"/>
    </row>
    <row r="78" spans="1:12" x14ac:dyDescent="0.2">
      <c r="A78"/>
      <c r="B78"/>
      <c r="C78"/>
      <c r="D78"/>
      <c r="E78"/>
      <c r="F78"/>
      <c r="H78"/>
      <c r="I78"/>
      <c r="J78"/>
      <c r="K78"/>
      <c r="L78"/>
    </row>
    <row r="79" spans="1:12" x14ac:dyDescent="0.2">
      <c r="A79"/>
      <c r="B79"/>
      <c r="C79"/>
      <c r="D79"/>
      <c r="E79"/>
      <c r="F79"/>
      <c r="H79"/>
      <c r="I79"/>
      <c r="J79"/>
      <c r="K79"/>
      <c r="L79"/>
    </row>
    <row r="80" spans="1:12" x14ac:dyDescent="0.2">
      <c r="A80"/>
      <c r="B80"/>
      <c r="C80"/>
      <c r="D80"/>
      <c r="E80"/>
      <c r="F80"/>
      <c r="H80"/>
      <c r="I80"/>
      <c r="J80"/>
      <c r="K80"/>
      <c r="L80"/>
    </row>
    <row r="81" spans="1:12" x14ac:dyDescent="0.2">
      <c r="A81"/>
      <c r="B81"/>
      <c r="C81"/>
      <c r="D81"/>
      <c r="E81"/>
      <c r="F81"/>
      <c r="H81"/>
      <c r="I81"/>
      <c r="J81"/>
      <c r="K81"/>
      <c r="L81"/>
    </row>
    <row r="82" spans="1:12" x14ac:dyDescent="0.2">
      <c r="A82"/>
      <c r="B82"/>
      <c r="C82"/>
      <c r="D82"/>
      <c r="E82"/>
      <c r="F82"/>
      <c r="H82"/>
      <c r="I82"/>
      <c r="J82"/>
      <c r="K82"/>
      <c r="L82"/>
    </row>
    <row r="83" spans="1:12" x14ac:dyDescent="0.2">
      <c r="A83"/>
      <c r="B83"/>
      <c r="C83"/>
      <c r="D83"/>
      <c r="E83"/>
      <c r="F83"/>
      <c r="H83"/>
      <c r="I83"/>
      <c r="J83"/>
      <c r="K83"/>
      <c r="L83"/>
    </row>
    <row r="84" spans="1:12" x14ac:dyDescent="0.2">
      <c r="A84"/>
      <c r="B84"/>
      <c r="C84"/>
      <c r="D84"/>
      <c r="E84"/>
      <c r="F84"/>
      <c r="H84"/>
      <c r="I84"/>
      <c r="J84"/>
      <c r="K84"/>
      <c r="L84"/>
    </row>
    <row r="85" spans="1:12" x14ac:dyDescent="0.2">
      <c r="A85"/>
      <c r="B85"/>
      <c r="C85"/>
      <c r="D85"/>
      <c r="E85"/>
      <c r="F85"/>
      <c r="H85"/>
      <c r="I85"/>
      <c r="J85"/>
      <c r="K85"/>
      <c r="L85"/>
    </row>
    <row r="86" spans="1:12" x14ac:dyDescent="0.2">
      <c r="A86"/>
      <c r="B86"/>
      <c r="C86"/>
      <c r="D86"/>
      <c r="E86"/>
      <c r="F86"/>
      <c r="H86"/>
      <c r="I86"/>
      <c r="J86"/>
      <c r="K86"/>
      <c r="L86"/>
    </row>
    <row r="87" spans="1:12" x14ac:dyDescent="0.2">
      <c r="A87"/>
      <c r="B87"/>
      <c r="C87"/>
      <c r="D87"/>
      <c r="E87"/>
      <c r="F87"/>
      <c r="H87"/>
      <c r="I87"/>
      <c r="J87"/>
      <c r="K87"/>
      <c r="L87"/>
    </row>
    <row r="88" spans="1:12" x14ac:dyDescent="0.2">
      <c r="A88"/>
      <c r="B88"/>
      <c r="C88"/>
      <c r="D88"/>
      <c r="E88"/>
      <c r="F88"/>
      <c r="H88"/>
      <c r="I88"/>
      <c r="J88"/>
      <c r="K88"/>
      <c r="L88"/>
    </row>
    <row r="89" spans="1:12" x14ac:dyDescent="0.2">
      <c r="A89"/>
      <c r="B89"/>
      <c r="C89"/>
      <c r="D89"/>
      <c r="E89"/>
      <c r="F89"/>
      <c r="H89"/>
      <c r="I89"/>
      <c r="J89"/>
      <c r="K89"/>
      <c r="L89"/>
    </row>
    <row r="90" spans="1:12" x14ac:dyDescent="0.2">
      <c r="A90"/>
      <c r="B90"/>
      <c r="C90"/>
      <c r="D90"/>
      <c r="E90"/>
      <c r="F90"/>
      <c r="H90"/>
      <c r="I90"/>
      <c r="J90"/>
      <c r="K90"/>
      <c r="L90"/>
    </row>
    <row r="91" spans="1:12" x14ac:dyDescent="0.2">
      <c r="A91"/>
      <c r="B91"/>
      <c r="C91"/>
      <c r="D91"/>
      <c r="E91"/>
      <c r="F91"/>
      <c r="H91"/>
      <c r="I91"/>
      <c r="J91"/>
      <c r="K91"/>
      <c r="L91"/>
    </row>
    <row r="92" spans="1:12" x14ac:dyDescent="0.2">
      <c r="A92"/>
      <c r="B92"/>
      <c r="C92"/>
      <c r="D92"/>
      <c r="E92"/>
      <c r="F92"/>
      <c r="H92"/>
      <c r="I92"/>
      <c r="J92"/>
      <c r="K92"/>
      <c r="L92"/>
    </row>
    <row r="93" spans="1:12" x14ac:dyDescent="0.2">
      <c r="A93"/>
      <c r="B93"/>
      <c r="C93"/>
      <c r="D93"/>
      <c r="E93"/>
      <c r="F93"/>
      <c r="H93"/>
      <c r="I93"/>
      <c r="J93"/>
      <c r="K93"/>
      <c r="L93"/>
    </row>
    <row r="94" spans="1:12" x14ac:dyDescent="0.2">
      <c r="A94"/>
      <c r="B94"/>
      <c r="C94"/>
      <c r="D94"/>
      <c r="E94"/>
      <c r="F94"/>
      <c r="H94"/>
      <c r="I94"/>
      <c r="J94"/>
      <c r="K94"/>
      <c r="L94"/>
    </row>
    <row r="95" spans="1:12" x14ac:dyDescent="0.2">
      <c r="A95"/>
      <c r="B95"/>
      <c r="C95"/>
      <c r="D95"/>
      <c r="E95"/>
      <c r="F95"/>
      <c r="H95"/>
      <c r="I95"/>
      <c r="J95"/>
      <c r="K95"/>
      <c r="L95"/>
    </row>
    <row r="96" spans="1:12" x14ac:dyDescent="0.2">
      <c r="A96"/>
      <c r="B96"/>
      <c r="C96"/>
      <c r="D96"/>
      <c r="E96"/>
      <c r="F96"/>
      <c r="H96"/>
      <c r="I96"/>
      <c r="J96"/>
      <c r="K96"/>
      <c r="L96"/>
    </row>
    <row r="97" spans="1:12" x14ac:dyDescent="0.2">
      <c r="A97"/>
      <c r="B97"/>
      <c r="C97"/>
      <c r="D97"/>
      <c r="E97"/>
      <c r="F97"/>
      <c r="H97"/>
      <c r="I97"/>
      <c r="J97"/>
      <c r="K97"/>
      <c r="L97"/>
    </row>
    <row r="98" spans="1:12" x14ac:dyDescent="0.2">
      <c r="A98"/>
      <c r="B98"/>
      <c r="C98"/>
      <c r="D98"/>
      <c r="E98"/>
      <c r="F98"/>
      <c r="H98"/>
      <c r="I98"/>
      <c r="J98"/>
      <c r="K98"/>
      <c r="L98"/>
    </row>
    <row r="99" spans="1:12" x14ac:dyDescent="0.2">
      <c r="A99"/>
      <c r="B99"/>
      <c r="C99"/>
      <c r="D99"/>
      <c r="E99"/>
      <c r="F99"/>
      <c r="K99"/>
    </row>
    <row r="100" spans="1:12" x14ac:dyDescent="0.2">
      <c r="A100"/>
      <c r="B100"/>
      <c r="C100"/>
      <c r="D100"/>
      <c r="E100"/>
      <c r="F100"/>
      <c r="K100"/>
    </row>
    <row r="101" spans="1:12" x14ac:dyDescent="0.2">
      <c r="A101"/>
      <c r="B101"/>
      <c r="C101"/>
      <c r="D101"/>
      <c r="E101"/>
      <c r="F101"/>
      <c r="H101" s="68"/>
      <c r="I101"/>
      <c r="J101"/>
      <c r="K101"/>
    </row>
    <row r="102" spans="1:12" x14ac:dyDescent="0.2">
      <c r="A102"/>
      <c r="B102"/>
      <c r="C102"/>
      <c r="D102"/>
      <c r="E102"/>
      <c r="F102"/>
      <c r="H102"/>
      <c r="I102"/>
      <c r="J102"/>
      <c r="K102"/>
    </row>
    <row r="103" spans="1:12" x14ac:dyDescent="0.2">
      <c r="A103"/>
      <c r="B103"/>
      <c r="C103"/>
      <c r="D103"/>
      <c r="E103"/>
      <c r="F103"/>
      <c r="H103"/>
      <c r="I103"/>
      <c r="J103"/>
      <c r="K103"/>
    </row>
    <row r="104" spans="1:12" x14ac:dyDescent="0.2">
      <c r="A104"/>
      <c r="B104"/>
      <c r="C104"/>
      <c r="D104"/>
      <c r="E104"/>
      <c r="F104"/>
      <c r="H104"/>
      <c r="I104"/>
      <c r="J104"/>
      <c r="K104"/>
    </row>
    <row r="105" spans="1:12" x14ac:dyDescent="0.2">
      <c r="A105"/>
      <c r="B105"/>
      <c r="C105"/>
      <c r="D105"/>
      <c r="E105"/>
      <c r="F105"/>
      <c r="H105"/>
      <c r="I105" s="69"/>
      <c r="J105" s="69"/>
      <c r="K105" s="69"/>
    </row>
    <row r="106" spans="1:12" x14ac:dyDescent="0.2">
      <c r="A106"/>
      <c r="B106"/>
      <c r="C106"/>
      <c r="D106"/>
      <c r="E106"/>
      <c r="F106"/>
      <c r="H106"/>
      <c r="I106" s="69"/>
      <c r="J106" s="69"/>
      <c r="K106" s="69"/>
    </row>
    <row r="107" spans="1:12" x14ac:dyDescent="0.2">
      <c r="D107"/>
      <c r="E107"/>
      <c r="F107"/>
      <c r="H107"/>
      <c r="I107" s="69"/>
      <c r="J107" s="69"/>
      <c r="K107" s="69"/>
    </row>
    <row r="108" spans="1:12" x14ac:dyDescent="0.2">
      <c r="D108"/>
      <c r="E108"/>
      <c r="F108"/>
      <c r="H108"/>
      <c r="I108"/>
      <c r="J108"/>
      <c r="K108"/>
    </row>
    <row r="109" spans="1:12" x14ac:dyDescent="0.2">
      <c r="A109" s="78"/>
      <c r="B109"/>
      <c r="C109"/>
      <c r="D109"/>
      <c r="E109"/>
      <c r="F109"/>
      <c r="H109"/>
      <c r="I109"/>
      <c r="J109"/>
      <c r="K109"/>
    </row>
    <row r="110" spans="1:12" x14ac:dyDescent="0.2">
      <c r="A110"/>
      <c r="B110"/>
      <c r="C110"/>
      <c r="D110"/>
      <c r="E110"/>
      <c r="F110"/>
      <c r="H110"/>
      <c r="I110"/>
      <c r="J110"/>
      <c r="K110"/>
    </row>
    <row r="111" spans="1:12" x14ac:dyDescent="0.2">
      <c r="A111"/>
      <c r="B111"/>
      <c r="C111"/>
      <c r="D111"/>
      <c r="E111"/>
      <c r="F111"/>
      <c r="H111"/>
      <c r="I111"/>
      <c r="J111"/>
      <c r="K111"/>
    </row>
    <row r="112" spans="1:12" x14ac:dyDescent="0.2">
      <c r="A112"/>
      <c r="B112"/>
      <c r="C112"/>
      <c r="D112"/>
      <c r="E112"/>
      <c r="F112"/>
      <c r="H112"/>
      <c r="I112"/>
      <c r="J112"/>
      <c r="K112"/>
    </row>
    <row r="113" spans="1:11" x14ac:dyDescent="0.2">
      <c r="A113"/>
      <c r="B113"/>
      <c r="C113"/>
      <c r="D113"/>
      <c r="E113"/>
      <c r="F113"/>
    </row>
    <row r="114" spans="1:11" x14ac:dyDescent="0.2">
      <c r="A114"/>
      <c r="B114"/>
      <c r="C114"/>
      <c r="D114"/>
      <c r="E114"/>
      <c r="F114"/>
    </row>
    <row r="115" spans="1:11" x14ac:dyDescent="0.2">
      <c r="A115"/>
      <c r="B115"/>
      <c r="C115"/>
      <c r="D115"/>
      <c r="E115"/>
      <c r="F115"/>
      <c r="H115" s="68"/>
      <c r="I115"/>
      <c r="J115"/>
      <c r="K115"/>
    </row>
    <row r="116" spans="1:11" x14ac:dyDescent="0.2">
      <c r="A116"/>
      <c r="B116"/>
      <c r="C116"/>
      <c r="D116"/>
      <c r="E116"/>
      <c r="F116"/>
      <c r="H116"/>
      <c r="I116"/>
      <c r="J116"/>
      <c r="K116"/>
    </row>
    <row r="117" spans="1:11" x14ac:dyDescent="0.2">
      <c r="A117"/>
      <c r="B117"/>
      <c r="C117"/>
      <c r="D117"/>
      <c r="E117"/>
      <c r="F117"/>
      <c r="H117"/>
      <c r="I117"/>
      <c r="J117"/>
      <c r="K117"/>
    </row>
    <row r="118" spans="1:11" x14ac:dyDescent="0.2">
      <c r="A118"/>
      <c r="B118"/>
      <c r="C118"/>
      <c r="D118"/>
      <c r="E118"/>
      <c r="F118"/>
      <c r="H118"/>
      <c r="I118"/>
      <c r="J118" s="69"/>
      <c r="K118" s="69"/>
    </row>
    <row r="119" spans="1:11" x14ac:dyDescent="0.2">
      <c r="A119"/>
      <c r="B119"/>
      <c r="C119"/>
      <c r="D119"/>
      <c r="E119"/>
      <c r="F119"/>
      <c r="H119"/>
      <c r="I119"/>
      <c r="J119" s="69"/>
      <c r="K119" s="69"/>
    </row>
    <row r="120" spans="1:11" x14ac:dyDescent="0.2">
      <c r="A120"/>
      <c r="B120"/>
      <c r="C120"/>
      <c r="D120"/>
      <c r="E120"/>
      <c r="F120"/>
      <c r="H120"/>
      <c r="I120"/>
      <c r="J120" s="69"/>
      <c r="K120" s="69"/>
    </row>
    <row r="121" spans="1:11" x14ac:dyDescent="0.2">
      <c r="A121"/>
      <c r="B121"/>
      <c r="C121"/>
      <c r="D121"/>
      <c r="E121"/>
      <c r="F121"/>
      <c r="H121"/>
      <c r="I121"/>
      <c r="J121"/>
      <c r="K121"/>
    </row>
    <row r="122" spans="1:11" x14ac:dyDescent="0.2">
      <c r="A122"/>
      <c r="B122"/>
      <c r="C122"/>
      <c r="D122"/>
      <c r="E122"/>
      <c r="F122"/>
      <c r="G122"/>
      <c r="H122"/>
      <c r="I122"/>
      <c r="J122"/>
      <c r="K122"/>
    </row>
    <row r="123" spans="1:11" x14ac:dyDescent="0.2">
      <c r="A123"/>
      <c r="B123"/>
      <c r="C123"/>
      <c r="D123"/>
      <c r="E123"/>
      <c r="F123"/>
      <c r="G123"/>
      <c r="H123"/>
      <c r="I123"/>
      <c r="J123"/>
      <c r="K123"/>
    </row>
    <row r="124" spans="1:11" x14ac:dyDescent="0.2">
      <c r="A124"/>
      <c r="B124"/>
      <c r="C124"/>
      <c r="D124"/>
      <c r="E124"/>
      <c r="F124"/>
      <c r="G124"/>
      <c r="H124"/>
      <c r="I124" s="69"/>
      <c r="J124" s="69"/>
    </row>
    <row r="125" spans="1:11" x14ac:dyDescent="0.2">
      <c r="A125"/>
      <c r="B125" s="69"/>
      <c r="C125" s="69"/>
      <c r="D125"/>
      <c r="E125"/>
      <c r="F125"/>
      <c r="G125"/>
      <c r="H125"/>
      <c r="I125" s="69"/>
      <c r="J125" s="69"/>
    </row>
    <row r="126" spans="1:11" x14ac:dyDescent="0.2">
      <c r="A126"/>
      <c r="B126"/>
      <c r="C126"/>
      <c r="D126"/>
      <c r="F126"/>
      <c r="G126"/>
      <c r="H126"/>
      <c r="I126"/>
      <c r="J126"/>
    </row>
    <row r="127" spans="1:11" x14ac:dyDescent="0.2">
      <c r="A127"/>
      <c r="B127"/>
      <c r="C127"/>
      <c r="D127"/>
      <c r="F127"/>
      <c r="G127"/>
      <c r="H127"/>
      <c r="I127"/>
      <c r="J127"/>
    </row>
    <row r="128" spans="1:11" x14ac:dyDescent="0.2">
      <c r="A128"/>
      <c r="B128"/>
      <c r="C128"/>
      <c r="D128"/>
      <c r="F128"/>
      <c r="G128"/>
      <c r="H128"/>
      <c r="I128"/>
      <c r="J128"/>
    </row>
    <row r="129" spans="1:10" x14ac:dyDescent="0.2">
      <c r="A129"/>
      <c r="B129" s="69"/>
      <c r="C129" s="69"/>
      <c r="D129"/>
      <c r="F129"/>
      <c r="G129"/>
      <c r="H129"/>
      <c r="I129"/>
      <c r="J129"/>
    </row>
    <row r="130" spans="1:10" x14ac:dyDescent="0.2">
      <c r="A130"/>
      <c r="B130" s="69"/>
      <c r="C130" s="69"/>
      <c r="D130"/>
      <c r="F130"/>
      <c r="G130"/>
      <c r="H130"/>
      <c r="I130"/>
      <c r="J130"/>
    </row>
    <row r="131" spans="1:10" x14ac:dyDescent="0.2">
      <c r="A131"/>
      <c r="B131" s="69"/>
      <c r="C131" s="69"/>
      <c r="D131"/>
      <c r="F131"/>
    </row>
    <row r="132" spans="1:10" x14ac:dyDescent="0.2">
      <c r="A132"/>
      <c r="B132"/>
      <c r="C132"/>
      <c r="D132"/>
      <c r="F132"/>
    </row>
    <row r="133" spans="1:10" x14ac:dyDescent="0.2">
      <c r="A133"/>
      <c r="B133" s="69"/>
      <c r="C133" s="69"/>
      <c r="D133"/>
      <c r="F133"/>
    </row>
    <row r="134" spans="1:10" x14ac:dyDescent="0.2">
      <c r="A134"/>
      <c r="B134" s="69"/>
      <c r="C134" s="69"/>
      <c r="D134"/>
      <c r="F134"/>
    </row>
    <row r="135" spans="1:10" x14ac:dyDescent="0.2">
      <c r="A135"/>
      <c r="B135" s="69"/>
      <c r="C135" s="69"/>
      <c r="D135"/>
      <c r="F135"/>
    </row>
    <row r="136" spans="1:10" x14ac:dyDescent="0.2">
      <c r="A136"/>
      <c r="B136"/>
      <c r="C136"/>
      <c r="D136"/>
      <c r="F136"/>
    </row>
    <row r="137" spans="1:10" x14ac:dyDescent="0.2">
      <c r="A137"/>
      <c r="B137" s="69"/>
      <c r="C137" s="69"/>
      <c r="D137"/>
      <c r="F137"/>
    </row>
    <row r="138" spans="1:10" x14ac:dyDescent="0.2">
      <c r="A138"/>
      <c r="B138" s="69"/>
      <c r="C138" s="69"/>
      <c r="D138"/>
      <c r="F138"/>
    </row>
  </sheetData>
  <mergeCells count="2">
    <mergeCell ref="N52:N53"/>
    <mergeCell ref="G52:G53"/>
  </mergeCells>
  <phoneticPr fontId="0" type="noConversion"/>
  <hyperlinks>
    <hyperlink ref="A2" location="Innhold!A80" display="Tilbake til innholdsfortegnelsen" xr:uid="{00000000-0004-0000-1600-000000000000}"/>
  </hyperlinks>
  <pageMargins left="0.78740157480314965" right="0.70866141732283472" top="0.78740157480314965" bottom="0.19685039370078741" header="3.937007874015748E-2" footer="3.937007874015748E-2"/>
  <pageSetup paperSize="9" scale="98" orientation="portrait"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137"/>
  <sheetViews>
    <sheetView showGridLines="0" showRowColHeaders="0" topLeftCell="A62" zoomScaleNormal="100" zoomScaleSheetLayoutView="70" workbookViewId="0">
      <selection activeCell="J18" sqref="J18"/>
    </sheetView>
  </sheetViews>
  <sheetFormatPr defaultColWidth="11.42578125" defaultRowHeight="15.6" customHeight="1" x14ac:dyDescent="0.2"/>
  <cols>
    <col min="1" max="1" width="27.140625" style="1" customWidth="1"/>
    <col min="2" max="4" width="10.5703125" style="1" customWidth="1"/>
    <col min="5" max="7" width="7.5703125" style="1" customWidth="1"/>
    <col min="8" max="16384" width="11.42578125" style="1"/>
  </cols>
  <sheetData>
    <row r="1" spans="1:7" ht="6" customHeight="1" x14ac:dyDescent="0.2"/>
    <row r="2" spans="1:7" ht="15.6" customHeight="1" x14ac:dyDescent="0.2">
      <c r="A2" s="190" t="s">
        <v>0</v>
      </c>
      <c r="B2" s="2"/>
      <c r="C2" s="2"/>
      <c r="D2" s="2"/>
      <c r="E2" s="2"/>
      <c r="F2" s="2"/>
    </row>
    <row r="3" spans="1:7" ht="6" customHeight="1" x14ac:dyDescent="0.2"/>
    <row r="4" spans="1:7" ht="15.6" customHeight="1" x14ac:dyDescent="0.2">
      <c r="A4" s="2"/>
      <c r="B4" s="2"/>
      <c r="C4" s="2"/>
      <c r="D4" s="2"/>
      <c r="E4" s="2"/>
      <c r="F4" s="2"/>
    </row>
    <row r="5" spans="1:7" ht="15.6" customHeight="1" x14ac:dyDescent="0.25">
      <c r="A5" s="88"/>
      <c r="B5" s="74"/>
      <c r="C5" s="74"/>
      <c r="D5" s="74"/>
      <c r="E5" s="74"/>
      <c r="F5" s="74"/>
      <c r="G5" s="74"/>
    </row>
    <row r="6" spans="1:7" ht="15.6" customHeight="1" x14ac:dyDescent="0.25">
      <c r="A6" s="88"/>
      <c r="B6" s="74"/>
      <c r="C6" s="74"/>
      <c r="D6" s="74"/>
      <c r="E6" s="74"/>
      <c r="F6" s="74"/>
      <c r="G6" s="74"/>
    </row>
    <row r="7" spans="1:7" ht="15.6" customHeight="1" x14ac:dyDescent="0.25">
      <c r="A7" s="73"/>
      <c r="B7" s="73"/>
      <c r="C7" s="73"/>
      <c r="D7" s="73"/>
      <c r="E7" s="73"/>
      <c r="F7" s="73"/>
      <c r="G7" s="73"/>
    </row>
    <row r="8" spans="1:7" ht="15.6" customHeight="1" x14ac:dyDescent="0.25">
      <c r="A8" s="73"/>
      <c r="B8" s="73"/>
      <c r="C8" s="73"/>
      <c r="D8" s="73"/>
      <c r="E8" s="73"/>
      <c r="F8" s="73"/>
      <c r="G8" s="73"/>
    </row>
    <row r="9" spans="1:7" ht="15.6" customHeight="1" x14ac:dyDescent="0.25">
      <c r="A9" s="73"/>
      <c r="B9" s="73"/>
      <c r="C9" s="73"/>
      <c r="D9" s="73"/>
      <c r="E9" s="73"/>
      <c r="F9" s="73"/>
      <c r="G9" s="73"/>
    </row>
    <row r="10" spans="1:7" ht="15.6" customHeight="1" x14ac:dyDescent="0.25">
      <c r="A10" s="73"/>
      <c r="B10" s="73"/>
      <c r="C10" s="73"/>
      <c r="D10" s="73"/>
      <c r="E10" s="73"/>
      <c r="F10" s="73"/>
      <c r="G10" s="73"/>
    </row>
    <row r="11" spans="1:7" ht="15.6" customHeight="1" x14ac:dyDescent="0.25">
      <c r="A11" s="73"/>
      <c r="B11" s="73"/>
      <c r="C11" s="73"/>
      <c r="D11" s="73"/>
      <c r="E11" s="73"/>
      <c r="F11" s="73"/>
      <c r="G11" s="73"/>
    </row>
    <row r="12" spans="1:7" ht="15.6" customHeight="1" x14ac:dyDescent="0.25">
      <c r="A12" s="73"/>
      <c r="B12" s="73"/>
      <c r="C12" s="73"/>
      <c r="D12" s="73"/>
      <c r="E12" s="73"/>
      <c r="F12" s="73"/>
      <c r="G12" s="73"/>
    </row>
    <row r="13" spans="1:7" ht="15.6" customHeight="1" x14ac:dyDescent="0.25">
      <c r="A13" s="73"/>
      <c r="B13" s="73"/>
      <c r="C13" s="73"/>
      <c r="D13" s="73"/>
      <c r="E13" s="73"/>
      <c r="F13" s="73"/>
      <c r="G13" s="73"/>
    </row>
    <row r="14" spans="1:7" ht="15.6" customHeight="1" x14ac:dyDescent="0.25">
      <c r="A14" s="73"/>
      <c r="B14" s="73"/>
      <c r="C14" s="73"/>
      <c r="D14" s="73"/>
      <c r="E14" s="73"/>
      <c r="F14" s="73"/>
      <c r="G14" s="73"/>
    </row>
    <row r="15" spans="1:7" ht="15.6" customHeight="1" x14ac:dyDescent="0.25">
      <c r="A15" s="73"/>
      <c r="B15" s="73"/>
      <c r="C15" s="73"/>
      <c r="D15" s="73"/>
      <c r="E15" s="73"/>
      <c r="F15" s="73"/>
      <c r="G15" s="73"/>
    </row>
    <row r="16" spans="1:7" ht="15.6" customHeight="1" x14ac:dyDescent="0.25">
      <c r="A16" s="73"/>
      <c r="B16" s="73"/>
      <c r="C16" s="73"/>
      <c r="D16" s="73"/>
      <c r="E16" s="73"/>
      <c r="F16" s="73"/>
      <c r="G16" s="73"/>
    </row>
    <row r="17" spans="1:13" ht="15.6" customHeight="1" x14ac:dyDescent="0.25">
      <c r="A17" s="73"/>
      <c r="B17" s="73"/>
      <c r="C17" s="73"/>
      <c r="D17" s="73"/>
      <c r="E17" s="73"/>
      <c r="F17" s="73"/>
      <c r="G17" s="73"/>
    </row>
    <row r="18" spans="1:13" ht="15.6" customHeight="1" x14ac:dyDescent="0.25">
      <c r="A18" s="73"/>
      <c r="B18" s="73"/>
      <c r="C18" s="73"/>
      <c r="D18" s="73"/>
      <c r="E18" s="73"/>
      <c r="F18" s="73"/>
      <c r="G18" s="73"/>
    </row>
    <row r="19" spans="1:13" ht="15.6" customHeight="1" x14ac:dyDescent="0.25">
      <c r="A19" s="73"/>
      <c r="B19" s="73"/>
      <c r="C19" s="73"/>
      <c r="D19" s="73"/>
      <c r="E19" s="73"/>
      <c r="F19" s="73"/>
      <c r="G19" s="73"/>
    </row>
    <row r="20" spans="1:13" ht="15.6" customHeight="1" x14ac:dyDescent="0.25">
      <c r="A20" s="73"/>
      <c r="B20" s="73"/>
      <c r="C20" s="73"/>
      <c r="D20" s="73"/>
      <c r="E20" s="73"/>
      <c r="F20" s="73"/>
      <c r="G20" s="73"/>
    </row>
    <row r="21" spans="1:13" ht="15.6" customHeight="1" x14ac:dyDescent="0.25">
      <c r="A21" s="73"/>
      <c r="B21" s="73"/>
      <c r="C21" s="73"/>
      <c r="D21" s="73"/>
      <c r="E21" s="73"/>
      <c r="F21" s="73"/>
      <c r="G21" s="73"/>
    </row>
    <row r="22" spans="1:13" ht="15.6" customHeight="1" x14ac:dyDescent="0.25">
      <c r="A22" s="73"/>
      <c r="B22" s="73"/>
      <c r="C22" s="73"/>
      <c r="D22" s="73"/>
      <c r="E22" s="73"/>
      <c r="F22" s="73"/>
      <c r="G22" s="73"/>
    </row>
    <row r="23" spans="1:13" ht="15.6" customHeight="1" x14ac:dyDescent="0.25">
      <c r="A23" s="73"/>
      <c r="B23" s="73"/>
      <c r="C23" s="73"/>
      <c r="D23" s="73"/>
      <c r="E23" s="73"/>
      <c r="F23" s="73"/>
      <c r="G23" s="73"/>
    </row>
    <row r="24" spans="1:13" ht="15.6" customHeight="1" x14ac:dyDescent="0.25">
      <c r="A24" s="73"/>
      <c r="B24" s="73"/>
      <c r="C24" s="73"/>
      <c r="D24" s="73"/>
      <c r="E24" s="73"/>
      <c r="F24" s="73"/>
      <c r="G24" s="73"/>
    </row>
    <row r="25" spans="1:13" ht="15.6" customHeight="1" x14ac:dyDescent="0.25">
      <c r="A25" s="73"/>
      <c r="B25" s="73"/>
      <c r="C25" s="73"/>
      <c r="D25" s="73"/>
      <c r="E25" s="73"/>
      <c r="F25" s="73"/>
      <c r="G25" s="73"/>
    </row>
    <row r="26" spans="1:13" ht="15.6" customHeight="1" x14ac:dyDescent="0.25">
      <c r="A26" s="73"/>
      <c r="B26" s="73"/>
      <c r="C26" s="73"/>
      <c r="D26" s="73"/>
      <c r="E26" s="73"/>
      <c r="F26" s="73"/>
      <c r="G26" s="73"/>
    </row>
    <row r="27" spans="1:13" ht="15.6" customHeight="1" x14ac:dyDescent="0.25">
      <c r="A27" s="73"/>
      <c r="B27" s="73"/>
      <c r="C27" s="73"/>
      <c r="D27" s="73"/>
      <c r="E27" s="73"/>
      <c r="F27" s="73"/>
      <c r="G27" s="73"/>
    </row>
    <row r="28" spans="1:13" ht="15.6" customHeight="1" x14ac:dyDescent="0.25">
      <c r="A28" s="73"/>
      <c r="B28" s="73"/>
      <c r="C28" s="73"/>
      <c r="D28" s="73"/>
      <c r="E28" s="73"/>
      <c r="F28" s="73"/>
      <c r="G28" s="73"/>
      <c r="M28" s="77"/>
    </row>
    <row r="29" spans="1:13" ht="15.6" customHeight="1" x14ac:dyDescent="0.25">
      <c r="A29" s="73"/>
      <c r="B29" s="73"/>
      <c r="C29" s="73"/>
      <c r="D29" s="73"/>
      <c r="E29" s="73"/>
      <c r="F29" s="73"/>
      <c r="G29" s="73"/>
      <c r="M29" s="77"/>
    </row>
    <row r="30" spans="1:13" ht="15.6" customHeight="1" x14ac:dyDescent="0.25">
      <c r="A30" s="73"/>
      <c r="B30" s="73"/>
      <c r="C30" s="73"/>
      <c r="D30" s="73"/>
      <c r="E30" s="73"/>
      <c r="F30" s="73"/>
      <c r="G30" s="73"/>
      <c r="M30" s="77"/>
    </row>
    <row r="31" spans="1:13" ht="15.6" customHeight="1" x14ac:dyDescent="0.25">
      <c r="A31" s="73"/>
      <c r="B31" s="73"/>
      <c r="C31" s="73"/>
      <c r="D31" s="73"/>
      <c r="E31" s="73"/>
      <c r="F31" s="73"/>
      <c r="G31" s="73"/>
      <c r="M31" s="77"/>
    </row>
    <row r="32" spans="1:13" ht="15.6" customHeight="1" x14ac:dyDescent="0.25">
      <c r="A32" s="73"/>
      <c r="B32" s="73"/>
      <c r="C32" s="73"/>
      <c r="D32" s="73"/>
      <c r="E32" s="73"/>
      <c r="F32" s="73"/>
      <c r="G32" s="73"/>
      <c r="M32" s="77"/>
    </row>
    <row r="33" spans="1:13" ht="15.6" customHeight="1" x14ac:dyDescent="0.25">
      <c r="A33" s="73"/>
      <c r="B33" s="73"/>
      <c r="C33" s="73"/>
      <c r="D33" s="73"/>
      <c r="E33" s="73"/>
      <c r="F33" s="73"/>
      <c r="G33" s="73"/>
      <c r="M33" s="77"/>
    </row>
    <row r="34" spans="1:13" ht="15.6" customHeight="1" x14ac:dyDescent="0.25">
      <c r="A34" s="73"/>
      <c r="B34" s="73"/>
      <c r="C34" s="73"/>
      <c r="D34" s="73"/>
      <c r="E34" s="73"/>
      <c r="F34" s="73"/>
      <c r="G34" s="73"/>
      <c r="M34" s="77"/>
    </row>
    <row r="35" spans="1:13" ht="15.6" customHeight="1" x14ac:dyDescent="0.25">
      <c r="A35" s="73"/>
      <c r="B35" s="73"/>
      <c r="C35" s="73"/>
      <c r="D35" s="73"/>
      <c r="E35" s="73"/>
      <c r="F35" s="73"/>
      <c r="G35" s="73"/>
      <c r="M35" s="77"/>
    </row>
    <row r="36" spans="1:13" ht="15.6" customHeight="1" x14ac:dyDescent="0.25">
      <c r="A36" s="73"/>
      <c r="B36" s="73"/>
      <c r="C36" s="73"/>
      <c r="D36" s="73"/>
      <c r="E36" s="73"/>
      <c r="F36" s="73"/>
      <c r="G36" s="73"/>
      <c r="M36" s="77"/>
    </row>
    <row r="37" spans="1:13" ht="15.6" customHeight="1" x14ac:dyDescent="0.25">
      <c r="A37" s="73"/>
      <c r="B37" s="73"/>
      <c r="C37" s="73"/>
      <c r="D37" s="73"/>
      <c r="E37" s="73"/>
      <c r="F37" s="73"/>
      <c r="G37" s="73"/>
      <c r="M37" s="77"/>
    </row>
    <row r="38" spans="1:13" ht="15.6" customHeight="1" x14ac:dyDescent="0.25">
      <c r="A38" s="73"/>
      <c r="B38" s="73"/>
      <c r="C38" s="73"/>
      <c r="D38" s="73"/>
      <c r="E38" s="73"/>
      <c r="F38" s="73"/>
      <c r="G38" s="73"/>
      <c r="M38" s="77"/>
    </row>
    <row r="39" spans="1:13" ht="15.6" customHeight="1" x14ac:dyDescent="0.25">
      <c r="A39" s="73"/>
      <c r="B39" s="73"/>
      <c r="C39" s="73"/>
      <c r="D39" s="73"/>
      <c r="E39" s="73"/>
      <c r="F39" s="73"/>
      <c r="G39" s="73"/>
      <c r="M39" s="77"/>
    </row>
    <row r="40" spans="1:13" ht="15.6" customHeight="1" x14ac:dyDescent="0.25">
      <c r="A40" s="73"/>
      <c r="B40" s="73"/>
      <c r="C40" s="73"/>
      <c r="D40" s="73"/>
      <c r="E40" s="73"/>
      <c r="F40" s="73"/>
      <c r="G40" s="73"/>
      <c r="M40" s="77"/>
    </row>
    <row r="41" spans="1:13" ht="15.6" customHeight="1" x14ac:dyDescent="0.25">
      <c r="A41" s="73"/>
      <c r="B41" s="73"/>
      <c r="C41" s="73"/>
      <c r="D41" s="73"/>
      <c r="E41" s="73"/>
      <c r="F41" s="73"/>
      <c r="G41" s="73"/>
      <c r="M41" s="77"/>
    </row>
    <row r="42" spans="1:13" ht="15.6" customHeight="1" x14ac:dyDescent="0.25">
      <c r="A42" s="73"/>
      <c r="B42" s="73"/>
      <c r="C42" s="73"/>
      <c r="D42" s="73"/>
      <c r="E42" s="73"/>
      <c r="F42" s="73"/>
      <c r="G42" s="73"/>
      <c r="M42" s="77"/>
    </row>
    <row r="43" spans="1:13" ht="15.6" customHeight="1" x14ac:dyDescent="0.25">
      <c r="A43" s="73"/>
      <c r="B43" s="73"/>
      <c r="C43" s="73"/>
      <c r="D43" s="73"/>
      <c r="E43" s="73"/>
      <c r="F43" s="73"/>
      <c r="G43" s="73"/>
      <c r="M43" s="77"/>
    </row>
    <row r="44" spans="1:13" ht="15.6" customHeight="1" x14ac:dyDescent="0.25">
      <c r="A44" s="73"/>
      <c r="B44" s="73"/>
      <c r="C44" s="73"/>
      <c r="D44" s="73"/>
      <c r="E44" s="73"/>
      <c r="F44" s="73"/>
      <c r="G44" s="73"/>
      <c r="M44" s="77"/>
    </row>
    <row r="45" spans="1:13" ht="15.6" customHeight="1" x14ac:dyDescent="0.25">
      <c r="A45" s="73"/>
      <c r="B45" s="73"/>
      <c r="C45" s="73"/>
      <c r="D45" s="73"/>
      <c r="E45" s="73"/>
      <c r="F45" s="73"/>
      <c r="G45" s="73"/>
      <c r="M45" s="77"/>
    </row>
    <row r="46" spans="1:13" ht="15.6" customHeight="1" x14ac:dyDescent="0.25">
      <c r="A46" s="192" t="s">
        <v>191</v>
      </c>
      <c r="B46" s="73"/>
      <c r="C46" s="73"/>
      <c r="D46" s="73"/>
      <c r="E46" s="73"/>
      <c r="F46" s="73"/>
      <c r="G46" s="73"/>
      <c r="M46" s="77"/>
    </row>
    <row r="47" spans="1:13" ht="15.6" customHeight="1" x14ac:dyDescent="0.25">
      <c r="A47" s="192" t="s">
        <v>192</v>
      </c>
      <c r="B47" s="73"/>
      <c r="C47" s="73"/>
      <c r="D47" s="73"/>
      <c r="E47" s="73"/>
      <c r="F47" s="73"/>
      <c r="G47" s="73"/>
      <c r="M47" s="77"/>
    </row>
    <row r="48" spans="1:13" ht="15.6" customHeight="1" x14ac:dyDescent="0.25">
      <c r="A48" s="192" t="s">
        <v>131</v>
      </c>
      <c r="B48" s="73"/>
      <c r="C48" s="73"/>
      <c r="D48" s="73"/>
      <c r="E48" s="73"/>
      <c r="F48" s="73"/>
      <c r="G48" s="73"/>
      <c r="M48" s="77"/>
    </row>
    <row r="49" spans="1:13" ht="15.6" customHeight="1" x14ac:dyDescent="0.25">
      <c r="A49" s="192" t="s">
        <v>233</v>
      </c>
      <c r="B49" s="73"/>
      <c r="C49" s="73"/>
      <c r="D49" s="73"/>
      <c r="E49" s="73"/>
      <c r="F49" s="73"/>
      <c r="G49" s="73"/>
      <c r="M49" s="77"/>
    </row>
    <row r="50" spans="1:13" ht="15.6" customHeight="1" x14ac:dyDescent="0.2">
      <c r="A50" s="52"/>
      <c r="B50" s="52"/>
      <c r="C50" s="52"/>
      <c r="D50" s="52"/>
      <c r="E50" s="52"/>
      <c r="F50" s="52"/>
      <c r="G50" s="52"/>
      <c r="H50" s="77"/>
    </row>
    <row r="51" spans="1:13" ht="15.6" customHeight="1" x14ac:dyDescent="0.2">
      <c r="A51" s="54" t="str">
        <f>+Innhold!B123</f>
        <v>Finans Norge / Skadeforsikringsstatistikk</v>
      </c>
      <c r="G51" s="194">
        <v>3</v>
      </c>
      <c r="H51" s="77"/>
    </row>
    <row r="52" spans="1:13" ht="15.6" customHeight="1" x14ac:dyDescent="0.2">
      <c r="A52" s="54" t="str">
        <f>+Innhold!B124</f>
        <v>Skadestatistikk for landbasert norsk skadeforsikring 4. kvartal 2019</v>
      </c>
      <c r="G52" s="195"/>
      <c r="H52" s="77"/>
    </row>
    <row r="53" spans="1:13" ht="15.6" customHeight="1" x14ac:dyDescent="0.2">
      <c r="H53" s="77"/>
    </row>
    <row r="59" spans="1:13" ht="15.6" customHeight="1" x14ac:dyDescent="0.2">
      <c r="J59" s="214"/>
      <c r="K59" s="214"/>
      <c r="L59" s="214"/>
    </row>
    <row r="60" spans="1:13" ht="15.6" customHeight="1" x14ac:dyDescent="0.2">
      <c r="J60" s="215"/>
      <c r="K60" s="215"/>
      <c r="L60" s="215"/>
    </row>
    <row r="61" spans="1:13" ht="15.6" customHeight="1" x14ac:dyDescent="0.2">
      <c r="J61" s="214"/>
      <c r="K61" s="214"/>
      <c r="L61" s="214"/>
    </row>
    <row r="62" spans="1:13" ht="15.6" customHeight="1" x14ac:dyDescent="0.2">
      <c r="J62" s="214"/>
      <c r="K62" s="214"/>
      <c r="L62" s="214"/>
    </row>
    <row r="63" spans="1:13" ht="15.6" customHeight="1" x14ac:dyDescent="0.2">
      <c r="J63" s="214"/>
      <c r="K63" s="214"/>
      <c r="L63" s="214"/>
    </row>
    <row r="64" spans="1:13" ht="15.6" customHeight="1" x14ac:dyDescent="0.2">
      <c r="J64" s="214"/>
      <c r="K64" s="214"/>
      <c r="L64" s="214"/>
    </row>
    <row r="65" spans="1:12" ht="15.6" customHeight="1" x14ac:dyDescent="0.2">
      <c r="J65" s="214"/>
      <c r="K65" s="214"/>
      <c r="L65" s="214"/>
    </row>
    <row r="66" spans="1:12" ht="15.6" customHeight="1" x14ac:dyDescent="0.2">
      <c r="J66" s="214"/>
      <c r="K66" s="214"/>
      <c r="L66" s="214"/>
    </row>
    <row r="67" spans="1:12" ht="15.6" customHeight="1" x14ac:dyDescent="0.2">
      <c r="J67" s="214"/>
      <c r="K67" s="214"/>
      <c r="L67" s="214"/>
    </row>
    <row r="68" spans="1:12" ht="15.6" customHeight="1" x14ac:dyDescent="0.2">
      <c r="J68" s="214"/>
      <c r="K68" s="214"/>
      <c r="L68" s="214"/>
    </row>
    <row r="69" spans="1:12" ht="15.6" customHeight="1" x14ac:dyDescent="0.2">
      <c r="J69" s="214"/>
      <c r="K69" s="214"/>
      <c r="L69" s="214"/>
    </row>
    <row r="70" spans="1:12" ht="15.6" customHeight="1" x14ac:dyDescent="0.2">
      <c r="J70" s="214"/>
      <c r="K70" s="214"/>
      <c r="L70" s="214"/>
    </row>
    <row r="71" spans="1:12" ht="15.6" customHeight="1" x14ac:dyDescent="0.2">
      <c r="J71" s="214"/>
      <c r="K71" s="214"/>
      <c r="L71" s="214"/>
    </row>
    <row r="72" spans="1:12" ht="15.6" customHeight="1" x14ac:dyDescent="0.2">
      <c r="A72" s="214"/>
      <c r="B72" s="214"/>
      <c r="C72" s="214"/>
      <c r="D72" s="214"/>
      <c r="E72" s="214"/>
      <c r="F72" s="214"/>
      <c r="H72" s="214"/>
      <c r="I72" s="214"/>
      <c r="J72" s="214"/>
      <c r="K72" s="214"/>
      <c r="L72" s="214"/>
    </row>
    <row r="73" spans="1:12" ht="15.6" customHeight="1" x14ac:dyDescent="0.2">
      <c r="A73" s="214"/>
      <c r="B73" s="214"/>
      <c r="C73" s="214"/>
      <c r="D73" s="214"/>
      <c r="E73" s="214"/>
      <c r="F73" s="214"/>
      <c r="H73" s="214"/>
      <c r="I73" s="214"/>
      <c r="J73" s="214"/>
      <c r="K73" s="214"/>
      <c r="L73" s="214"/>
    </row>
    <row r="74" spans="1:12" ht="15.6" customHeight="1" x14ac:dyDescent="0.2">
      <c r="A74" s="214"/>
      <c r="B74" s="214"/>
      <c r="C74" s="214"/>
      <c r="D74" s="214"/>
      <c r="E74" s="214"/>
      <c r="F74" s="214"/>
      <c r="H74" s="214"/>
      <c r="I74" s="214"/>
      <c r="J74" s="214"/>
      <c r="K74" s="214"/>
      <c r="L74" s="214"/>
    </row>
    <row r="75" spans="1:12" ht="15.6" customHeight="1" x14ac:dyDescent="0.2">
      <c r="A75" s="214"/>
      <c r="B75" s="214"/>
      <c r="C75" s="214"/>
      <c r="D75" s="214"/>
      <c r="E75" s="214"/>
      <c r="F75" s="214"/>
      <c r="H75" s="214"/>
      <c r="I75" s="214"/>
      <c r="J75" s="214"/>
      <c r="K75" s="214"/>
      <c r="L75" s="214"/>
    </row>
    <row r="76" spans="1:12" ht="15.6" customHeight="1" x14ac:dyDescent="0.2">
      <c r="A76" s="214"/>
      <c r="B76" s="214"/>
      <c r="C76" s="214"/>
      <c r="D76" s="214"/>
      <c r="E76" s="214"/>
      <c r="F76" s="214"/>
      <c r="H76" s="214"/>
      <c r="I76" s="214"/>
      <c r="J76" s="214"/>
      <c r="K76" s="214"/>
      <c r="L76" s="214"/>
    </row>
    <row r="77" spans="1:12" ht="15.6" customHeight="1" x14ac:dyDescent="0.2">
      <c r="A77" s="214"/>
      <c r="B77" s="214"/>
      <c r="C77" s="214"/>
      <c r="D77" s="214"/>
      <c r="E77" s="214"/>
      <c r="F77" s="214"/>
      <c r="H77" s="214"/>
      <c r="I77" s="214"/>
      <c r="J77" s="214"/>
      <c r="K77" s="214"/>
      <c r="L77" s="214"/>
    </row>
    <row r="78" spans="1:12" ht="15.6" customHeight="1" x14ac:dyDescent="0.2">
      <c r="A78" s="214"/>
      <c r="B78" s="214"/>
      <c r="C78" s="214"/>
      <c r="D78" s="214"/>
      <c r="E78" s="214"/>
      <c r="F78" s="214"/>
      <c r="H78" s="214"/>
      <c r="I78" s="214"/>
      <c r="J78" s="214"/>
      <c r="K78" s="214"/>
      <c r="L78" s="214"/>
    </row>
    <row r="79" spans="1:12" ht="15.6" customHeight="1" x14ac:dyDescent="0.2">
      <c r="A79" s="214"/>
      <c r="B79" s="214"/>
      <c r="C79" s="214"/>
      <c r="D79" s="214"/>
      <c r="E79" s="214"/>
      <c r="F79" s="214"/>
      <c r="H79" s="214"/>
      <c r="I79" s="214"/>
      <c r="J79" s="214"/>
      <c r="K79" s="214"/>
      <c r="L79" s="214"/>
    </row>
    <row r="80" spans="1:12" ht="15.6" customHeight="1" x14ac:dyDescent="0.2">
      <c r="A80" s="214"/>
      <c r="B80" s="214"/>
      <c r="C80" s="214"/>
      <c r="D80" s="214"/>
      <c r="E80" s="214"/>
      <c r="F80" s="214"/>
      <c r="H80" s="214"/>
      <c r="I80" s="214"/>
      <c r="J80" s="214"/>
      <c r="K80" s="214"/>
      <c r="L80" s="214"/>
    </row>
    <row r="81" spans="1:12" ht="15.6" customHeight="1" x14ac:dyDescent="0.2">
      <c r="A81" s="214"/>
      <c r="B81" s="214"/>
      <c r="C81" s="214"/>
      <c r="D81" s="214"/>
      <c r="E81" s="214"/>
      <c r="F81" s="214"/>
      <c r="H81" s="214"/>
      <c r="I81" s="214"/>
      <c r="J81" s="214"/>
      <c r="K81" s="214"/>
      <c r="L81" s="214"/>
    </row>
    <row r="82" spans="1:12" ht="15.6" customHeight="1" x14ac:dyDescent="0.2">
      <c r="A82" s="214"/>
      <c r="B82" s="214"/>
      <c r="C82" s="214"/>
      <c r="D82" s="214"/>
      <c r="E82" s="214"/>
      <c r="F82" s="214"/>
      <c r="H82" s="214"/>
      <c r="I82" s="214"/>
      <c r="J82" s="214"/>
      <c r="K82" s="214"/>
      <c r="L82" s="214"/>
    </row>
    <row r="83" spans="1:12" ht="15.6" customHeight="1" x14ac:dyDescent="0.2">
      <c r="A83" s="214"/>
      <c r="B83" s="214"/>
      <c r="C83" s="214"/>
      <c r="D83" s="214"/>
      <c r="E83" s="214"/>
      <c r="F83" s="214"/>
      <c r="H83" s="214"/>
      <c r="I83" s="214"/>
      <c r="J83" s="214"/>
      <c r="K83" s="214"/>
      <c r="L83" s="214"/>
    </row>
    <row r="84" spans="1:12" ht="15.6" customHeight="1" x14ac:dyDescent="0.2">
      <c r="A84" s="214"/>
      <c r="B84" s="214"/>
      <c r="C84" s="214"/>
      <c r="D84" s="214"/>
      <c r="E84" s="214"/>
      <c r="F84" s="214"/>
      <c r="H84" s="214"/>
      <c r="I84" s="214"/>
      <c r="J84" s="214"/>
      <c r="K84" s="214"/>
      <c r="L84" s="214"/>
    </row>
    <row r="85" spans="1:12" ht="15.6" customHeight="1" x14ac:dyDescent="0.2">
      <c r="A85" s="214"/>
      <c r="B85" s="214"/>
      <c r="C85" s="214"/>
      <c r="D85" s="214"/>
      <c r="E85" s="214"/>
      <c r="F85" s="214"/>
      <c r="H85" s="214"/>
      <c r="I85" s="214"/>
      <c r="J85" s="214"/>
      <c r="K85" s="214"/>
      <c r="L85" s="214"/>
    </row>
    <row r="86" spans="1:12" ht="15.6" customHeight="1" x14ac:dyDescent="0.2">
      <c r="A86" s="214"/>
      <c r="B86" s="214"/>
      <c r="C86" s="214"/>
      <c r="D86" s="214"/>
      <c r="E86" s="214"/>
      <c r="F86" s="214"/>
      <c r="H86" s="214"/>
      <c r="I86" s="214"/>
      <c r="J86" s="214"/>
      <c r="K86" s="214"/>
      <c r="L86" s="214"/>
    </row>
    <row r="87" spans="1:12" ht="15.6" customHeight="1" x14ac:dyDescent="0.2">
      <c r="A87" s="214"/>
      <c r="B87" s="214"/>
      <c r="C87" s="214"/>
      <c r="D87" s="214"/>
      <c r="E87" s="214"/>
      <c r="F87" s="214"/>
      <c r="H87" s="214"/>
      <c r="I87" s="214"/>
      <c r="J87" s="214"/>
      <c r="K87" s="214"/>
      <c r="L87" s="214"/>
    </row>
    <row r="88" spans="1:12" ht="15.6" customHeight="1" x14ac:dyDescent="0.2">
      <c r="A88" s="214"/>
      <c r="B88" s="214"/>
      <c r="C88" s="214"/>
      <c r="D88" s="214"/>
      <c r="E88" s="214"/>
      <c r="F88" s="214"/>
      <c r="H88" s="214"/>
      <c r="I88" s="214"/>
      <c r="J88" s="214"/>
      <c r="K88" s="214"/>
      <c r="L88" s="214"/>
    </row>
    <row r="89" spans="1:12" ht="15.6" customHeight="1" x14ac:dyDescent="0.2">
      <c r="A89" s="214"/>
      <c r="B89" s="214"/>
      <c r="C89" s="214"/>
      <c r="D89" s="214"/>
      <c r="E89" s="214"/>
      <c r="F89" s="214"/>
      <c r="H89" s="214"/>
      <c r="I89" s="214"/>
      <c r="J89" s="214"/>
      <c r="K89" s="214"/>
      <c r="L89" s="214"/>
    </row>
    <row r="90" spans="1:12" ht="15.6" customHeight="1" x14ac:dyDescent="0.2">
      <c r="A90" s="214"/>
      <c r="B90" s="214"/>
      <c r="C90" s="214"/>
      <c r="D90" s="214"/>
      <c r="E90" s="214"/>
      <c r="F90" s="214"/>
      <c r="H90" s="214"/>
      <c r="I90" s="214"/>
      <c r="J90" s="214"/>
      <c r="K90" s="214"/>
      <c r="L90" s="214"/>
    </row>
    <row r="91" spans="1:12" ht="15.6" customHeight="1" x14ac:dyDescent="0.2">
      <c r="A91" s="214"/>
      <c r="B91" s="214"/>
      <c r="C91" s="214"/>
      <c r="D91" s="214"/>
      <c r="E91" s="214"/>
      <c r="F91" s="214"/>
      <c r="H91" s="214"/>
      <c r="I91" s="214"/>
      <c r="J91" s="214"/>
      <c r="K91" s="214"/>
      <c r="L91" s="214"/>
    </row>
    <row r="92" spans="1:12" ht="15.6" customHeight="1" x14ac:dyDescent="0.2">
      <c r="A92" s="214"/>
      <c r="B92" s="214"/>
      <c r="C92" s="214"/>
      <c r="D92" s="214"/>
      <c r="E92" s="214"/>
      <c r="F92" s="214"/>
      <c r="H92" s="214"/>
      <c r="I92" s="214"/>
      <c r="J92" s="214"/>
      <c r="K92" s="214"/>
      <c r="L92" s="214"/>
    </row>
    <row r="93" spans="1:12" ht="15.6" customHeight="1" x14ac:dyDescent="0.2">
      <c r="A93" s="214"/>
      <c r="B93" s="214"/>
      <c r="C93" s="214"/>
      <c r="D93" s="214"/>
      <c r="E93" s="214"/>
      <c r="F93" s="214"/>
      <c r="H93" s="214"/>
      <c r="I93" s="214"/>
      <c r="J93" s="214"/>
      <c r="K93" s="214"/>
      <c r="L93" s="214"/>
    </row>
    <row r="94" spans="1:12" ht="15.6" customHeight="1" x14ac:dyDescent="0.2">
      <c r="A94" s="214"/>
      <c r="B94" s="214"/>
      <c r="C94" s="214"/>
      <c r="D94" s="214"/>
      <c r="E94" s="214"/>
      <c r="F94" s="214"/>
      <c r="H94" s="214"/>
      <c r="I94" s="214"/>
      <c r="J94" s="214"/>
      <c r="K94" s="214"/>
      <c r="L94" s="214"/>
    </row>
    <row r="95" spans="1:12" ht="15.6" customHeight="1" x14ac:dyDescent="0.2">
      <c r="A95" s="214"/>
      <c r="B95" s="214"/>
      <c r="C95" s="214"/>
      <c r="D95" s="214"/>
      <c r="E95" s="214"/>
      <c r="F95" s="214"/>
      <c r="H95" s="214"/>
      <c r="I95" s="214"/>
      <c r="J95" s="214"/>
      <c r="K95" s="214"/>
      <c r="L95" s="214"/>
    </row>
    <row r="96" spans="1:12" ht="15.6" customHeight="1" x14ac:dyDescent="0.2">
      <c r="A96" s="214"/>
      <c r="B96" s="214"/>
      <c r="C96" s="214"/>
      <c r="D96" s="214"/>
      <c r="E96" s="214"/>
      <c r="F96" s="214"/>
      <c r="H96" s="214"/>
      <c r="I96" s="214"/>
      <c r="J96" s="214"/>
      <c r="K96" s="214"/>
      <c r="L96" s="214"/>
    </row>
    <row r="97" spans="1:12" ht="15.6" customHeight="1" x14ac:dyDescent="0.2">
      <c r="A97" s="214"/>
      <c r="B97" s="214"/>
      <c r="C97" s="214"/>
      <c r="D97" s="214"/>
      <c r="E97" s="214"/>
      <c r="F97" s="214"/>
      <c r="H97" s="214"/>
      <c r="I97" s="214"/>
      <c r="J97" s="214"/>
      <c r="K97" s="214"/>
      <c r="L97" s="214"/>
    </row>
    <row r="98" spans="1:12" ht="15.6" customHeight="1" x14ac:dyDescent="0.2">
      <c r="A98" s="214"/>
      <c r="B98" s="214"/>
      <c r="C98" s="214"/>
      <c r="D98" s="214"/>
      <c r="E98" s="214"/>
      <c r="F98" s="214"/>
      <c r="K98" s="214"/>
    </row>
    <row r="99" spans="1:12" ht="15.6" customHeight="1" x14ac:dyDescent="0.2">
      <c r="A99" s="214"/>
      <c r="B99" s="214"/>
      <c r="C99" s="214"/>
      <c r="D99" s="214"/>
      <c r="E99" s="214"/>
      <c r="F99" s="214"/>
      <c r="K99" s="214"/>
    </row>
    <row r="100" spans="1:12" ht="15.6" customHeight="1" x14ac:dyDescent="0.2">
      <c r="A100" s="214"/>
      <c r="B100" s="214"/>
      <c r="C100" s="214"/>
      <c r="D100" s="214"/>
      <c r="E100" s="214"/>
      <c r="F100" s="214"/>
      <c r="H100" s="68"/>
      <c r="I100" s="214"/>
      <c r="J100" s="214"/>
      <c r="K100" s="214"/>
    </row>
    <row r="101" spans="1:12" ht="15.6" customHeight="1" x14ac:dyDescent="0.2">
      <c r="A101" s="214"/>
      <c r="B101" s="214"/>
      <c r="C101" s="214"/>
      <c r="D101" s="214"/>
      <c r="E101" s="214"/>
      <c r="F101" s="214"/>
      <c r="H101" s="214"/>
      <c r="I101" s="214"/>
      <c r="J101" s="214"/>
      <c r="K101" s="214"/>
    </row>
    <row r="102" spans="1:12" ht="15.6" customHeight="1" x14ac:dyDescent="0.2">
      <c r="A102" s="214"/>
      <c r="B102" s="214"/>
      <c r="C102" s="214"/>
      <c r="D102" s="214"/>
      <c r="E102" s="214"/>
      <c r="F102" s="214"/>
      <c r="H102" s="214"/>
      <c r="I102" s="214"/>
      <c r="J102" s="214"/>
      <c r="K102" s="214"/>
    </row>
    <row r="103" spans="1:12" ht="15.6" customHeight="1" x14ac:dyDescent="0.2">
      <c r="A103" s="214"/>
      <c r="B103" s="214"/>
      <c r="C103" s="214"/>
      <c r="D103" s="214"/>
      <c r="E103" s="214"/>
      <c r="F103" s="214"/>
      <c r="H103" s="214"/>
      <c r="I103" s="214"/>
      <c r="J103" s="214"/>
      <c r="K103" s="214"/>
    </row>
    <row r="104" spans="1:12" ht="15.6" customHeight="1" x14ac:dyDescent="0.2">
      <c r="A104" s="214"/>
      <c r="B104" s="214"/>
      <c r="C104" s="214"/>
      <c r="D104" s="214"/>
      <c r="E104" s="214"/>
      <c r="F104" s="214"/>
      <c r="H104" s="214"/>
      <c r="I104" s="214"/>
      <c r="J104" s="214"/>
      <c r="K104" s="214"/>
    </row>
    <row r="105" spans="1:12" ht="15.6" customHeight="1" x14ac:dyDescent="0.2">
      <c r="A105" s="214"/>
      <c r="B105" s="214"/>
      <c r="C105" s="214"/>
      <c r="D105" s="214"/>
      <c r="E105" s="214"/>
      <c r="F105" s="214"/>
      <c r="H105" s="214"/>
      <c r="I105" s="214"/>
      <c r="J105" s="214"/>
      <c r="K105" s="214"/>
    </row>
    <row r="106" spans="1:12" ht="15.6" customHeight="1" x14ac:dyDescent="0.2">
      <c r="D106" s="214"/>
      <c r="E106" s="214"/>
      <c r="F106" s="214"/>
      <c r="H106" s="214"/>
      <c r="I106" s="214"/>
      <c r="J106" s="214"/>
      <c r="K106" s="214"/>
    </row>
    <row r="107" spans="1:12" ht="15.6" customHeight="1" x14ac:dyDescent="0.2">
      <c r="D107" s="214"/>
      <c r="E107" s="214"/>
      <c r="F107" s="214"/>
      <c r="H107" s="214"/>
      <c r="I107" s="214"/>
      <c r="J107" s="214"/>
      <c r="K107" s="214"/>
    </row>
    <row r="108" spans="1:12" ht="15.6" customHeight="1" x14ac:dyDescent="0.2">
      <c r="A108" s="216"/>
      <c r="B108" s="214"/>
      <c r="C108" s="214"/>
      <c r="D108" s="214"/>
      <c r="E108" s="214"/>
      <c r="F108" s="214"/>
      <c r="H108" s="214"/>
      <c r="I108" s="214"/>
      <c r="J108" s="214"/>
      <c r="K108" s="214"/>
    </row>
    <row r="109" spans="1:12" ht="15.6" customHeight="1" x14ac:dyDescent="0.2">
      <c r="A109" s="214"/>
      <c r="B109" s="214"/>
      <c r="C109" s="214"/>
      <c r="D109" s="214"/>
      <c r="E109" s="214"/>
      <c r="F109" s="214"/>
      <c r="H109" s="214"/>
      <c r="I109" s="214"/>
      <c r="J109" s="214"/>
      <c r="K109" s="214"/>
    </row>
    <row r="110" spans="1:12" ht="15.6" customHeight="1" x14ac:dyDescent="0.2">
      <c r="A110" s="214"/>
      <c r="B110" s="214"/>
      <c r="C110" s="214"/>
      <c r="D110" s="214"/>
      <c r="E110" s="214"/>
      <c r="F110" s="214"/>
      <c r="H110" s="214"/>
      <c r="I110" s="214"/>
      <c r="J110" s="214"/>
      <c r="K110" s="214"/>
    </row>
    <row r="111" spans="1:12" ht="15.6" customHeight="1" x14ac:dyDescent="0.2">
      <c r="A111" s="214"/>
      <c r="B111" s="214"/>
      <c r="C111" s="214"/>
      <c r="D111" s="214"/>
      <c r="E111" s="214"/>
      <c r="F111" s="214"/>
      <c r="H111" s="214"/>
      <c r="I111" s="214"/>
      <c r="J111" s="214"/>
      <c r="K111" s="214"/>
    </row>
    <row r="112" spans="1:12" ht="15.6" customHeight="1" x14ac:dyDescent="0.2">
      <c r="A112" s="214"/>
      <c r="B112" s="214"/>
      <c r="C112" s="214"/>
      <c r="D112" s="214"/>
      <c r="E112" s="214"/>
      <c r="F112" s="214"/>
    </row>
    <row r="113" spans="1:11" ht="15.6" customHeight="1" x14ac:dyDescent="0.2">
      <c r="A113" s="214"/>
      <c r="B113" s="214"/>
      <c r="C113" s="214"/>
      <c r="D113" s="214"/>
      <c r="E113" s="214"/>
      <c r="F113" s="214"/>
    </row>
    <row r="114" spans="1:11" ht="15.6" customHeight="1" x14ac:dyDescent="0.2">
      <c r="A114" s="214"/>
      <c r="B114" s="214"/>
      <c r="C114" s="214"/>
      <c r="D114" s="214"/>
      <c r="E114" s="214"/>
      <c r="F114" s="214"/>
      <c r="H114" s="68"/>
      <c r="I114" s="214"/>
      <c r="J114" s="214"/>
      <c r="K114" s="214"/>
    </row>
    <row r="115" spans="1:11" ht="15.6" customHeight="1" x14ac:dyDescent="0.2">
      <c r="A115" s="214"/>
      <c r="B115" s="214"/>
      <c r="C115" s="214"/>
      <c r="D115" s="214"/>
      <c r="E115" s="214"/>
      <c r="F115" s="214"/>
      <c r="H115" s="214"/>
      <c r="I115" s="214"/>
      <c r="J115" s="214"/>
      <c r="K115" s="214"/>
    </row>
    <row r="116" spans="1:11" ht="15.6" customHeight="1" x14ac:dyDescent="0.2">
      <c r="A116" s="214"/>
      <c r="B116" s="214"/>
      <c r="C116" s="214"/>
      <c r="D116" s="214"/>
      <c r="E116" s="214"/>
      <c r="F116" s="214"/>
      <c r="H116" s="214"/>
      <c r="I116" s="214"/>
      <c r="J116" s="214"/>
      <c r="K116" s="214"/>
    </row>
    <row r="117" spans="1:11" ht="15.6" customHeight="1" x14ac:dyDescent="0.2">
      <c r="A117" s="214"/>
      <c r="B117" s="214"/>
      <c r="C117" s="214"/>
      <c r="D117" s="214"/>
      <c r="E117" s="214"/>
      <c r="F117" s="214"/>
      <c r="H117" s="214"/>
      <c r="I117" s="214"/>
      <c r="J117" s="214"/>
      <c r="K117" s="214"/>
    </row>
    <row r="118" spans="1:11" ht="15.6" customHeight="1" x14ac:dyDescent="0.2">
      <c r="A118" s="214"/>
      <c r="B118" s="214"/>
      <c r="C118" s="214"/>
      <c r="D118" s="214"/>
      <c r="E118" s="214"/>
      <c r="F118" s="214"/>
      <c r="H118" s="214"/>
      <c r="I118" s="214"/>
      <c r="J118" s="214"/>
      <c r="K118" s="214"/>
    </row>
    <row r="119" spans="1:11" ht="15.6" customHeight="1" x14ac:dyDescent="0.2">
      <c r="A119" s="214"/>
      <c r="B119" s="214"/>
      <c r="C119" s="214"/>
      <c r="D119" s="214"/>
      <c r="E119" s="214"/>
      <c r="F119" s="214"/>
      <c r="H119" s="214"/>
      <c r="I119" s="214"/>
      <c r="J119" s="214"/>
      <c r="K119" s="214"/>
    </row>
    <row r="120" spans="1:11" ht="15.6" customHeight="1" x14ac:dyDescent="0.2">
      <c r="A120" s="214"/>
      <c r="B120" s="214"/>
      <c r="C120" s="214"/>
      <c r="D120" s="214"/>
      <c r="E120" s="214"/>
      <c r="F120" s="214"/>
      <c r="H120" s="214"/>
      <c r="I120" s="214"/>
      <c r="J120" s="214"/>
      <c r="K120" s="214"/>
    </row>
    <row r="121" spans="1:11" ht="15.6" customHeight="1" x14ac:dyDescent="0.2">
      <c r="A121" s="214"/>
      <c r="B121" s="214"/>
      <c r="C121" s="214"/>
      <c r="D121" s="214"/>
      <c r="E121" s="214"/>
      <c r="F121" s="214"/>
      <c r="G121" s="214"/>
      <c r="H121" s="214"/>
      <c r="I121" s="214"/>
      <c r="J121" s="214"/>
      <c r="K121" s="214"/>
    </row>
    <row r="122" spans="1:11" ht="15.6" customHeight="1" x14ac:dyDescent="0.2">
      <c r="A122" s="214"/>
      <c r="B122" s="214"/>
      <c r="C122" s="214"/>
      <c r="D122" s="214"/>
      <c r="E122" s="214"/>
      <c r="F122" s="214"/>
      <c r="G122" s="214"/>
      <c r="H122" s="214"/>
      <c r="I122" s="214"/>
      <c r="J122" s="214"/>
      <c r="K122" s="214"/>
    </row>
    <row r="123" spans="1:11" ht="15.6" customHeight="1" x14ac:dyDescent="0.2">
      <c r="A123" s="214"/>
      <c r="B123" s="214"/>
      <c r="C123" s="214"/>
      <c r="D123" s="214"/>
      <c r="E123" s="214"/>
      <c r="F123" s="214"/>
      <c r="G123" s="214"/>
      <c r="H123" s="214"/>
      <c r="I123" s="214"/>
      <c r="J123" s="214"/>
    </row>
    <row r="124" spans="1:11" ht="15.6" customHeight="1" x14ac:dyDescent="0.2">
      <c r="A124" s="214"/>
      <c r="B124" s="214"/>
      <c r="C124" s="214"/>
      <c r="D124" s="214"/>
      <c r="E124" s="214"/>
      <c r="F124" s="214"/>
      <c r="G124" s="214"/>
      <c r="H124" s="214"/>
      <c r="I124" s="214"/>
      <c r="J124" s="214"/>
    </row>
    <row r="125" spans="1:11" ht="15.6" customHeight="1" x14ac:dyDescent="0.2">
      <c r="A125" s="214"/>
      <c r="B125" s="214"/>
      <c r="C125" s="214"/>
      <c r="D125" s="214"/>
      <c r="F125" s="214"/>
      <c r="G125" s="214"/>
      <c r="H125" s="214"/>
      <c r="I125" s="214"/>
      <c r="J125" s="214"/>
    </row>
    <row r="126" spans="1:11" ht="15.6" customHeight="1" x14ac:dyDescent="0.2">
      <c r="A126" s="214"/>
      <c r="B126" s="214"/>
      <c r="C126" s="214"/>
      <c r="D126" s="214"/>
      <c r="F126" s="214"/>
      <c r="G126" s="214"/>
      <c r="H126" s="214"/>
      <c r="I126" s="214"/>
      <c r="J126" s="214"/>
    </row>
    <row r="127" spans="1:11" ht="15.6" customHeight="1" x14ac:dyDescent="0.2">
      <c r="A127" s="214"/>
      <c r="B127" s="214"/>
      <c r="C127" s="214"/>
      <c r="D127" s="214"/>
      <c r="F127" s="214"/>
      <c r="G127" s="214"/>
      <c r="H127" s="214"/>
      <c r="I127" s="214"/>
      <c r="J127" s="214"/>
    </row>
    <row r="128" spans="1:11" ht="15.6" customHeight="1" x14ac:dyDescent="0.2">
      <c r="A128" s="214"/>
      <c r="B128" s="214"/>
      <c r="C128" s="214"/>
      <c r="D128" s="214"/>
      <c r="F128" s="214"/>
      <c r="G128" s="214"/>
      <c r="H128" s="214"/>
      <c r="I128" s="214"/>
      <c r="J128" s="214"/>
    </row>
    <row r="129" spans="1:10" ht="15.6" customHeight="1" x14ac:dyDescent="0.2">
      <c r="A129" s="214"/>
      <c r="B129" s="214"/>
      <c r="C129" s="214"/>
      <c r="D129" s="214"/>
      <c r="F129" s="214"/>
      <c r="G129" s="214"/>
      <c r="H129" s="214"/>
      <c r="I129" s="214"/>
      <c r="J129" s="214"/>
    </row>
    <row r="130" spans="1:10" ht="15.6" customHeight="1" x14ac:dyDescent="0.2">
      <c r="A130" s="214"/>
      <c r="B130" s="214"/>
      <c r="C130" s="214"/>
      <c r="D130" s="214"/>
      <c r="F130" s="214"/>
    </row>
    <row r="131" spans="1:10" ht="15.6" customHeight="1" x14ac:dyDescent="0.2">
      <c r="A131" s="214"/>
      <c r="B131" s="214"/>
      <c r="C131" s="214"/>
      <c r="D131" s="214"/>
      <c r="F131" s="214"/>
    </row>
    <row r="132" spans="1:10" ht="15.6" customHeight="1" x14ac:dyDescent="0.2">
      <c r="A132" s="214"/>
      <c r="B132" s="214"/>
      <c r="C132" s="214"/>
      <c r="D132" s="214"/>
      <c r="F132" s="214"/>
    </row>
    <row r="133" spans="1:10" ht="15.6" customHeight="1" x14ac:dyDescent="0.2">
      <c r="A133" s="214"/>
      <c r="B133" s="214"/>
      <c r="C133" s="214"/>
      <c r="D133" s="214"/>
      <c r="F133" s="214"/>
    </row>
    <row r="134" spans="1:10" ht="15.6" customHeight="1" x14ac:dyDescent="0.2">
      <c r="A134" s="214"/>
      <c r="B134" s="214"/>
      <c r="C134" s="214"/>
      <c r="D134" s="214"/>
      <c r="F134" s="214"/>
    </row>
    <row r="135" spans="1:10" ht="15.6" customHeight="1" x14ac:dyDescent="0.2">
      <c r="A135" s="214"/>
      <c r="B135" s="214"/>
      <c r="C135" s="214"/>
      <c r="D135" s="214"/>
      <c r="F135" s="214"/>
    </row>
    <row r="136" spans="1:10" ht="15.6" customHeight="1" x14ac:dyDescent="0.2">
      <c r="A136" s="214"/>
      <c r="B136" s="214"/>
      <c r="C136" s="214"/>
      <c r="D136" s="214"/>
      <c r="F136" s="214"/>
    </row>
    <row r="137" spans="1:10" ht="15.6" customHeight="1" x14ac:dyDescent="0.2">
      <c r="A137" s="214"/>
      <c r="B137" s="214"/>
      <c r="C137" s="214"/>
      <c r="D137" s="214"/>
      <c r="F137" s="214"/>
    </row>
  </sheetData>
  <mergeCells count="1">
    <mergeCell ref="G51:G52"/>
  </mergeCells>
  <phoneticPr fontId="0" type="noConversion"/>
  <hyperlinks>
    <hyperlink ref="A2" location="Innhold!A8" display="Tilbake til innholdsfortegnelsen" xr:uid="{00000000-0004-0000-0200-000000000000}"/>
  </hyperlinks>
  <pageMargins left="0.78740157480314965" right="0.59055118110236227" top="0.98425196850393704" bottom="0.19685039370078741" header="3.937007874015748E-2" footer="3.937007874015748E-2"/>
  <pageSetup paperSize="9" scale="99" orientation="portrait"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J222"/>
  <sheetViews>
    <sheetView showGridLines="0" showRowColHeaders="0" tabSelected="1" topLeftCell="A43" zoomScaleNormal="100" zoomScaleSheetLayoutView="70" workbookViewId="0">
      <selection activeCell="D61" sqref="D61"/>
    </sheetView>
  </sheetViews>
  <sheetFormatPr defaultColWidth="11.42578125" defaultRowHeight="12.75" x14ac:dyDescent="0.2"/>
  <cols>
    <col min="1" max="1" width="26.42578125" style="1" customWidth="1"/>
    <col min="2" max="2" width="8.140625" style="1" customWidth="1"/>
    <col min="3" max="4" width="10.42578125" style="1" customWidth="1"/>
    <col min="5" max="5" width="9.85546875" style="1" customWidth="1"/>
    <col min="6" max="6" width="1.5703125" style="1" customWidth="1"/>
    <col min="7" max="7" width="7.5703125" style="1" customWidth="1"/>
    <col min="8" max="8" width="8.85546875" style="1" customWidth="1"/>
    <col min="9" max="21" width="11.42578125" style="1" customWidth="1"/>
    <col min="22" max="22" width="15.42578125" style="1" customWidth="1"/>
    <col min="23" max="16384" width="11.42578125" style="1"/>
  </cols>
  <sheetData>
    <row r="1" spans="1:36" ht="5.25" customHeight="1" x14ac:dyDescent="0.2"/>
    <row r="2" spans="1:36" x14ac:dyDescent="0.2">
      <c r="A2" s="190" t="s">
        <v>0</v>
      </c>
      <c r="B2" s="2"/>
      <c r="C2" s="2"/>
      <c r="D2" s="2"/>
      <c r="E2" s="2"/>
      <c r="F2" s="2"/>
      <c r="G2" s="2"/>
    </row>
    <row r="3" spans="1:36" ht="6" customHeight="1" x14ac:dyDescent="0.2">
      <c r="A3" s="191"/>
      <c r="B3" s="2"/>
      <c r="C3" s="2"/>
      <c r="D3" s="2"/>
      <c r="E3" s="2"/>
      <c r="F3" s="2"/>
      <c r="G3" s="2"/>
    </row>
    <row r="4" spans="1:36" ht="12.75" customHeight="1" x14ac:dyDescent="0.2">
      <c r="A4" s="196" t="s">
        <v>90</v>
      </c>
      <c r="B4" s="2"/>
      <c r="C4" s="2"/>
      <c r="D4" s="2"/>
      <c r="E4" s="2"/>
      <c r="F4" s="2"/>
      <c r="G4" s="2"/>
      <c r="H4" s="67"/>
    </row>
    <row r="5" spans="1:36" ht="12.75" customHeight="1" x14ac:dyDescent="0.2">
      <c r="A5" s="196"/>
      <c r="B5" s="2"/>
      <c r="C5" s="2"/>
      <c r="D5" s="2"/>
      <c r="E5" s="2"/>
      <c r="F5" s="2"/>
      <c r="G5" s="2"/>
      <c r="H5" s="67"/>
    </row>
    <row r="6" spans="1:36" ht="15.75" x14ac:dyDescent="0.25">
      <c r="A6" s="4" t="str">
        <f>"Figur 1. Antall meldte skader etter bransjer "&amp;'Tab3'!H63</f>
        <v xml:space="preserve">Figur 1. Antall meldte skader etter bransjer </v>
      </c>
      <c r="B6" s="2"/>
      <c r="C6" s="2"/>
      <c r="D6" s="2"/>
      <c r="E6" s="2"/>
      <c r="F6" s="2"/>
      <c r="G6" s="2"/>
      <c r="H6" s="67"/>
      <c r="I6" s="4" t="str">
        <f>"Figur 3. Anslått erstatning etter bransje, pr. "&amp;'Tab3'!H63</f>
        <v xml:space="preserve">Figur 3. Anslått erstatning etter bransje, pr. </v>
      </c>
      <c r="P6" s="4" t="s">
        <v>183</v>
      </c>
      <c r="W6" s="4" t="str">
        <f>"Figur 7. Antall meldte skader i de Brann-kombinerte bransjer etter skadetype "&amp;'Tab3'!H63</f>
        <v xml:space="preserve">Figur 7. Antall meldte skader i de Brann-kombinerte bransjer etter skadetype </v>
      </c>
      <c r="X6" s="4"/>
      <c r="AD6" s="4" t="str">
        <f>"Figur 9. Brannskader pr. kvartal"</f>
        <v>Figur 9. Brannskader pr. kvartal</v>
      </c>
    </row>
    <row r="7" spans="1:36" ht="15.75" x14ac:dyDescent="0.25">
      <c r="A7" s="191"/>
      <c r="B7" s="2"/>
      <c r="C7" s="2"/>
      <c r="D7" s="2"/>
      <c r="E7" s="2"/>
      <c r="F7" s="2"/>
      <c r="G7" s="2"/>
      <c r="H7" s="67"/>
      <c r="V7" s="88"/>
      <c r="AJ7" s="88"/>
    </row>
    <row r="8" spans="1:36" x14ac:dyDescent="0.2">
      <c r="A8" s="191"/>
      <c r="B8" s="2"/>
      <c r="C8" s="2"/>
      <c r="D8" s="2"/>
      <c r="E8" s="2"/>
      <c r="F8" s="2"/>
      <c r="G8" s="2"/>
      <c r="H8" s="67"/>
    </row>
    <row r="9" spans="1:36" x14ac:dyDescent="0.2">
      <c r="A9" s="191"/>
      <c r="B9" s="2"/>
      <c r="C9" s="2"/>
      <c r="D9" s="2"/>
      <c r="E9" s="2"/>
      <c r="F9" s="2"/>
      <c r="G9" s="2"/>
      <c r="H9" s="67"/>
    </row>
    <row r="10" spans="1:36" x14ac:dyDescent="0.2">
      <c r="A10" s="191"/>
      <c r="B10" s="2"/>
      <c r="C10" s="2"/>
      <c r="D10" s="2"/>
      <c r="E10" s="2"/>
      <c r="F10" s="2"/>
      <c r="G10" s="2"/>
      <c r="H10" s="67"/>
    </row>
    <row r="11" spans="1:36" x14ac:dyDescent="0.2">
      <c r="A11" s="191"/>
      <c r="B11" s="2"/>
      <c r="C11" s="2"/>
      <c r="D11" s="2"/>
      <c r="E11" s="2"/>
      <c r="F11" s="2"/>
      <c r="G11" s="2"/>
      <c r="H11" s="67"/>
    </row>
    <row r="12" spans="1:36" x14ac:dyDescent="0.2">
      <c r="A12" s="191"/>
      <c r="B12" s="2"/>
      <c r="C12" s="2"/>
      <c r="D12" s="2"/>
      <c r="E12" s="2"/>
      <c r="F12" s="2"/>
      <c r="G12" s="2"/>
      <c r="H12" s="67"/>
    </row>
    <row r="13" spans="1:36" x14ac:dyDescent="0.2">
      <c r="A13" s="191"/>
      <c r="B13" s="2"/>
      <c r="C13" s="2"/>
      <c r="D13" s="2"/>
      <c r="E13" s="2"/>
      <c r="F13" s="2"/>
      <c r="G13" s="2"/>
      <c r="H13" s="67"/>
    </row>
    <row r="14" spans="1:36" x14ac:dyDescent="0.2">
      <c r="A14" s="191"/>
      <c r="B14" s="2"/>
      <c r="C14" s="2"/>
      <c r="D14" s="2"/>
      <c r="E14" s="2"/>
      <c r="F14" s="2"/>
      <c r="G14" s="2"/>
      <c r="H14" s="67"/>
    </row>
    <row r="15" spans="1:36" x14ac:dyDescent="0.2">
      <c r="A15" s="191"/>
      <c r="B15" s="2"/>
      <c r="C15" s="2"/>
      <c r="D15" s="2"/>
      <c r="E15" s="2"/>
      <c r="F15" s="2"/>
      <c r="G15" s="2"/>
      <c r="H15" s="67"/>
    </row>
    <row r="16" spans="1:36" x14ac:dyDescent="0.2">
      <c r="A16" s="191"/>
      <c r="B16" s="2"/>
      <c r="C16" s="2"/>
      <c r="D16" s="2"/>
      <c r="E16" s="2"/>
      <c r="F16" s="2"/>
      <c r="G16" s="2"/>
      <c r="H16" s="67"/>
    </row>
    <row r="17" spans="1:30" x14ac:dyDescent="0.2">
      <c r="A17" s="191"/>
      <c r="B17" s="2"/>
      <c r="C17" s="2"/>
      <c r="D17" s="2"/>
      <c r="E17" s="2"/>
      <c r="F17" s="2"/>
      <c r="G17" s="2"/>
      <c r="H17" s="67"/>
    </row>
    <row r="18" spans="1:30" x14ac:dyDescent="0.2">
      <c r="A18" s="191"/>
      <c r="B18" s="2"/>
      <c r="C18" s="2"/>
      <c r="D18" s="2"/>
      <c r="E18" s="2"/>
      <c r="F18" s="2"/>
      <c r="G18" s="2"/>
      <c r="H18" s="67"/>
    </row>
    <row r="19" spans="1:30" x14ac:dyDescent="0.2">
      <c r="A19" s="191"/>
      <c r="B19" s="2"/>
      <c r="C19" s="2"/>
      <c r="D19" s="2"/>
      <c r="E19" s="2"/>
      <c r="F19" s="2"/>
      <c r="G19" s="2"/>
      <c r="H19" s="67"/>
    </row>
    <row r="20" spans="1:30" x14ac:dyDescent="0.2">
      <c r="A20" s="191"/>
      <c r="B20" s="2"/>
      <c r="C20" s="2"/>
      <c r="D20" s="2"/>
      <c r="E20" s="2"/>
      <c r="F20" s="2"/>
      <c r="G20" s="2"/>
      <c r="H20" s="67"/>
    </row>
    <row r="21" spans="1:30" x14ac:dyDescent="0.2">
      <c r="A21" s="191"/>
      <c r="B21" s="2"/>
      <c r="C21" s="2"/>
      <c r="D21" s="2"/>
      <c r="E21" s="2"/>
      <c r="F21" s="2"/>
      <c r="G21" s="2"/>
      <c r="H21" s="67"/>
    </row>
    <row r="22" spans="1:30" x14ac:dyDescent="0.2">
      <c r="A22" s="191"/>
      <c r="B22" s="2"/>
      <c r="C22" s="2"/>
      <c r="D22" s="2"/>
      <c r="E22" s="2"/>
      <c r="F22" s="2"/>
      <c r="G22" s="2"/>
      <c r="H22" s="67"/>
    </row>
    <row r="23" spans="1:30" x14ac:dyDescent="0.2">
      <c r="A23" s="191"/>
      <c r="B23" s="2"/>
      <c r="C23" s="2"/>
      <c r="D23" s="2"/>
      <c r="E23" s="2"/>
      <c r="F23" s="2"/>
      <c r="G23" s="2"/>
      <c r="H23" s="67"/>
    </row>
    <row r="24" spans="1:30" x14ac:dyDescent="0.2">
      <c r="A24" s="191"/>
      <c r="B24" s="2"/>
      <c r="C24" s="2"/>
      <c r="D24" s="2"/>
      <c r="E24" s="2"/>
      <c r="F24" s="2"/>
      <c r="G24" s="2"/>
      <c r="H24" s="67"/>
    </row>
    <row r="25" spans="1:30" x14ac:dyDescent="0.2">
      <c r="A25" s="191"/>
      <c r="B25" s="2"/>
      <c r="C25" s="2"/>
      <c r="D25" s="2"/>
      <c r="E25" s="2"/>
      <c r="F25" s="2"/>
      <c r="G25" s="2"/>
      <c r="H25" s="67"/>
    </row>
    <row r="26" spans="1:30" x14ac:dyDescent="0.2">
      <c r="A26" s="191"/>
      <c r="B26" s="2"/>
      <c r="C26" s="2"/>
      <c r="D26" s="2"/>
      <c r="E26" s="2"/>
      <c r="F26" s="2"/>
      <c r="G26" s="2"/>
      <c r="H26" s="67"/>
    </row>
    <row r="27" spans="1:30" x14ac:dyDescent="0.2">
      <c r="A27" s="191"/>
      <c r="B27" s="2"/>
      <c r="C27" s="2"/>
      <c r="D27" s="2"/>
      <c r="E27" s="2"/>
      <c r="F27" s="2"/>
      <c r="G27" s="2"/>
      <c r="H27" s="67"/>
    </row>
    <row r="28" spans="1:30" x14ac:dyDescent="0.2">
      <c r="A28" s="191"/>
      <c r="B28" s="2"/>
      <c r="C28" s="2"/>
      <c r="D28" s="2"/>
      <c r="E28" s="2"/>
      <c r="F28" s="2"/>
      <c r="G28" s="2"/>
      <c r="H28" s="67"/>
    </row>
    <row r="29" spans="1:30" x14ac:dyDescent="0.2">
      <c r="A29" s="191"/>
      <c r="B29" s="2"/>
      <c r="C29" s="2"/>
      <c r="D29" s="2"/>
      <c r="E29" s="2"/>
      <c r="F29" s="2"/>
      <c r="G29" s="2"/>
      <c r="H29" s="67"/>
    </row>
    <row r="30" spans="1:30" x14ac:dyDescent="0.2">
      <c r="A30" s="191"/>
      <c r="B30" s="2"/>
      <c r="C30" s="2"/>
      <c r="D30" s="2"/>
      <c r="E30" s="2"/>
      <c r="F30" s="2"/>
      <c r="G30" s="2"/>
      <c r="H30" s="67"/>
    </row>
    <row r="31" spans="1:30" x14ac:dyDescent="0.2">
      <c r="A31" s="191"/>
      <c r="B31" s="2"/>
      <c r="C31" s="2"/>
      <c r="D31" s="2"/>
      <c r="E31" s="2"/>
      <c r="F31" s="2"/>
      <c r="G31" s="2"/>
      <c r="H31" s="67"/>
    </row>
    <row r="32" spans="1:30" ht="15.75" x14ac:dyDescent="0.25">
      <c r="A32" s="4" t="str">
        <f>"Figur 2. Antall meldte skader etter bransjer "&amp;'Tab3'!H63</f>
        <v xml:space="preserve">Figur 2. Antall meldte skader etter bransjer </v>
      </c>
      <c r="B32" s="2"/>
      <c r="C32" s="2"/>
      <c r="D32" s="2"/>
      <c r="E32" s="2"/>
      <c r="F32" s="2"/>
      <c r="G32" s="2"/>
      <c r="H32" s="67"/>
      <c r="I32" s="4" t="str">
        <f>"Figur 4. Vannskader pr. kvartal"</f>
        <v>Figur 4. Vannskader pr. kvartal</v>
      </c>
      <c r="P32" s="4" t="str">
        <f>"Figur 6. Anslått erstatning etter skadetype, motorvogn "&amp;'Tab3'!H63&amp;" "&amp;'Tab3'!E6</f>
        <v>Figur 6. Anslått erstatning etter skadetype, motorvogn  2019</v>
      </c>
      <c r="W32" s="4" t="str">
        <f>"Figur 8. Anslått erstatning i de Brann-kombinerte bransjer etter skadetype "&amp;'Tab3'!H63</f>
        <v xml:space="preserve">Figur 8. Anslått erstatning i de Brann-kombinerte bransjer etter skadetype </v>
      </c>
      <c r="AD32" s="4" t="str">
        <f>"Figur 10. Innbrudd, tyverier og ran pr. kvartal"</f>
        <v>Figur 10. Innbrudd, tyverier og ran pr. kvartal</v>
      </c>
    </row>
    <row r="33" spans="1:8" x14ac:dyDescent="0.2">
      <c r="A33" s="191"/>
      <c r="B33" s="2"/>
      <c r="C33" s="2"/>
      <c r="D33" s="2"/>
      <c r="E33" s="2"/>
      <c r="F33" s="2"/>
      <c r="G33" s="2"/>
      <c r="H33" s="67"/>
    </row>
    <row r="34" spans="1:8" x14ac:dyDescent="0.2">
      <c r="A34" s="191"/>
      <c r="B34" s="2"/>
      <c r="C34" s="2"/>
      <c r="D34" s="2"/>
      <c r="E34" s="2"/>
      <c r="F34" s="2"/>
      <c r="G34" s="2"/>
      <c r="H34" s="67"/>
    </row>
    <row r="35" spans="1:8" x14ac:dyDescent="0.2">
      <c r="A35" s="191"/>
      <c r="B35" s="2"/>
      <c r="C35" s="2"/>
      <c r="D35" s="2"/>
      <c r="E35" s="2"/>
      <c r="F35" s="2"/>
      <c r="G35" s="2"/>
      <c r="H35" s="67"/>
    </row>
    <row r="36" spans="1:8" x14ac:dyDescent="0.2">
      <c r="A36" s="191"/>
      <c r="B36" s="2"/>
      <c r="C36" s="2"/>
      <c r="D36" s="2"/>
      <c r="E36" s="2"/>
      <c r="F36" s="2"/>
      <c r="G36" s="2"/>
      <c r="H36" s="67"/>
    </row>
    <row r="37" spans="1:8" x14ac:dyDescent="0.2">
      <c r="A37" s="47"/>
      <c r="B37" s="48"/>
      <c r="C37" s="49"/>
      <c r="D37" s="49"/>
      <c r="E37" s="49"/>
      <c r="F37" s="49"/>
      <c r="G37" s="50"/>
      <c r="H37" s="51"/>
    </row>
    <row r="38" spans="1:8" x14ac:dyDescent="0.2">
      <c r="A38" s="47"/>
      <c r="B38" s="48"/>
      <c r="C38" s="49"/>
      <c r="D38" s="49"/>
      <c r="E38" s="49"/>
      <c r="F38" s="49"/>
      <c r="G38" s="50"/>
      <c r="H38" s="51"/>
    </row>
    <row r="39" spans="1:8" x14ac:dyDescent="0.2">
      <c r="A39" s="47"/>
      <c r="B39" s="48"/>
      <c r="C39" s="49"/>
      <c r="D39" s="49"/>
      <c r="E39" s="49"/>
      <c r="F39" s="49"/>
      <c r="G39" s="50"/>
      <c r="H39" s="51"/>
    </row>
    <row r="40" spans="1:8" x14ac:dyDescent="0.2">
      <c r="A40" s="47"/>
      <c r="B40" s="48"/>
      <c r="C40" s="49"/>
      <c r="D40" s="49"/>
      <c r="E40" s="49"/>
      <c r="F40" s="49"/>
      <c r="G40" s="50"/>
      <c r="H40" s="51"/>
    </row>
    <row r="41" spans="1:8" x14ac:dyDescent="0.2">
      <c r="A41" s="47"/>
      <c r="B41" s="48"/>
      <c r="C41" s="49"/>
      <c r="D41" s="49"/>
      <c r="E41" s="49"/>
      <c r="F41" s="49"/>
      <c r="G41" s="50"/>
      <c r="H41" s="51"/>
    </row>
    <row r="42" spans="1:8" x14ac:dyDescent="0.2">
      <c r="A42" s="47"/>
      <c r="B42" s="48"/>
      <c r="C42" s="49"/>
      <c r="D42" s="49"/>
      <c r="E42" s="49"/>
      <c r="F42" s="49"/>
      <c r="G42" s="50"/>
      <c r="H42" s="51"/>
    </row>
    <row r="43" spans="1:8" x14ac:dyDescent="0.2">
      <c r="A43" s="47"/>
      <c r="B43" s="48"/>
      <c r="C43" s="49"/>
      <c r="D43" s="49"/>
      <c r="E43" s="49"/>
      <c r="F43" s="49"/>
      <c r="G43" s="50"/>
      <c r="H43" s="51"/>
    </row>
    <row r="44" spans="1:8" x14ac:dyDescent="0.2">
      <c r="A44" s="47"/>
      <c r="B44" s="48"/>
      <c r="C44" s="49"/>
      <c r="D44" s="49"/>
      <c r="E44" s="49"/>
      <c r="F44" s="49"/>
      <c r="G44" s="50"/>
      <c r="H44" s="51"/>
    </row>
    <row r="45" spans="1:8" x14ac:dyDescent="0.2">
      <c r="A45" s="47"/>
      <c r="B45" s="48"/>
      <c r="C45" s="49"/>
      <c r="D45" s="49"/>
      <c r="E45" s="49"/>
      <c r="F45" s="49"/>
      <c r="G45" s="50"/>
      <c r="H45" s="51"/>
    </row>
    <row r="46" spans="1:8" x14ac:dyDescent="0.2">
      <c r="A46" s="47"/>
      <c r="B46" s="48"/>
      <c r="C46" s="49"/>
      <c r="D46" s="49"/>
      <c r="E46" s="49"/>
      <c r="F46" s="49"/>
      <c r="G46" s="50"/>
      <c r="H46" s="51"/>
    </row>
    <row r="47" spans="1:8" x14ac:dyDescent="0.2">
      <c r="A47" s="47"/>
      <c r="B47" s="48"/>
      <c r="C47" s="49"/>
      <c r="D47" s="49"/>
      <c r="E47" s="49"/>
      <c r="F47" s="49"/>
      <c r="G47" s="50"/>
      <c r="H47" s="51"/>
    </row>
    <row r="48" spans="1:8" x14ac:dyDescent="0.2">
      <c r="A48" s="47"/>
      <c r="B48" s="48"/>
      <c r="C48" s="49"/>
      <c r="D48" s="49"/>
      <c r="E48" s="49"/>
      <c r="F48" s="49"/>
      <c r="G48" s="50"/>
      <c r="H48" s="51"/>
    </row>
    <row r="49" spans="1:36" x14ac:dyDescent="0.2">
      <c r="A49" s="47"/>
      <c r="B49" s="48"/>
      <c r="C49" s="49"/>
      <c r="D49" s="49"/>
      <c r="E49" s="97"/>
      <c r="F49" s="49"/>
      <c r="G49" s="50"/>
      <c r="H49" s="51"/>
    </row>
    <row r="50" spans="1:36" x14ac:dyDescent="0.2">
      <c r="A50" s="47"/>
      <c r="B50" s="48"/>
      <c r="C50" s="49"/>
      <c r="D50" s="49"/>
      <c r="E50" s="49"/>
      <c r="F50" s="49"/>
      <c r="G50" s="50"/>
      <c r="H50" s="51"/>
    </row>
    <row r="51" spans="1:36" x14ac:dyDescent="0.2">
      <c r="A51" s="47"/>
      <c r="B51" s="48"/>
      <c r="C51" s="49"/>
      <c r="D51" s="49"/>
      <c r="E51" s="49"/>
      <c r="F51" s="49"/>
      <c r="G51" s="50"/>
      <c r="H51" s="51"/>
    </row>
    <row r="52" spans="1:36" x14ac:dyDescent="0.2">
      <c r="A52" s="47"/>
      <c r="B52" s="48"/>
      <c r="C52" s="49"/>
      <c r="D52" s="49"/>
      <c r="E52" s="49"/>
      <c r="F52" s="49"/>
      <c r="G52" s="50"/>
      <c r="H52" s="51"/>
    </row>
    <row r="53" spans="1:36" x14ac:dyDescent="0.2">
      <c r="A53" s="47"/>
      <c r="B53" s="48"/>
      <c r="C53" s="49"/>
      <c r="D53" s="49"/>
      <c r="E53" s="49"/>
      <c r="F53" s="49"/>
      <c r="G53" s="50"/>
      <c r="H53" s="51"/>
    </row>
    <row r="54" spans="1:36" x14ac:dyDescent="0.2">
      <c r="A54" s="47"/>
      <c r="B54" s="48"/>
      <c r="C54" s="49"/>
      <c r="D54" s="49"/>
      <c r="E54" s="49"/>
      <c r="F54" s="49"/>
      <c r="G54" s="50"/>
      <c r="H54" s="51"/>
    </row>
    <row r="55" spans="1:36" x14ac:dyDescent="0.2">
      <c r="A55" s="47"/>
      <c r="B55" s="48"/>
      <c r="C55" s="49"/>
      <c r="D55" s="49"/>
      <c r="E55" s="49"/>
      <c r="F55" s="49"/>
      <c r="G55" s="50"/>
      <c r="H55" s="51"/>
    </row>
    <row r="56" spans="1:36" x14ac:dyDescent="0.2">
      <c r="A56" s="47"/>
      <c r="B56" s="48"/>
      <c r="C56" s="49"/>
      <c r="D56" s="49"/>
      <c r="E56" s="49"/>
      <c r="F56" s="49"/>
      <c r="G56" s="50"/>
      <c r="H56" s="51"/>
    </row>
    <row r="57" spans="1:36" x14ac:dyDescent="0.2">
      <c r="A57" s="47"/>
      <c r="B57" s="48"/>
      <c r="C57" s="49"/>
      <c r="D57" s="49"/>
      <c r="E57" s="49"/>
      <c r="F57" s="49"/>
      <c r="G57" s="50"/>
      <c r="H57" s="51"/>
    </row>
    <row r="58" spans="1:36" x14ac:dyDescent="0.2">
      <c r="A58" s="47"/>
      <c r="B58" s="48"/>
      <c r="C58" s="49"/>
      <c r="D58" s="49"/>
      <c r="E58" s="49"/>
      <c r="F58" s="49"/>
      <c r="G58" s="50"/>
      <c r="H58" s="51"/>
    </row>
    <row r="59" spans="1:36" x14ac:dyDescent="0.2">
      <c r="A59" s="47"/>
      <c r="B59" s="48"/>
      <c r="C59" s="49"/>
      <c r="D59" s="49"/>
      <c r="E59" s="49"/>
      <c r="F59" s="49"/>
      <c r="G59" s="50"/>
      <c r="H59" s="51"/>
    </row>
    <row r="60" spans="1:36" x14ac:dyDescent="0.2">
      <c r="A60" s="52"/>
      <c r="B60" s="52"/>
      <c r="C60" s="52"/>
      <c r="D60" s="52"/>
      <c r="E60" s="52"/>
      <c r="F60" s="52"/>
      <c r="G60" s="52"/>
      <c r="H60" s="52"/>
      <c r="I60" s="52"/>
      <c r="J60" s="52"/>
      <c r="K60" s="52"/>
      <c r="L60" s="52"/>
      <c r="M60" s="52"/>
      <c r="N60" s="52"/>
      <c r="O60" s="52"/>
      <c r="P60" s="52"/>
      <c r="Q60" s="52"/>
      <c r="R60" s="52"/>
      <c r="S60" s="52"/>
      <c r="T60" s="52"/>
      <c r="U60" s="52"/>
      <c r="V60" s="52"/>
      <c r="W60" s="52"/>
      <c r="X60" s="52"/>
      <c r="Y60" s="52"/>
      <c r="Z60" s="52"/>
      <c r="AA60" s="52"/>
      <c r="AB60" s="52"/>
      <c r="AC60" s="52"/>
      <c r="AD60" s="52"/>
      <c r="AE60" s="52"/>
      <c r="AF60" s="52"/>
      <c r="AG60" s="52"/>
      <c r="AH60" s="52"/>
      <c r="AI60" s="52"/>
      <c r="AJ60" s="52"/>
    </row>
    <row r="61" spans="1:36" x14ac:dyDescent="0.2">
      <c r="A61" s="54" t="str">
        <f>+Innhold!B123</f>
        <v>Finans Norge / Skadeforsikringsstatistikk</v>
      </c>
      <c r="H61" s="194">
        <v>4</v>
      </c>
      <c r="I61" s="54" t="str">
        <f>+Innhold!B123</f>
        <v>Finans Norge / Skadeforsikringsstatistikk</v>
      </c>
      <c r="O61" s="194">
        <v>5</v>
      </c>
      <c r="P61" s="54" t="str">
        <f>+Innhold!B123</f>
        <v>Finans Norge / Skadeforsikringsstatistikk</v>
      </c>
      <c r="V61" s="194">
        <v>6</v>
      </c>
      <c r="W61" s="54" t="str">
        <f>+Innhold!B123</f>
        <v>Finans Norge / Skadeforsikringsstatistikk</v>
      </c>
      <c r="AC61" s="194">
        <v>7</v>
      </c>
      <c r="AD61" s="54" t="str">
        <f>+Innhold!B123</f>
        <v>Finans Norge / Skadeforsikringsstatistikk</v>
      </c>
      <c r="AJ61" s="194">
        <v>8</v>
      </c>
    </row>
    <row r="62" spans="1:36" x14ac:dyDescent="0.2">
      <c r="A62" s="54" t="str">
        <f>+Innhold!B124</f>
        <v>Skadestatistikk for landbasert norsk skadeforsikring 4. kvartal 2019</v>
      </c>
      <c r="H62" s="195"/>
      <c r="I62" s="54" t="str">
        <f>+Innhold!B124</f>
        <v>Skadestatistikk for landbasert norsk skadeforsikring 4. kvartal 2019</v>
      </c>
      <c r="O62" s="195"/>
      <c r="P62" s="54" t="str">
        <f>+Innhold!B124</f>
        <v>Skadestatistikk for landbasert norsk skadeforsikring 4. kvartal 2019</v>
      </c>
      <c r="V62" s="195"/>
      <c r="W62" s="54" t="str">
        <f>+Innhold!B124</f>
        <v>Skadestatistikk for landbasert norsk skadeforsikring 4. kvartal 2019</v>
      </c>
      <c r="AC62" s="195"/>
      <c r="AD62" s="54" t="str">
        <f>+Innhold!B124</f>
        <v>Skadestatistikk for landbasert norsk skadeforsikring 4. kvartal 2019</v>
      </c>
      <c r="AJ62" s="195"/>
    </row>
    <row r="63" spans="1:36" s="163" customFormat="1" x14ac:dyDescent="0.2"/>
    <row r="64" spans="1:36" s="163" customFormat="1" x14ac:dyDescent="0.2"/>
    <row r="65" spans="1:26" s="163" customFormat="1" x14ac:dyDescent="0.2"/>
    <row r="66" spans="1:26" s="163" customFormat="1" x14ac:dyDescent="0.2"/>
    <row r="67" spans="1:26" s="163" customFormat="1" ht="12.75" customHeight="1" x14ac:dyDescent="0.2"/>
    <row r="68" spans="1:26" s="163" customFormat="1" ht="12.75" customHeight="1" x14ac:dyDescent="0.2">
      <c r="M68" s="164" t="s">
        <v>178</v>
      </c>
      <c r="P68" s="164" t="s">
        <v>180</v>
      </c>
      <c r="S68" s="164" t="s">
        <v>179</v>
      </c>
    </row>
    <row r="69" spans="1:26" s="163" customFormat="1" x14ac:dyDescent="0.2">
      <c r="A69" s="165" t="s">
        <v>184</v>
      </c>
      <c r="B69" s="166"/>
      <c r="C69" s="166"/>
      <c r="D69" s="166" t="s">
        <v>74</v>
      </c>
      <c r="E69" s="166"/>
      <c r="F69" s="166"/>
      <c r="G69" s="166"/>
      <c r="H69" s="165"/>
      <c r="I69" s="167">
        <v>151.6</v>
      </c>
      <c r="J69" s="168" t="s">
        <v>243</v>
      </c>
      <c r="M69" s="164" t="s">
        <v>162</v>
      </c>
      <c r="P69" s="164" t="s">
        <v>176</v>
      </c>
      <c r="S69" s="164" t="s">
        <v>177</v>
      </c>
      <c r="V69" s="165" t="s">
        <v>185</v>
      </c>
      <c r="W69" s="166"/>
      <c r="X69" s="166"/>
      <c r="Y69" s="166"/>
      <c r="Z69" s="166"/>
    </row>
    <row r="70" spans="1:26" s="163" customFormat="1" x14ac:dyDescent="0.2">
      <c r="A70" s="166" t="s">
        <v>75</v>
      </c>
      <c r="B70" s="166" t="s">
        <v>76</v>
      </c>
      <c r="C70" s="166" t="s">
        <v>26</v>
      </c>
      <c r="D70" s="166" t="s">
        <v>77</v>
      </c>
      <c r="E70" s="166"/>
      <c r="F70" s="166"/>
      <c r="G70" s="166"/>
      <c r="I70" s="169" t="s">
        <v>160</v>
      </c>
      <c r="J70" s="163" t="s">
        <v>232</v>
      </c>
      <c r="K70" s="169" t="s">
        <v>76</v>
      </c>
      <c r="L70" s="169" t="s">
        <v>108</v>
      </c>
      <c r="M70" s="169" t="s">
        <v>158</v>
      </c>
      <c r="N70" s="169" t="s">
        <v>159</v>
      </c>
      <c r="O70" s="169" t="s">
        <v>108</v>
      </c>
      <c r="P70" s="169" t="s">
        <v>158</v>
      </c>
      <c r="Q70" s="169" t="s">
        <v>159</v>
      </c>
      <c r="R70" s="169" t="s">
        <v>108</v>
      </c>
      <c r="S70" s="169" t="s">
        <v>158</v>
      </c>
      <c r="T70" s="169" t="s">
        <v>159</v>
      </c>
      <c r="V70" s="166" t="s">
        <v>81</v>
      </c>
      <c r="W70" s="166"/>
      <c r="X70" s="170" t="str">
        <f>+'Tab3'!C6</f>
        <v>2017</v>
      </c>
      <c r="Y70" s="170" t="str">
        <f>+'Tab3'!D6</f>
        <v>2018</v>
      </c>
      <c r="Z70" s="170" t="str">
        <f>+'Tab3'!E6</f>
        <v>2019</v>
      </c>
    </row>
    <row r="71" spans="1:26" s="163" customFormat="1" x14ac:dyDescent="0.2">
      <c r="A71" s="166">
        <v>1</v>
      </c>
      <c r="B71" s="166">
        <v>1983</v>
      </c>
      <c r="C71" s="166">
        <v>97</v>
      </c>
      <c r="D71" s="166">
        <v>78.3</v>
      </c>
      <c r="E71" s="166"/>
      <c r="F71" s="166"/>
      <c r="G71" s="166"/>
      <c r="I71" s="171">
        <v>53.8</v>
      </c>
      <c r="J71" s="163">
        <v>1</v>
      </c>
      <c r="K71" s="163">
        <v>1983</v>
      </c>
      <c r="L71" s="172">
        <v>11621</v>
      </c>
      <c r="M71" s="171">
        <v>80.900000000000006</v>
      </c>
      <c r="N71" s="171">
        <f t="shared" ref="N71:N102" si="0">M71/I71*$I$69</f>
        <v>227.96356877323421</v>
      </c>
      <c r="V71" s="166"/>
      <c r="W71" s="166"/>
      <c r="X71" s="166"/>
      <c r="Y71" s="166"/>
      <c r="Z71" s="166"/>
    </row>
    <row r="72" spans="1:26" s="163" customFormat="1" x14ac:dyDescent="0.2">
      <c r="A72" s="166">
        <v>2</v>
      </c>
      <c r="B72" s="166"/>
      <c r="C72" s="166">
        <v>78.8</v>
      </c>
      <c r="D72" s="166">
        <v>61.3</v>
      </c>
      <c r="E72" s="166"/>
      <c r="F72" s="166"/>
      <c r="G72" s="166"/>
      <c r="I72" s="171">
        <v>54.7</v>
      </c>
      <c r="J72" s="163">
        <v>2</v>
      </c>
      <c r="L72" s="172">
        <v>11120</v>
      </c>
      <c r="M72" s="171">
        <v>68.900000000000006</v>
      </c>
      <c r="N72" s="171">
        <f t="shared" si="0"/>
        <v>190.95502742230349</v>
      </c>
      <c r="V72" s="166" t="s">
        <v>26</v>
      </c>
      <c r="W72" s="166"/>
      <c r="X72" s="173">
        <f>IF('Tab6'!C36="",'Tab6'!C35,'Tab6'!C36)</f>
        <v>13878.920128694614</v>
      </c>
      <c r="Y72" s="173">
        <f>IF('Tab6'!D36="",'Tab6'!D35,'Tab6'!D36)</f>
        <v>15161.339619238015</v>
      </c>
      <c r="Z72" s="173">
        <f>IF('Tab6'!E36="",'Tab6'!E35,'Tab6'!E36)</f>
        <v>15832.677050750515</v>
      </c>
    </row>
    <row r="73" spans="1:26" s="163" customFormat="1" x14ac:dyDescent="0.2">
      <c r="A73" s="166">
        <v>3</v>
      </c>
      <c r="B73" s="166"/>
      <c r="C73" s="166">
        <v>84.8</v>
      </c>
      <c r="D73" s="166">
        <v>63</v>
      </c>
      <c r="E73" s="166"/>
      <c r="F73" s="166"/>
      <c r="G73" s="166"/>
      <c r="I73" s="171">
        <v>55.3</v>
      </c>
      <c r="J73" s="163">
        <v>3</v>
      </c>
      <c r="L73" s="172">
        <v>11918</v>
      </c>
      <c r="M73" s="171">
        <v>63.7</v>
      </c>
      <c r="N73" s="171">
        <f t="shared" si="0"/>
        <v>174.62784810126584</v>
      </c>
      <c r="V73" s="166"/>
      <c r="W73" s="166"/>
      <c r="X73" s="173"/>
      <c r="Y73" s="173"/>
      <c r="Z73" s="173"/>
    </row>
    <row r="74" spans="1:26" s="163" customFormat="1" x14ac:dyDescent="0.2">
      <c r="A74" s="166">
        <v>4</v>
      </c>
      <c r="B74" s="166"/>
      <c r="C74" s="166">
        <v>91.2</v>
      </c>
      <c r="D74" s="166">
        <v>70.8</v>
      </c>
      <c r="E74" s="166"/>
      <c r="F74" s="166"/>
      <c r="G74" s="166"/>
      <c r="I74" s="171">
        <v>56.2</v>
      </c>
      <c r="J74" s="163">
        <v>4</v>
      </c>
      <c r="L74" s="172">
        <v>11905</v>
      </c>
      <c r="M74" s="171">
        <v>79.3</v>
      </c>
      <c r="N74" s="171">
        <f t="shared" si="0"/>
        <v>213.91245551601423</v>
      </c>
      <c r="V74" s="166" t="s">
        <v>63</v>
      </c>
      <c r="W74" s="166"/>
      <c r="X74" s="173">
        <f>IF('Tab6'!C36="",'Tab6'!C45+'Tab6'!C47,'Tab6'!C46+'Tab6'!C48)</f>
        <v>217.48893842633109</v>
      </c>
      <c r="Y74" s="173">
        <f>IF('Tab6'!D36="",'Tab6'!D45+'Tab6'!D47,'Tab6'!D46+'Tab6'!D48)</f>
        <v>218.17576054289404</v>
      </c>
      <c r="Z74" s="173">
        <f>IF('Tab6'!E36="",'Tab6'!E45+'Tab6'!E47,'Tab6'!E46+'Tab6'!E48)</f>
        <v>261.10541071313679</v>
      </c>
    </row>
    <row r="75" spans="1:26" s="163" customFormat="1" x14ac:dyDescent="0.2">
      <c r="A75" s="166">
        <v>1</v>
      </c>
      <c r="B75" s="166">
        <v>1984</v>
      </c>
      <c r="C75" s="166">
        <v>112.2</v>
      </c>
      <c r="D75" s="166">
        <v>90.4</v>
      </c>
      <c r="E75" s="166"/>
      <c r="F75" s="166"/>
      <c r="G75" s="166"/>
      <c r="I75" s="171">
        <v>57.3</v>
      </c>
      <c r="J75" s="163">
        <v>1</v>
      </c>
      <c r="K75" s="163">
        <v>1984</v>
      </c>
      <c r="L75" s="172">
        <v>13205</v>
      </c>
      <c r="M75" s="171">
        <v>86.7</v>
      </c>
      <c r="N75" s="171">
        <f t="shared" si="0"/>
        <v>229.3842931937173</v>
      </c>
      <c r="V75" s="166" t="s">
        <v>39</v>
      </c>
      <c r="W75" s="166"/>
      <c r="X75" s="173">
        <f>IF('Tab6'!C36="",'Tab6'!C49,'Tab6'!C50)</f>
        <v>1584.2496189421049</v>
      </c>
      <c r="Y75" s="173">
        <f>IF('Tab6'!D36="",'Tab6'!D49,'Tab6'!D50)</f>
        <v>1617.9421538693198</v>
      </c>
      <c r="Z75" s="173">
        <f>IF('Tab6'!E36="",'Tab6'!E49,'Tab6'!E50)</f>
        <v>1593.2205910805935</v>
      </c>
    </row>
    <row r="76" spans="1:26" s="163" customFormat="1" x14ac:dyDescent="0.2">
      <c r="A76" s="166">
        <v>2</v>
      </c>
      <c r="B76" s="166"/>
      <c r="C76" s="166">
        <v>81.8</v>
      </c>
      <c r="D76" s="166">
        <v>64.400000000000006</v>
      </c>
      <c r="E76" s="166"/>
      <c r="F76" s="166"/>
      <c r="G76" s="166"/>
      <c r="I76" s="171">
        <v>58.2</v>
      </c>
      <c r="J76" s="163">
        <v>2</v>
      </c>
      <c r="L76" s="172">
        <v>12453</v>
      </c>
      <c r="M76" s="171">
        <v>83.3</v>
      </c>
      <c r="N76" s="171">
        <f t="shared" si="0"/>
        <v>216.98075601374566</v>
      </c>
      <c r="V76" s="166" t="s">
        <v>18</v>
      </c>
      <c r="W76" s="166"/>
      <c r="X76" s="173">
        <f>IF('Tab6'!C36="",'Tab6'!C43,'Tab6'!C44)</f>
        <v>225.16202558953506</v>
      </c>
      <c r="Y76" s="173">
        <f>IF('Tab6'!D36="",'Tab6'!D43,'Tab6'!D44)</f>
        <v>278.09246904358503</v>
      </c>
      <c r="Z76" s="173">
        <f>IF('Tab6'!E36="",'Tab6'!E43,'Tab6'!E44)</f>
        <v>266.32922584417429</v>
      </c>
    </row>
    <row r="77" spans="1:26" s="163" customFormat="1" x14ac:dyDescent="0.2">
      <c r="A77" s="166">
        <v>3</v>
      </c>
      <c r="B77" s="166"/>
      <c r="C77" s="166">
        <v>90.4</v>
      </c>
      <c r="D77" s="166">
        <v>71.099999999999994</v>
      </c>
      <c r="E77" s="166"/>
      <c r="F77" s="166"/>
      <c r="G77" s="166"/>
      <c r="I77" s="171">
        <v>58.7</v>
      </c>
      <c r="J77" s="163">
        <v>3</v>
      </c>
      <c r="L77" s="172">
        <v>12278</v>
      </c>
      <c r="M77" s="171">
        <v>83.3</v>
      </c>
      <c r="N77" s="171">
        <f t="shared" si="0"/>
        <v>215.13253833049401</v>
      </c>
      <c r="V77" s="166" t="s">
        <v>82</v>
      </c>
      <c r="W77" s="166"/>
      <c r="X77" s="173">
        <f>IF('Tab6'!C36="",'Tab6'!C37+'Tab6'!C39,'Tab6'!C38+'Tab6'!C40)</f>
        <v>1266.1856045826994</v>
      </c>
      <c r="Y77" s="173">
        <f>IF('Tab6'!D36="",'Tab6'!D37+'Tab6'!D39,'Tab6'!D38+'Tab6'!D40)</f>
        <v>1201.0786238735052</v>
      </c>
      <c r="Z77" s="173">
        <f>IF('Tab6'!E36="",'Tab6'!E37+'Tab6'!E39,'Tab6'!E38+'Tab6'!E40)</f>
        <v>1340.9436966263906</v>
      </c>
    </row>
    <row r="78" spans="1:26" s="163" customFormat="1" x14ac:dyDescent="0.2">
      <c r="A78" s="166">
        <v>4</v>
      </c>
      <c r="B78" s="166"/>
      <c r="C78" s="166">
        <v>92.9</v>
      </c>
      <c r="D78" s="166">
        <v>73.900000000000006</v>
      </c>
      <c r="E78" s="166"/>
      <c r="F78" s="166"/>
      <c r="G78" s="166"/>
      <c r="I78" s="171">
        <v>59.6</v>
      </c>
      <c r="J78" s="163">
        <v>4</v>
      </c>
      <c r="L78" s="172">
        <v>11449</v>
      </c>
      <c r="M78" s="171">
        <v>94.6</v>
      </c>
      <c r="N78" s="171">
        <f t="shared" si="0"/>
        <v>240.62684563758384</v>
      </c>
      <c r="V78" s="166" t="s">
        <v>83</v>
      </c>
      <c r="W78" s="166"/>
      <c r="X78" s="174">
        <f>X72-X77-X76-X75-X74</f>
        <v>10585.833941153942</v>
      </c>
      <c r="Y78" s="174">
        <f>Y72-Y77-Y76-Y75-Y74</f>
        <v>11846.050611908709</v>
      </c>
      <c r="Z78" s="174">
        <f>Z72-Z77-Z76-Z75-Z74</f>
        <v>12371.07812648622</v>
      </c>
    </row>
    <row r="79" spans="1:26" s="163" customFormat="1" x14ac:dyDescent="0.2">
      <c r="A79" s="166">
        <v>1</v>
      </c>
      <c r="B79" s="166">
        <v>1985</v>
      </c>
      <c r="C79" s="166">
        <v>123.4</v>
      </c>
      <c r="D79" s="166">
        <v>100.8</v>
      </c>
      <c r="E79" s="166"/>
      <c r="F79" s="166"/>
      <c r="G79" s="166"/>
      <c r="I79" s="171">
        <v>60.4</v>
      </c>
      <c r="J79" s="163">
        <v>1</v>
      </c>
      <c r="K79" s="163">
        <v>1985</v>
      </c>
      <c r="L79" s="172">
        <v>16918</v>
      </c>
      <c r="M79" s="171">
        <v>103.6</v>
      </c>
      <c r="N79" s="171">
        <f t="shared" si="0"/>
        <v>260.02913907284767</v>
      </c>
      <c r="V79" s="166"/>
      <c r="W79" s="166"/>
      <c r="X79" s="166"/>
      <c r="Y79" s="166"/>
      <c r="Z79" s="166"/>
    </row>
    <row r="80" spans="1:26" s="163" customFormat="1" x14ac:dyDescent="0.2">
      <c r="A80" s="166">
        <v>2</v>
      </c>
      <c r="B80" s="166"/>
      <c r="C80" s="166">
        <v>102</v>
      </c>
      <c r="D80" s="166">
        <v>81.099999999999994</v>
      </c>
      <c r="E80" s="166"/>
      <c r="F80" s="166"/>
      <c r="G80" s="166"/>
      <c r="I80" s="171">
        <v>61.5</v>
      </c>
      <c r="J80" s="163">
        <v>2</v>
      </c>
      <c r="L80" s="172">
        <v>14237</v>
      </c>
      <c r="M80" s="171">
        <v>115.3</v>
      </c>
      <c r="N80" s="171">
        <f t="shared" si="0"/>
        <v>284.21918699186989</v>
      </c>
      <c r="V80" s="165" t="s">
        <v>163</v>
      </c>
      <c r="W80" s="166"/>
      <c r="X80" s="166"/>
      <c r="Y80" s="166"/>
    </row>
    <row r="81" spans="1:25" s="163" customFormat="1" x14ac:dyDescent="0.2">
      <c r="A81" s="166">
        <v>3</v>
      </c>
      <c r="B81" s="166"/>
      <c r="C81" s="166">
        <v>108.4</v>
      </c>
      <c r="D81" s="166">
        <v>86</v>
      </c>
      <c r="E81" s="166"/>
      <c r="F81" s="166"/>
      <c r="G81" s="166"/>
      <c r="I81" s="171">
        <v>62</v>
      </c>
      <c r="J81" s="163">
        <v>3</v>
      </c>
      <c r="L81" s="172">
        <v>14329</v>
      </c>
      <c r="M81" s="171">
        <v>103</v>
      </c>
      <c r="N81" s="171">
        <f t="shared" si="0"/>
        <v>251.8516129032258</v>
      </c>
      <c r="V81" s="166"/>
      <c r="W81" s="166"/>
      <c r="X81" s="166"/>
      <c r="Y81" s="166"/>
    </row>
    <row r="82" spans="1:25" s="163" customFormat="1" x14ac:dyDescent="0.2">
      <c r="A82" s="166">
        <v>4</v>
      </c>
      <c r="B82" s="166"/>
      <c r="C82" s="166">
        <v>109.6</v>
      </c>
      <c r="D82" s="166">
        <v>87.1</v>
      </c>
      <c r="E82" s="166"/>
      <c r="F82" s="166"/>
      <c r="G82" s="166"/>
      <c r="I82" s="171">
        <v>63</v>
      </c>
      <c r="J82" s="163">
        <v>4</v>
      </c>
      <c r="L82" s="172">
        <v>13060</v>
      </c>
      <c r="M82" s="171">
        <v>118.7</v>
      </c>
      <c r="N82" s="171">
        <f t="shared" si="0"/>
        <v>285.63365079365076</v>
      </c>
      <c r="V82" s="166"/>
      <c r="W82" s="170" t="str">
        <f>+'Tab4'!C6</f>
        <v>2017</v>
      </c>
      <c r="X82" s="170" t="str">
        <f>+'Tab4'!D6</f>
        <v>2018</v>
      </c>
      <c r="Y82" s="170" t="str">
        <f>+'Tab4'!E6</f>
        <v>2019</v>
      </c>
    </row>
    <row r="83" spans="1:25" s="163" customFormat="1" x14ac:dyDescent="0.2">
      <c r="A83" s="166">
        <v>1</v>
      </c>
      <c r="B83" s="166">
        <v>1986</v>
      </c>
      <c r="C83" s="166">
        <v>141</v>
      </c>
      <c r="D83" s="166">
        <v>115.2</v>
      </c>
      <c r="E83" s="166"/>
      <c r="F83" s="166"/>
      <c r="G83" s="166"/>
      <c r="I83" s="171">
        <v>64</v>
      </c>
      <c r="J83" s="163">
        <v>1</v>
      </c>
      <c r="K83" s="163">
        <v>1986</v>
      </c>
      <c r="L83" s="172">
        <v>14314</v>
      </c>
      <c r="M83" s="171">
        <v>111.8</v>
      </c>
      <c r="N83" s="171">
        <f t="shared" si="0"/>
        <v>264.82624999999996</v>
      </c>
      <c r="V83" s="166" t="s">
        <v>84</v>
      </c>
      <c r="W83" s="173">
        <f>IF('Tab4'!C14="",'Tab4'!C13,'Tab4'!C14)</f>
        <v>7171.790369567203</v>
      </c>
      <c r="X83" s="173">
        <f>IF('Tab4'!D14="",'Tab4'!D13,'Tab4'!D14)</f>
        <v>8904.3769745772461</v>
      </c>
      <c r="Y83" s="173">
        <f>IF('Tab4'!E14="",'Tab4'!E13,'Tab4'!E14)</f>
        <v>8866.8966085764332</v>
      </c>
    </row>
    <row r="84" spans="1:25" s="163" customFormat="1" x14ac:dyDescent="0.2">
      <c r="A84" s="166">
        <v>2</v>
      </c>
      <c r="B84" s="166"/>
      <c r="C84" s="166">
        <v>120.5</v>
      </c>
      <c r="D84" s="166">
        <v>93.2</v>
      </c>
      <c r="E84" s="166"/>
      <c r="F84" s="166"/>
      <c r="G84" s="166"/>
      <c r="I84" s="171">
        <v>65</v>
      </c>
      <c r="J84" s="163">
        <v>2</v>
      </c>
      <c r="L84" s="172">
        <v>13505</v>
      </c>
      <c r="M84" s="171">
        <v>121.5</v>
      </c>
      <c r="N84" s="171">
        <f t="shared" si="0"/>
        <v>283.37538461538463</v>
      </c>
      <c r="V84" s="166" t="s">
        <v>170</v>
      </c>
      <c r="W84" s="173">
        <f>IF('Tab4'!C16="",'Tab4'!C15,'Tab4'!C16)</f>
        <v>5239.1371201696156</v>
      </c>
      <c r="X84" s="173">
        <f>IF('Tab4'!D16="",'Tab4'!D15,'Tab4'!D16)</f>
        <v>6748.8583414238074</v>
      </c>
      <c r="Y84" s="173">
        <f>IF('Tab4'!E16="",'Tab4'!E15,'Tab4'!E16)</f>
        <v>5905.4067986511109</v>
      </c>
    </row>
    <row r="85" spans="1:25" s="163" customFormat="1" x14ac:dyDescent="0.2">
      <c r="A85" s="166">
        <v>3</v>
      </c>
      <c r="B85" s="166"/>
      <c r="C85" s="166">
        <v>115.7</v>
      </c>
      <c r="D85" s="166">
        <v>91.1</v>
      </c>
      <c r="E85" s="166"/>
      <c r="F85" s="166"/>
      <c r="G85" s="166"/>
      <c r="I85" s="171">
        <v>67</v>
      </c>
      <c r="J85" s="163">
        <v>3</v>
      </c>
      <c r="L85" s="172">
        <v>12132</v>
      </c>
      <c r="M85" s="171">
        <v>100.8</v>
      </c>
      <c r="N85" s="171">
        <f t="shared" si="0"/>
        <v>228.07880597014923</v>
      </c>
      <c r="V85" s="166" t="s">
        <v>7</v>
      </c>
      <c r="W85" s="173">
        <f>IF('Tab4'!C18="",'Tab4'!C17,'Tab4'!C18)</f>
        <v>1881.4521582849889</v>
      </c>
      <c r="X85" s="173">
        <f>IF('Tab4'!D18="",'Tab4'!D17,'Tab4'!D18)</f>
        <v>1876.3099251303952</v>
      </c>
      <c r="Y85" s="173">
        <f>IF('Tab4'!E18="",'Tab4'!E17,'Tab4'!E18)</f>
        <v>2097.286501513945</v>
      </c>
    </row>
    <row r="86" spans="1:25" s="163" customFormat="1" x14ac:dyDescent="0.2">
      <c r="A86" s="166">
        <v>4</v>
      </c>
      <c r="B86" s="166"/>
      <c r="C86" s="166">
        <v>114.4</v>
      </c>
      <c r="D86" s="166">
        <v>90.8</v>
      </c>
      <c r="E86" s="166"/>
      <c r="F86" s="166"/>
      <c r="G86" s="166"/>
      <c r="I86" s="171">
        <v>68.5</v>
      </c>
      <c r="J86" s="163">
        <v>4</v>
      </c>
      <c r="L86" s="172">
        <v>11763</v>
      </c>
      <c r="M86" s="171">
        <v>120.6</v>
      </c>
      <c r="N86" s="171">
        <f t="shared" si="0"/>
        <v>266.90452554744525</v>
      </c>
      <c r="V86" s="163" t="s">
        <v>8</v>
      </c>
      <c r="W86" s="173">
        <f>IF('Tab4'!C20="",'Tab4'!C19,'Tab4'!C20)</f>
        <v>1779.0988161448022</v>
      </c>
      <c r="X86" s="173">
        <f>IF('Tab4'!D20="",'Tab4'!D19,'Tab4'!D20)</f>
        <v>1723.7394637740249</v>
      </c>
      <c r="Y86" s="173">
        <f>IF('Tab4'!E20="",'Tab4'!E19,'Tab4'!E20)</f>
        <v>1715.0155545624007</v>
      </c>
    </row>
    <row r="87" spans="1:25" s="163" customFormat="1" x14ac:dyDescent="0.2">
      <c r="A87" s="166">
        <v>1</v>
      </c>
      <c r="B87" s="166">
        <v>1987</v>
      </c>
      <c r="C87" s="166">
        <v>152.19999999999999</v>
      </c>
      <c r="D87" s="166">
        <v>121.3</v>
      </c>
      <c r="E87" s="166"/>
      <c r="F87" s="166"/>
      <c r="G87" s="166"/>
      <c r="I87" s="171">
        <v>70.5</v>
      </c>
      <c r="J87" s="163">
        <v>1</v>
      </c>
      <c r="K87" s="163">
        <v>1987</v>
      </c>
      <c r="L87" s="172">
        <v>17280</v>
      </c>
      <c r="M87" s="171">
        <v>135.6</v>
      </c>
      <c r="N87" s="171">
        <f t="shared" si="0"/>
        <v>291.58808510638295</v>
      </c>
      <c r="V87" s="166" t="s">
        <v>9</v>
      </c>
      <c r="W87" s="173">
        <f>IF('Tab4'!C20="",'Tab4'!C21,'Tab4'!C22)</f>
        <v>531.9762485737474</v>
      </c>
      <c r="X87" s="173">
        <f>IF('Tab4'!D20="",'Tab4'!D21,'Tab4'!D22)</f>
        <v>573.57984776658577</v>
      </c>
      <c r="Y87" s="173">
        <f>IF('Tab4'!E20="",'Tab4'!E21,'Tab4'!E22)</f>
        <v>750.93103671113693</v>
      </c>
    </row>
    <row r="88" spans="1:25" s="163" customFormat="1" x14ac:dyDescent="0.2">
      <c r="A88" s="166">
        <v>2</v>
      </c>
      <c r="B88" s="166"/>
      <c r="C88" s="166">
        <v>109.2</v>
      </c>
      <c r="D88" s="166">
        <v>86.1</v>
      </c>
      <c r="E88" s="166"/>
      <c r="F88" s="166"/>
      <c r="G88" s="166"/>
      <c r="I88" s="171">
        <v>71.599999999999994</v>
      </c>
      <c r="J88" s="163">
        <v>2</v>
      </c>
      <c r="L88" s="172">
        <v>12241</v>
      </c>
      <c r="M88" s="171">
        <v>135.9</v>
      </c>
      <c r="N88" s="171">
        <f t="shared" si="0"/>
        <v>287.74357541899445</v>
      </c>
      <c r="V88" s="166" t="s">
        <v>10</v>
      </c>
      <c r="W88" s="173">
        <f>IF('Tab4'!C22="",'Tab4'!C29,'Tab4'!C30)</f>
        <v>2078.8919979673683</v>
      </c>
      <c r="X88" s="173">
        <f>IF('Tab4'!D22="",'Tab4'!D29,'Tab4'!D30)</f>
        <v>2198.8611608924539</v>
      </c>
      <c r="Y88" s="173">
        <f>IF('Tab4'!E22="",'Tab4'!E29,'Tab4'!E30)</f>
        <v>2298.9281077959999</v>
      </c>
    </row>
    <row r="89" spans="1:25" s="163" customFormat="1" x14ac:dyDescent="0.2">
      <c r="A89" s="166">
        <v>3</v>
      </c>
      <c r="B89" s="166"/>
      <c r="C89" s="166">
        <v>110.1</v>
      </c>
      <c r="D89" s="166">
        <v>87.3</v>
      </c>
      <c r="E89" s="166"/>
      <c r="F89" s="166"/>
      <c r="G89" s="166"/>
      <c r="I89" s="171">
        <v>72.3</v>
      </c>
      <c r="J89" s="163">
        <v>3</v>
      </c>
      <c r="L89" s="172">
        <v>11506</v>
      </c>
      <c r="M89" s="171">
        <v>112.3</v>
      </c>
      <c r="N89" s="171">
        <f t="shared" si="0"/>
        <v>235.47275242047027</v>
      </c>
      <c r="V89" s="166" t="s">
        <v>11</v>
      </c>
      <c r="W89" s="173">
        <f>IF('Tab4'!C30="",'Tab4'!C31,'Tab4'!C32)</f>
        <v>468.76565664708272</v>
      </c>
      <c r="X89" s="173">
        <f>IF('Tab4'!D30="",'Tab4'!D31,'Tab4'!D32)</f>
        <v>540.69659437321695</v>
      </c>
      <c r="Y89" s="173">
        <f>IF('Tab4'!E30="",'Tab4'!E31,'Tab4'!E32)</f>
        <v>506.53855755591928</v>
      </c>
    </row>
    <row r="90" spans="1:25" s="163" customFormat="1" x14ac:dyDescent="0.2">
      <c r="A90" s="166">
        <v>4</v>
      </c>
      <c r="B90" s="166"/>
      <c r="C90" s="166">
        <v>112</v>
      </c>
      <c r="D90" s="166">
        <v>89.8</v>
      </c>
      <c r="E90" s="166"/>
      <c r="F90" s="166"/>
      <c r="G90" s="166"/>
      <c r="I90" s="171">
        <v>73.599999999999994</v>
      </c>
      <c r="J90" s="163">
        <v>4</v>
      </c>
      <c r="L90" s="172">
        <v>12860</v>
      </c>
      <c r="M90" s="171">
        <v>134.5</v>
      </c>
      <c r="N90" s="171">
        <f t="shared" si="0"/>
        <v>277.04076086956519</v>
      </c>
      <c r="V90" s="166" t="s">
        <v>12</v>
      </c>
      <c r="W90" s="173">
        <f>IF('Tab4'!C32="",'Tab4'!C33,'Tab4'!C34)</f>
        <v>963.64843128868392</v>
      </c>
      <c r="X90" s="173">
        <f>IF('Tab4'!D32="",'Tab4'!D33,'Tab4'!D34)</f>
        <v>1093.9684121220591</v>
      </c>
      <c r="Y90" s="173">
        <f>IF('Tab4'!E32="",'Tab4'!E33,'Tab4'!E34)</f>
        <v>1202.7935045741633</v>
      </c>
    </row>
    <row r="91" spans="1:25" s="163" customFormat="1" x14ac:dyDescent="0.2">
      <c r="A91" s="166">
        <v>1</v>
      </c>
      <c r="B91" s="166">
        <v>1988</v>
      </c>
      <c r="C91" s="166">
        <v>134.1</v>
      </c>
      <c r="D91" s="166">
        <v>107.5</v>
      </c>
      <c r="E91" s="166"/>
      <c r="F91" s="166"/>
      <c r="G91" s="166"/>
      <c r="I91" s="171">
        <v>75.2</v>
      </c>
      <c r="J91" s="163">
        <v>1</v>
      </c>
      <c r="K91" s="163">
        <v>1988</v>
      </c>
      <c r="L91" s="172">
        <v>10180</v>
      </c>
      <c r="M91" s="171">
        <v>130.80000000000001</v>
      </c>
      <c r="N91" s="171">
        <f t="shared" si="0"/>
        <v>263.6872340425532</v>
      </c>
      <c r="V91" s="166" t="s">
        <v>13</v>
      </c>
      <c r="W91" s="173">
        <f>IF('Tab4'!C34="",'Tab4'!C35,'Tab4'!C36)</f>
        <v>211.04554373478513</v>
      </c>
      <c r="X91" s="173">
        <f>IF('Tab4'!D34="",'Tab4'!D35,'Tab4'!D36)</f>
        <v>178.36200313241494</v>
      </c>
      <c r="Y91" s="173">
        <f>IF('Tab4'!E34="",'Tab4'!E35,'Tab4'!E36)</f>
        <v>271.74329495989718</v>
      </c>
    </row>
    <row r="92" spans="1:25" s="163" customFormat="1" x14ac:dyDescent="0.2">
      <c r="A92" s="166">
        <v>2</v>
      </c>
      <c r="B92" s="166"/>
      <c r="C92" s="166">
        <v>113.7</v>
      </c>
      <c r="D92" s="166">
        <v>90</v>
      </c>
      <c r="E92" s="166"/>
      <c r="F92" s="166"/>
      <c r="G92" s="166"/>
      <c r="I92" s="171">
        <v>76.7</v>
      </c>
      <c r="J92" s="163">
        <v>2</v>
      </c>
      <c r="L92" s="172">
        <v>11081</v>
      </c>
      <c r="M92" s="171">
        <v>95.1</v>
      </c>
      <c r="N92" s="171">
        <f t="shared" si="0"/>
        <v>187.96818774445893</v>
      </c>
      <c r="V92" s="166" t="s">
        <v>14</v>
      </c>
      <c r="W92" s="173">
        <f>IF('Tab4'!C38="",'Tab4'!C37,'Tab4'!C38)</f>
        <v>973.92633625162387</v>
      </c>
      <c r="X92" s="173">
        <f>IF('Tab4'!D38="",'Tab4'!D37,'Tab4'!D38)</f>
        <v>836.59018884125203</v>
      </c>
      <c r="Y92" s="173">
        <f>IF('Tab4'!E38="",'Tab4'!E37,'Tab4'!E38)</f>
        <v>1036.4614203232363</v>
      </c>
    </row>
    <row r="93" spans="1:25" s="163" customFormat="1" x14ac:dyDescent="0.2">
      <c r="A93" s="166">
        <v>3</v>
      </c>
      <c r="B93" s="166"/>
      <c r="C93" s="166">
        <v>116.3</v>
      </c>
      <c r="D93" s="166">
        <v>93.1</v>
      </c>
      <c r="E93" s="166"/>
      <c r="F93" s="166"/>
      <c r="G93" s="166"/>
      <c r="I93" s="171">
        <v>77</v>
      </c>
      <c r="J93" s="163">
        <v>3</v>
      </c>
      <c r="L93" s="172">
        <v>15987</v>
      </c>
      <c r="M93" s="171">
        <v>148.69999999999999</v>
      </c>
      <c r="N93" s="171">
        <f t="shared" si="0"/>
        <v>292.76519480519477</v>
      </c>
      <c r="V93" s="166" t="s">
        <v>85</v>
      </c>
      <c r="W93" s="174">
        <f>SUM(W83:W92)</f>
        <v>21299.732678629898</v>
      </c>
      <c r="X93" s="174">
        <f>SUM(X83:X92)</f>
        <v>24675.342912033455</v>
      </c>
      <c r="Y93" s="174">
        <f>SUM(Y83:Y92)</f>
        <v>24652.001385224241</v>
      </c>
    </row>
    <row r="94" spans="1:25" s="163" customFormat="1" x14ac:dyDescent="0.2">
      <c r="A94" s="166">
        <v>4</v>
      </c>
      <c r="B94" s="166"/>
      <c r="C94" s="166">
        <v>115.2</v>
      </c>
      <c r="D94" s="166">
        <v>93.4</v>
      </c>
      <c r="E94" s="166"/>
      <c r="F94" s="166"/>
      <c r="G94" s="166"/>
      <c r="I94" s="171">
        <v>78.099999999999994</v>
      </c>
      <c r="J94" s="163">
        <v>4</v>
      </c>
      <c r="L94" s="172">
        <v>12493</v>
      </c>
      <c r="M94" s="171">
        <v>199.8</v>
      </c>
      <c r="N94" s="171">
        <f t="shared" si="0"/>
        <v>387.83201024327792</v>
      </c>
      <c r="V94" s="166"/>
      <c r="W94" s="166"/>
      <c r="X94" s="166"/>
      <c r="Y94" s="166"/>
    </row>
    <row r="95" spans="1:25" s="163" customFormat="1" x14ac:dyDescent="0.2">
      <c r="A95" s="166">
        <v>1</v>
      </c>
      <c r="B95" s="166">
        <v>1989</v>
      </c>
      <c r="C95" s="166">
        <v>106.6</v>
      </c>
      <c r="D95" s="166">
        <v>86.4</v>
      </c>
      <c r="E95" s="166"/>
      <c r="F95" s="166"/>
      <c r="G95" s="166"/>
      <c r="I95" s="171">
        <v>78.900000000000006</v>
      </c>
      <c r="J95" s="163">
        <v>1</v>
      </c>
      <c r="K95" s="163">
        <v>1989</v>
      </c>
      <c r="L95" s="172">
        <v>10988</v>
      </c>
      <c r="M95" s="171">
        <v>142.6</v>
      </c>
      <c r="N95" s="171">
        <f t="shared" si="0"/>
        <v>273.99442332065905</v>
      </c>
      <c r="V95" s="166" t="s">
        <v>171</v>
      </c>
      <c r="W95" s="175">
        <f>+W93+X72</f>
        <v>35178.652807324514</v>
      </c>
      <c r="X95" s="175">
        <f>+X93+Y72</f>
        <v>39836.682531271472</v>
      </c>
      <c r="Y95" s="175">
        <f>+Y93+Z72</f>
        <v>40484.678435974754</v>
      </c>
    </row>
    <row r="96" spans="1:25" s="163" customFormat="1" x14ac:dyDescent="0.2">
      <c r="A96" s="166">
        <v>2</v>
      </c>
      <c r="B96" s="166"/>
      <c r="C96" s="166">
        <v>98</v>
      </c>
      <c r="D96" s="166">
        <v>79.599999999999994</v>
      </c>
      <c r="E96" s="166"/>
      <c r="F96" s="166"/>
      <c r="G96" s="166"/>
      <c r="I96" s="171">
        <v>80.3</v>
      </c>
      <c r="J96" s="163">
        <v>2</v>
      </c>
      <c r="L96" s="172">
        <v>10292</v>
      </c>
      <c r="M96" s="171">
        <v>117.3</v>
      </c>
      <c r="N96" s="171">
        <f t="shared" si="0"/>
        <v>221.45305105853052</v>
      </c>
    </row>
    <row r="97" spans="1:25" s="163" customFormat="1" x14ac:dyDescent="0.2">
      <c r="A97" s="166">
        <v>3</v>
      </c>
      <c r="B97" s="166"/>
      <c r="C97" s="166">
        <v>96.9</v>
      </c>
      <c r="D97" s="166">
        <v>79</v>
      </c>
      <c r="E97" s="166"/>
      <c r="F97" s="166"/>
      <c r="G97" s="166"/>
      <c r="I97" s="171">
        <v>80.599999999999994</v>
      </c>
      <c r="J97" s="163">
        <v>3</v>
      </c>
      <c r="L97" s="172">
        <v>11352</v>
      </c>
      <c r="M97" s="171">
        <v>103.6</v>
      </c>
      <c r="N97" s="171">
        <f t="shared" si="0"/>
        <v>194.86054590570717</v>
      </c>
      <c r="Y97" s="166"/>
    </row>
    <row r="98" spans="1:25" s="163" customFormat="1" x14ac:dyDescent="0.2">
      <c r="A98" s="166">
        <v>4</v>
      </c>
      <c r="B98" s="166"/>
      <c r="C98" s="166">
        <v>93.4</v>
      </c>
      <c r="D98" s="166">
        <v>76.8</v>
      </c>
      <c r="E98" s="166"/>
      <c r="F98" s="166"/>
      <c r="G98" s="166"/>
      <c r="I98" s="171">
        <v>81.400000000000006</v>
      </c>
      <c r="J98" s="163">
        <v>4</v>
      </c>
      <c r="L98" s="172">
        <v>11958</v>
      </c>
      <c r="M98" s="171">
        <v>132</v>
      </c>
      <c r="N98" s="171">
        <f t="shared" si="0"/>
        <v>245.83783783783781</v>
      </c>
      <c r="V98" s="165" t="s">
        <v>186</v>
      </c>
      <c r="W98" s="166"/>
      <c r="X98" s="166"/>
      <c r="Y98" s="166"/>
    </row>
    <row r="99" spans="1:25" s="163" customFormat="1" x14ac:dyDescent="0.2">
      <c r="A99" s="166">
        <v>1</v>
      </c>
      <c r="B99" s="166">
        <v>1990</v>
      </c>
      <c r="C99" s="166">
        <v>99.4</v>
      </c>
      <c r="D99" s="166">
        <v>81.3</v>
      </c>
      <c r="E99" s="166"/>
      <c r="F99" s="166"/>
      <c r="G99" s="166"/>
      <c r="I99" s="171">
        <v>82.3</v>
      </c>
      <c r="J99" s="163">
        <v>1</v>
      </c>
      <c r="K99" s="163">
        <v>1990</v>
      </c>
      <c r="L99" s="172">
        <v>13741</v>
      </c>
      <c r="M99" s="171">
        <v>142.9</v>
      </c>
      <c r="N99" s="171">
        <f t="shared" si="0"/>
        <v>263.22770352369383</v>
      </c>
      <c r="V99" s="166"/>
      <c r="X99" s="166"/>
      <c r="Y99" s="166"/>
    </row>
    <row r="100" spans="1:25" s="163" customFormat="1" x14ac:dyDescent="0.2">
      <c r="A100" s="166">
        <v>2</v>
      </c>
      <c r="B100" s="166"/>
      <c r="C100" s="166">
        <v>88.6</v>
      </c>
      <c r="D100" s="166">
        <v>73.099999999999994</v>
      </c>
      <c r="E100" s="166"/>
      <c r="F100" s="166"/>
      <c r="G100" s="166"/>
      <c r="I100" s="171">
        <v>83.4</v>
      </c>
      <c r="J100" s="163">
        <v>2</v>
      </c>
      <c r="L100" s="172">
        <v>10045</v>
      </c>
      <c r="M100" s="171">
        <v>116.5</v>
      </c>
      <c r="N100" s="171">
        <f t="shared" si="0"/>
        <v>211.76738609112709</v>
      </c>
      <c r="V100" s="166"/>
      <c r="W100" s="170" t="str">
        <f>+W82</f>
        <v>2017</v>
      </c>
      <c r="X100" s="170" t="str">
        <f>+X82</f>
        <v>2018</v>
      </c>
      <c r="Y100" s="170" t="str">
        <f>+Y82</f>
        <v>2019</v>
      </c>
    </row>
    <row r="101" spans="1:25" s="163" customFormat="1" x14ac:dyDescent="0.2">
      <c r="A101" s="166">
        <v>3</v>
      </c>
      <c r="B101" s="166"/>
      <c r="C101" s="166">
        <v>88.2</v>
      </c>
      <c r="D101" s="166">
        <v>72.5</v>
      </c>
      <c r="E101" s="166"/>
      <c r="F101" s="166"/>
      <c r="G101" s="166"/>
      <c r="I101" s="171">
        <v>83.7</v>
      </c>
      <c r="J101" s="163">
        <v>3</v>
      </c>
      <c r="L101" s="172">
        <v>10870</v>
      </c>
      <c r="M101" s="171">
        <v>101.4</v>
      </c>
      <c r="N101" s="171">
        <f t="shared" si="0"/>
        <v>183.65878136200718</v>
      </c>
      <c r="V101" s="166" t="s">
        <v>18</v>
      </c>
      <c r="W101" s="176">
        <f>IF('Tab7'!C10="",+'Tab7'!C9+'Tab11'!C9,+'Tab7'!C10+'Tab11'!C10)</f>
        <v>27370.062550175651</v>
      </c>
      <c r="X101" s="176">
        <f>IF('Tab7'!D10="",+'Tab7'!D9+'Tab11'!D9,+'Tab7'!D10+'Tab11'!D10)</f>
        <v>29861.201098550726</v>
      </c>
      <c r="Y101" s="176">
        <f>IF('Tab7'!E10="",+'Tab7'!E9+'Tab11'!E9,+'Tab7'!E10+'Tab11'!E10)</f>
        <v>36333.151440579713</v>
      </c>
    </row>
    <row r="102" spans="1:25" s="163" customFormat="1" x14ac:dyDescent="0.2">
      <c r="A102" s="166">
        <v>4</v>
      </c>
      <c r="B102" s="166"/>
      <c r="C102" s="166">
        <v>84.8</v>
      </c>
      <c r="D102" s="166">
        <v>70.2</v>
      </c>
      <c r="E102" s="166"/>
      <c r="F102" s="166"/>
      <c r="G102" s="166"/>
      <c r="I102" s="171">
        <v>85.1</v>
      </c>
      <c r="J102" s="163">
        <v>4</v>
      </c>
      <c r="L102" s="172">
        <v>11076</v>
      </c>
      <c r="M102" s="171">
        <v>120</v>
      </c>
      <c r="N102" s="171">
        <f t="shared" si="0"/>
        <v>213.77203290246769</v>
      </c>
      <c r="V102" s="166" t="s">
        <v>86</v>
      </c>
      <c r="W102" s="176">
        <f>IF('Tab7'!C12="",+'Tab7'!C11+'Tab11'!C11,+'Tab7'!C12+'Tab11'!C12)</f>
        <v>79211.786661580234</v>
      </c>
      <c r="X102" s="176">
        <f>IF('Tab7'!D12="",+'Tab7'!D11+'Tab11'!D11,+'Tab7'!D12+'Tab11'!D12)</f>
        <v>90583.531272727269</v>
      </c>
      <c r="Y102" s="176">
        <f>IF('Tab7'!E12="",+'Tab7'!E11+'Tab11'!E11,+'Tab7'!E12+'Tab11'!E12)</f>
        <v>90885.235003952577</v>
      </c>
    </row>
    <row r="103" spans="1:25" s="163" customFormat="1" x14ac:dyDescent="0.2">
      <c r="A103" s="166">
        <v>1</v>
      </c>
      <c r="B103" s="166">
        <v>1991</v>
      </c>
      <c r="C103" s="166">
        <v>97.5</v>
      </c>
      <c r="D103" s="166">
        <v>82.4</v>
      </c>
      <c r="E103" s="166"/>
      <c r="F103" s="166"/>
      <c r="G103" s="166"/>
      <c r="I103" s="171">
        <v>85.5</v>
      </c>
      <c r="J103" s="163">
        <v>1</v>
      </c>
      <c r="K103" s="163">
        <v>1991</v>
      </c>
      <c r="L103" s="172">
        <v>10172</v>
      </c>
      <c r="M103" s="171">
        <v>130.10000000000002</v>
      </c>
      <c r="N103" s="171">
        <f t="shared" ref="N103:N106" si="1">M103/I103*$I$69</f>
        <v>230.68023391812869</v>
      </c>
      <c r="O103" s="172">
        <v>6727</v>
      </c>
      <c r="P103" s="171">
        <v>376.9</v>
      </c>
      <c r="Q103" s="171">
        <f>P103/I103*$I$69</f>
        <v>668.28116959064312</v>
      </c>
      <c r="R103" s="172">
        <v>9077</v>
      </c>
      <c r="S103" s="171">
        <v>139.9</v>
      </c>
      <c r="T103" s="171">
        <f>S103/I103*$I$69</f>
        <v>248.05660818713451</v>
      </c>
      <c r="V103" s="166" t="s">
        <v>63</v>
      </c>
      <c r="W103" s="176">
        <f>IF('Tab7'!C14="",+'Tab7'!C13+'Tab11'!C13,+'Tab7'!C14+'Tab11'!C14)</f>
        <v>29554.493994388202</v>
      </c>
      <c r="X103" s="176">
        <f>IF('Tab7'!D14="",+'Tab7'!D13+'Tab11'!D13,+'Tab7'!D14+'Tab11'!D14)</f>
        <v>32604.239633540372</v>
      </c>
      <c r="Y103" s="176">
        <f>IF('Tab7'!E14="",+'Tab7'!E13+'Tab11'!E13,+'Tab7'!E14+'Tab11'!E14)</f>
        <v>37173.078577639753</v>
      </c>
    </row>
    <row r="104" spans="1:25" s="163" customFormat="1" x14ac:dyDescent="0.2">
      <c r="A104" s="166">
        <v>2</v>
      </c>
      <c r="B104" s="166"/>
      <c r="C104" s="166">
        <v>93.9</v>
      </c>
      <c r="D104" s="166">
        <v>78</v>
      </c>
      <c r="E104" s="166"/>
      <c r="F104" s="166"/>
      <c r="G104" s="166"/>
      <c r="I104" s="171">
        <v>86.6</v>
      </c>
      <c r="J104" s="163">
        <v>2</v>
      </c>
      <c r="L104" s="172">
        <v>10188</v>
      </c>
      <c r="M104" s="171">
        <v>126.69999999999993</v>
      </c>
      <c r="N104" s="171">
        <f t="shared" si="1"/>
        <v>221.79815242494217</v>
      </c>
      <c r="O104" s="172">
        <v>5864</v>
      </c>
      <c r="P104" s="171">
        <v>369.29999999999995</v>
      </c>
      <c r="Q104" s="171">
        <f t="shared" ref="Q104:Q167" si="2">P104/I104*$I$69</f>
        <v>646.48822170900678</v>
      </c>
      <c r="R104" s="172">
        <v>12525</v>
      </c>
      <c r="S104" s="171">
        <v>176.29999999999998</v>
      </c>
      <c r="T104" s="171">
        <f t="shared" ref="T104:T167" si="3">S104/I104*$I$69</f>
        <v>308.62678983833717</v>
      </c>
      <c r="V104" s="166" t="s">
        <v>14</v>
      </c>
      <c r="W104" s="177">
        <f>+W106-SUM(W101:W103)</f>
        <v>215684.23270071615</v>
      </c>
      <c r="X104" s="177">
        <f>+X106-SUM(X101:X103)</f>
        <v>295967.06376566866</v>
      </c>
      <c r="Y104" s="177">
        <f>+Y106-SUM(Y101:Y103)</f>
        <v>318893.27676203824</v>
      </c>
    </row>
    <row r="105" spans="1:25" s="163" customFormat="1" x14ac:dyDescent="0.2">
      <c r="A105" s="166">
        <v>3</v>
      </c>
      <c r="B105" s="166"/>
      <c r="C105" s="166">
        <v>90.2</v>
      </c>
      <c r="D105" s="166">
        <v>76.099999999999994</v>
      </c>
      <c r="E105" s="166"/>
      <c r="F105" s="166"/>
      <c r="G105" s="166"/>
      <c r="I105" s="171">
        <v>86.6</v>
      </c>
      <c r="J105" s="163">
        <v>3</v>
      </c>
      <c r="L105" s="172">
        <v>10621</v>
      </c>
      <c r="M105" s="171">
        <v>132.60000000000002</v>
      </c>
      <c r="N105" s="171">
        <f t="shared" si="1"/>
        <v>232.12655889145501</v>
      </c>
      <c r="O105" s="172">
        <v>7951</v>
      </c>
      <c r="P105" s="171">
        <v>430.9</v>
      </c>
      <c r="Q105" s="171">
        <f t="shared" si="2"/>
        <v>754.32378752886825</v>
      </c>
      <c r="R105" s="172">
        <v>14126</v>
      </c>
      <c r="S105" s="171">
        <v>204.90000000000003</v>
      </c>
      <c r="T105" s="171">
        <f t="shared" si="3"/>
        <v>358.69330254041574</v>
      </c>
      <c r="V105" s="166"/>
      <c r="W105" s="166"/>
      <c r="X105" s="166"/>
      <c r="Y105" s="166"/>
    </row>
    <row r="106" spans="1:25" s="163" customFormat="1" x14ac:dyDescent="0.2">
      <c r="A106" s="166">
        <v>4</v>
      </c>
      <c r="B106" s="166"/>
      <c r="C106" s="166">
        <v>92.6</v>
      </c>
      <c r="D106" s="166">
        <v>78.099999999999994</v>
      </c>
      <c r="E106" s="166"/>
      <c r="F106" s="166"/>
      <c r="G106" s="166"/>
      <c r="I106" s="171">
        <v>87.3</v>
      </c>
      <c r="J106" s="163">
        <v>4</v>
      </c>
      <c r="L106" s="172">
        <v>11640</v>
      </c>
      <c r="M106" s="171">
        <v>138.20000000000005</v>
      </c>
      <c r="N106" s="171">
        <f t="shared" si="1"/>
        <v>239.98991981672401</v>
      </c>
      <c r="O106" s="172">
        <v>13048</v>
      </c>
      <c r="P106" s="171">
        <v>427.00000000000023</v>
      </c>
      <c r="Q106" s="171">
        <f t="shared" si="2"/>
        <v>741.50286368843115</v>
      </c>
      <c r="R106" s="172">
        <v>13048</v>
      </c>
      <c r="S106" s="171">
        <v>185</v>
      </c>
      <c r="T106" s="171">
        <f t="shared" si="3"/>
        <v>321.26002290950743</v>
      </c>
      <c r="V106" s="166" t="s">
        <v>87</v>
      </c>
      <c r="W106" s="176">
        <f>IF('Tab7'!C8="",+'Tab7'!C7+'Tab11'!C7,+'Tab7'!C8+'Tab11'!C8)</f>
        <v>351820.57590686023</v>
      </c>
      <c r="X106" s="176">
        <f>IF('Tab7'!D8="",+'Tab7'!D7+'Tab11'!D7,+'Tab7'!D8+'Tab11'!D8)</f>
        <v>449016.03577048704</v>
      </c>
      <c r="Y106" s="176">
        <f>IF('Tab7'!E8="",+'Tab7'!E7+'Tab11'!E7,+'Tab7'!E8+'Tab11'!E8)</f>
        <v>483284.74178421026</v>
      </c>
    </row>
    <row r="107" spans="1:25" s="163" customFormat="1" x14ac:dyDescent="0.2">
      <c r="A107" s="166">
        <v>1</v>
      </c>
      <c r="B107" s="166">
        <v>1992</v>
      </c>
      <c r="C107" s="166">
        <v>102</v>
      </c>
      <c r="D107" s="166">
        <v>87.1</v>
      </c>
      <c r="E107" s="166"/>
      <c r="F107" s="166"/>
      <c r="G107" s="166"/>
      <c r="I107" s="171">
        <v>87.5</v>
      </c>
      <c r="J107" s="163">
        <v>1</v>
      </c>
      <c r="K107" s="163">
        <v>1992</v>
      </c>
      <c r="L107" s="172">
        <v>10520</v>
      </c>
      <c r="M107" s="171">
        <v>129.4</v>
      </c>
      <c r="N107" s="171">
        <f>M107/I107*$I$69</f>
        <v>224.19474285714284</v>
      </c>
      <c r="O107" s="172">
        <v>6509</v>
      </c>
      <c r="P107" s="171">
        <v>409.5</v>
      </c>
      <c r="Q107" s="171">
        <f t="shared" si="2"/>
        <v>709.48799999999994</v>
      </c>
      <c r="R107" s="172">
        <v>11030</v>
      </c>
      <c r="S107" s="171">
        <v>180.5</v>
      </c>
      <c r="T107" s="171">
        <f t="shared" si="3"/>
        <v>312.72914285714285</v>
      </c>
    </row>
    <row r="108" spans="1:25" s="163" customFormat="1" x14ac:dyDescent="0.2">
      <c r="A108" s="166">
        <v>2</v>
      </c>
      <c r="B108" s="166"/>
      <c r="C108" s="166">
        <v>92.2</v>
      </c>
      <c r="D108" s="166">
        <v>78.900000000000006</v>
      </c>
      <c r="E108" s="166"/>
      <c r="F108" s="166"/>
      <c r="G108" s="166"/>
      <c r="I108" s="171">
        <v>88.6</v>
      </c>
      <c r="J108" s="163">
        <v>2</v>
      </c>
      <c r="L108" s="172">
        <v>10661</v>
      </c>
      <c r="M108" s="171">
        <v>112.9</v>
      </c>
      <c r="N108" s="171">
        <f t="shared" ref="N108:N171" si="4">M108/I108*$I$69</f>
        <v>193.17878103837475</v>
      </c>
      <c r="O108" s="172">
        <v>5632</v>
      </c>
      <c r="P108" s="171">
        <v>412</v>
      </c>
      <c r="Q108" s="171">
        <f t="shared" si="2"/>
        <v>704.95711060948076</v>
      </c>
      <c r="R108" s="172">
        <v>13252</v>
      </c>
      <c r="S108" s="171">
        <v>167</v>
      </c>
      <c r="T108" s="171">
        <f t="shared" si="3"/>
        <v>285.74717832957111</v>
      </c>
    </row>
    <row r="109" spans="1:25" s="163" customFormat="1" x14ac:dyDescent="0.2">
      <c r="A109" s="166">
        <v>3</v>
      </c>
      <c r="B109" s="166"/>
      <c r="C109" s="166">
        <v>93.3</v>
      </c>
      <c r="D109" s="166">
        <v>79.900000000000006</v>
      </c>
      <c r="E109" s="166"/>
      <c r="F109" s="166"/>
      <c r="G109" s="166"/>
      <c r="I109" s="171">
        <v>88.7</v>
      </c>
      <c r="J109" s="163">
        <v>3</v>
      </c>
      <c r="L109" s="172">
        <v>11590</v>
      </c>
      <c r="M109" s="171">
        <v>130.59999999999997</v>
      </c>
      <c r="N109" s="171">
        <f t="shared" si="4"/>
        <v>223.21262683201795</v>
      </c>
      <c r="O109" s="172">
        <v>8642</v>
      </c>
      <c r="P109" s="171">
        <v>440.40000000000009</v>
      </c>
      <c r="Q109" s="171">
        <f t="shared" si="2"/>
        <v>752.70169109357403</v>
      </c>
      <c r="R109" s="172">
        <v>15450</v>
      </c>
      <c r="S109" s="171">
        <v>219.10000000000002</v>
      </c>
      <c r="T109" s="171">
        <f t="shared" si="3"/>
        <v>374.47080045095828</v>
      </c>
      <c r="V109" s="165" t="s">
        <v>187</v>
      </c>
      <c r="W109" s="166"/>
      <c r="X109" s="166"/>
      <c r="Y109" s="166"/>
    </row>
    <row r="110" spans="1:25" s="163" customFormat="1" x14ac:dyDescent="0.2">
      <c r="A110" s="166">
        <v>4</v>
      </c>
      <c r="B110" s="166"/>
      <c r="C110" s="166">
        <v>90.8</v>
      </c>
      <c r="D110" s="166">
        <v>77.599999999999994</v>
      </c>
      <c r="E110" s="166"/>
      <c r="F110" s="166"/>
      <c r="G110" s="166"/>
      <c r="I110" s="171">
        <v>89.3</v>
      </c>
      <c r="J110" s="163">
        <v>4</v>
      </c>
      <c r="L110" s="172">
        <v>11917</v>
      </c>
      <c r="M110" s="171">
        <v>108.50000000000006</v>
      </c>
      <c r="N110" s="171">
        <f t="shared" si="4"/>
        <v>184.19484882418823</v>
      </c>
      <c r="O110" s="172">
        <v>7139</v>
      </c>
      <c r="P110" s="171">
        <v>425.59999999999991</v>
      </c>
      <c r="Q110" s="171">
        <f t="shared" si="2"/>
        <v>722.51914893617004</v>
      </c>
      <c r="R110" s="172">
        <v>12309</v>
      </c>
      <c r="S110" s="171">
        <v>109.39999999999998</v>
      </c>
      <c r="T110" s="171">
        <f t="shared" si="3"/>
        <v>185.72273236282192</v>
      </c>
      <c r="V110" s="166"/>
      <c r="W110" s="166"/>
      <c r="X110" s="166"/>
      <c r="Y110" s="166"/>
    </row>
    <row r="111" spans="1:25" s="163" customFormat="1" x14ac:dyDescent="0.2">
      <c r="A111" s="166">
        <v>1</v>
      </c>
      <c r="B111" s="166">
        <v>1993</v>
      </c>
      <c r="C111" s="166">
        <v>112.6</v>
      </c>
      <c r="D111" s="166">
        <v>96.5</v>
      </c>
      <c r="E111" s="166"/>
      <c r="F111" s="166"/>
      <c r="G111" s="166"/>
      <c r="I111" s="171">
        <v>89.8</v>
      </c>
      <c r="J111" s="163">
        <v>1</v>
      </c>
      <c r="K111" s="163">
        <v>1993</v>
      </c>
      <c r="L111" s="172">
        <v>11275</v>
      </c>
      <c r="M111" s="171">
        <v>136.89999999999998</v>
      </c>
      <c r="N111" s="171">
        <f t="shared" si="4"/>
        <v>231.11403118040084</v>
      </c>
      <c r="O111" s="172">
        <v>6982</v>
      </c>
      <c r="P111" s="171">
        <v>449.4</v>
      </c>
      <c r="Q111" s="171">
        <f t="shared" si="2"/>
        <v>758.67527839643651</v>
      </c>
      <c r="R111" s="172">
        <v>10571</v>
      </c>
      <c r="S111" s="171">
        <v>175.5</v>
      </c>
      <c r="T111" s="171">
        <f t="shared" si="3"/>
        <v>296.27839643652561</v>
      </c>
      <c r="V111" s="166"/>
      <c r="W111" s="170" t="str">
        <f>+W100</f>
        <v>2017</v>
      </c>
      <c r="X111" s="170" t="str">
        <f>+X100</f>
        <v>2018</v>
      </c>
      <c r="Y111" s="170" t="str">
        <f>+Y100</f>
        <v>2019</v>
      </c>
    </row>
    <row r="112" spans="1:25" s="163" customFormat="1" x14ac:dyDescent="0.2">
      <c r="A112" s="166">
        <v>2</v>
      </c>
      <c r="B112" s="166"/>
      <c r="C112" s="166">
        <f>205.6-C111</f>
        <v>93</v>
      </c>
      <c r="D112" s="166">
        <f>176.6-D111</f>
        <v>80.099999999999994</v>
      </c>
      <c r="E112" s="166"/>
      <c r="F112" s="166"/>
      <c r="G112" s="166"/>
      <c r="I112" s="171">
        <v>90.8</v>
      </c>
      <c r="J112" s="163">
        <v>2</v>
      </c>
      <c r="L112" s="172">
        <v>10076</v>
      </c>
      <c r="M112" s="171">
        <v>115.20000000000002</v>
      </c>
      <c r="N112" s="171">
        <f t="shared" si="4"/>
        <v>192.33832599118946</v>
      </c>
      <c r="O112" s="172">
        <v>6332</v>
      </c>
      <c r="P112" s="171">
        <v>352.9</v>
      </c>
      <c r="Q112" s="171">
        <f t="shared" si="2"/>
        <v>589.20308370044052</v>
      </c>
      <c r="R112" s="172">
        <v>12919</v>
      </c>
      <c r="S112" s="171">
        <v>191.20000000000005</v>
      </c>
      <c r="T112" s="171">
        <f t="shared" si="3"/>
        <v>319.22819383259917</v>
      </c>
      <c r="V112" s="166" t="s">
        <v>172</v>
      </c>
      <c r="W112" s="175">
        <f>IF('Tab7'!C38="",+'Tab7'!C37+'Tab11'!C37,+'Tab7'!C38+'Tab11'!C38)</f>
        <v>5130.9702485046837</v>
      </c>
      <c r="X112" s="175">
        <f>IF('Tab7'!D38="",+'Tab7'!D37+'Tab11'!D37,+'Tab7'!D38+'Tab11'!D38)</f>
        <v>6008.5193230381965</v>
      </c>
      <c r="Y112" s="175">
        <f>IF('Tab7'!E38="",+'Tab7'!E37+'Tab11'!E37,+'Tab7'!E38+'Tab11'!E38)</f>
        <v>5443.96352332889</v>
      </c>
    </row>
    <row r="113" spans="1:25" s="163" customFormat="1" x14ac:dyDescent="0.2">
      <c r="A113" s="166">
        <v>3</v>
      </c>
      <c r="B113" s="166"/>
      <c r="C113" s="166">
        <f>293.1-C112-C111</f>
        <v>87.500000000000028</v>
      </c>
      <c r="D113" s="166">
        <f>250.2-D112-D111</f>
        <v>73.599999999999994</v>
      </c>
      <c r="E113" s="166"/>
      <c r="F113" s="166"/>
      <c r="G113" s="166"/>
      <c r="I113" s="171">
        <v>90.6</v>
      </c>
      <c r="J113" s="163">
        <v>3</v>
      </c>
      <c r="L113" s="172">
        <v>11766</v>
      </c>
      <c r="M113" s="171">
        <v>132.79999999999998</v>
      </c>
      <c r="N113" s="171">
        <f t="shared" si="4"/>
        <v>222.21280353200882</v>
      </c>
      <c r="O113" s="172">
        <v>6675</v>
      </c>
      <c r="P113" s="171">
        <v>388.50000000000023</v>
      </c>
      <c r="Q113" s="171">
        <f t="shared" si="2"/>
        <v>650.07284768211957</v>
      </c>
      <c r="R113" s="172">
        <v>14800</v>
      </c>
      <c r="S113" s="171">
        <v>216.89999999999998</v>
      </c>
      <c r="T113" s="171">
        <f t="shared" si="3"/>
        <v>362.93642384105959</v>
      </c>
      <c r="V113" s="166" t="s">
        <v>86</v>
      </c>
      <c r="W113" s="175">
        <f>IF('Tab7'!C40="",+'Tab7'!C39+'Tab11'!C39,+'Tab7'!C40+'Tab11'!C40)</f>
        <v>3842.2456206754332</v>
      </c>
      <c r="X113" s="175">
        <f>IF('Tab7'!D40="",+'Tab7'!D39+'Tab11'!D39,+'Tab7'!D40+'Tab11'!D40)</f>
        <v>4542.7900681448755</v>
      </c>
      <c r="Y113" s="175">
        <f>IF('Tab7'!E40="",+'Tab7'!E39+'Tab11'!E39,+'Tab7'!E40+'Tab11'!E40)</f>
        <v>4878.2040030121243</v>
      </c>
    </row>
    <row r="114" spans="1:25" s="163" customFormat="1" x14ac:dyDescent="0.2">
      <c r="A114" s="166">
        <v>4</v>
      </c>
      <c r="B114" s="166"/>
      <c r="C114" s="166">
        <f>413.2-C113-C112-C111</f>
        <v>120.09999999999994</v>
      </c>
      <c r="D114" s="166">
        <f>356.8-D113-D112-D111</f>
        <v>106.60000000000005</v>
      </c>
      <c r="E114" s="166"/>
      <c r="F114" s="166"/>
      <c r="G114" s="166"/>
      <c r="I114" s="171">
        <v>91</v>
      </c>
      <c r="J114" s="163">
        <v>4</v>
      </c>
      <c r="L114" s="172">
        <v>12707</v>
      </c>
      <c r="M114" s="171">
        <v>157.79999999999995</v>
      </c>
      <c r="N114" s="171">
        <f t="shared" si="4"/>
        <v>262.88439560439548</v>
      </c>
      <c r="O114" s="172">
        <v>6319</v>
      </c>
      <c r="P114" s="171">
        <v>466.99999999999977</v>
      </c>
      <c r="Q114" s="171">
        <f t="shared" si="2"/>
        <v>777.99120879120846</v>
      </c>
      <c r="R114" s="172">
        <v>11391</v>
      </c>
      <c r="S114" s="171">
        <v>164.5</v>
      </c>
      <c r="T114" s="171">
        <f t="shared" si="3"/>
        <v>274.04615384615386</v>
      </c>
      <c r="V114" s="166" t="s">
        <v>63</v>
      </c>
      <c r="W114" s="175">
        <f>IF('Tab7'!C42="",+'Tab7'!C41+'Tab11'!C41,+'Tab7'!C42+'Tab11'!C42)</f>
        <v>513.09823303465407</v>
      </c>
      <c r="X114" s="175">
        <f>IF('Tab7'!D42="",+'Tab7'!D41+'Tab11'!D41,+'Tab7'!D42+'Tab11'!D42)</f>
        <v>518.48416537980279</v>
      </c>
      <c r="Y114" s="175">
        <f>IF('Tab7'!E42="",+'Tab7'!E41+'Tab11'!E41,+'Tab7'!E42+'Tab11'!E42)</f>
        <v>541.96165842962091</v>
      </c>
    </row>
    <row r="115" spans="1:25" s="163" customFormat="1" x14ac:dyDescent="0.2">
      <c r="A115" s="166">
        <v>1</v>
      </c>
      <c r="B115" s="166">
        <v>1994</v>
      </c>
      <c r="C115" s="166">
        <v>138.4</v>
      </c>
      <c r="D115" s="166">
        <v>120</v>
      </c>
      <c r="E115" s="166"/>
      <c r="F115" s="166"/>
      <c r="G115" s="166"/>
      <c r="I115" s="171">
        <v>91</v>
      </c>
      <c r="J115" s="163">
        <v>1</v>
      </c>
      <c r="K115" s="163">
        <v>1994</v>
      </c>
      <c r="L115" s="172">
        <v>15224</v>
      </c>
      <c r="M115" s="171">
        <v>189</v>
      </c>
      <c r="N115" s="171">
        <f t="shared" si="4"/>
        <v>314.86153846153849</v>
      </c>
      <c r="O115" s="172">
        <v>6291</v>
      </c>
      <c r="P115" s="171">
        <v>427.6</v>
      </c>
      <c r="Q115" s="171">
        <f t="shared" si="2"/>
        <v>712.35340659340659</v>
      </c>
      <c r="R115" s="172">
        <v>8795</v>
      </c>
      <c r="S115" s="171">
        <v>161.69999999999999</v>
      </c>
      <c r="T115" s="171">
        <f t="shared" si="3"/>
        <v>269.38153846153841</v>
      </c>
      <c r="V115" s="166" t="s">
        <v>14</v>
      </c>
      <c r="W115" s="178">
        <f>+W117-SUM(W112:W114)</f>
        <v>2924.6133875220494</v>
      </c>
      <c r="X115" s="178">
        <f>+X117-SUM(X112:X114)</f>
        <v>4583.4417594381794</v>
      </c>
      <c r="Y115" s="178">
        <f>+Y117-SUM(Y112:Y114)</f>
        <v>3908.1742224569098</v>
      </c>
    </row>
    <row r="116" spans="1:25" s="163" customFormat="1" x14ac:dyDescent="0.2">
      <c r="A116" s="166">
        <v>2</v>
      </c>
      <c r="B116" s="166"/>
      <c r="C116" s="166">
        <f>252.9-C115</f>
        <v>114.5</v>
      </c>
      <c r="D116" s="166">
        <f>218.1-D115</f>
        <v>98.1</v>
      </c>
      <c r="E116" s="166"/>
      <c r="F116" s="166"/>
      <c r="G116" s="166"/>
      <c r="I116" s="171">
        <v>91.7</v>
      </c>
      <c r="J116" s="163">
        <v>2</v>
      </c>
      <c r="L116" s="172">
        <v>13585</v>
      </c>
      <c r="M116" s="171">
        <v>166.5</v>
      </c>
      <c r="N116" s="171">
        <f t="shared" si="4"/>
        <v>275.26063249727372</v>
      </c>
      <c r="O116" s="172">
        <v>5517</v>
      </c>
      <c r="P116" s="171">
        <v>494.30000000000007</v>
      </c>
      <c r="Q116" s="171">
        <f t="shared" si="2"/>
        <v>817.18516902944384</v>
      </c>
      <c r="R116" s="172">
        <v>13449</v>
      </c>
      <c r="S116" s="171">
        <v>196.2</v>
      </c>
      <c r="T116" s="171">
        <f t="shared" si="3"/>
        <v>324.36117775354415</v>
      </c>
      <c r="V116" s="166"/>
      <c r="W116" s="175"/>
      <c r="X116" s="175"/>
      <c r="Y116" s="175"/>
    </row>
    <row r="117" spans="1:25" s="163" customFormat="1" x14ac:dyDescent="0.2">
      <c r="A117" s="166">
        <v>3</v>
      </c>
      <c r="B117" s="166"/>
      <c r="C117" s="166">
        <f>365.7-C115-C116</f>
        <v>112.79999999999998</v>
      </c>
      <c r="D117" s="166">
        <f>316.9-D115-D116</f>
        <v>98.799999999999983</v>
      </c>
      <c r="E117" s="166"/>
      <c r="F117" s="166"/>
      <c r="G117" s="166"/>
      <c r="I117" s="171">
        <v>92.1</v>
      </c>
      <c r="J117" s="163">
        <v>3</v>
      </c>
      <c r="L117" s="172">
        <v>13956</v>
      </c>
      <c r="M117" s="171">
        <v>169.89999999999998</v>
      </c>
      <c r="N117" s="171">
        <f t="shared" si="4"/>
        <v>279.66167209554828</v>
      </c>
      <c r="O117" s="172">
        <v>8952</v>
      </c>
      <c r="P117" s="171">
        <v>425.5</v>
      </c>
      <c r="Q117" s="171">
        <f t="shared" si="2"/>
        <v>700.38870792616729</v>
      </c>
      <c r="R117" s="172">
        <v>15669</v>
      </c>
      <c r="S117" s="171">
        <v>219.80000000000007</v>
      </c>
      <c r="T117" s="171">
        <f t="shared" si="3"/>
        <v>361.79891422367007</v>
      </c>
      <c r="V117" s="166" t="s">
        <v>87</v>
      </c>
      <c r="W117" s="175">
        <f>IF('Tab7'!C36="",+'Tab7'!C35+'Tab11'!C35,+'Tab7'!C36+'Tab11'!C36)</f>
        <v>12410.92748973682</v>
      </c>
      <c r="X117" s="175">
        <f>IF('Tab7'!D36="",+'Tab7'!D35+'Tab11'!D35,+'Tab7'!D36+'Tab11'!D36)</f>
        <v>15653.235316001055</v>
      </c>
      <c r="Y117" s="175">
        <f>IF('Tab7'!E36="",+'Tab7'!E35+'Tab11'!E35,+'Tab7'!E36+'Tab11'!E36)</f>
        <v>14772.303407227544</v>
      </c>
    </row>
    <row r="118" spans="1:25" s="163" customFormat="1" x14ac:dyDescent="0.2">
      <c r="A118" s="166">
        <v>4</v>
      </c>
      <c r="B118" s="166"/>
      <c r="C118" s="166">
        <f>480.2-C115-C116-C117</f>
        <v>114.49999999999997</v>
      </c>
      <c r="D118" s="166">
        <f>417.1-D115-D116-D117</f>
        <v>100.20000000000005</v>
      </c>
      <c r="E118" s="166"/>
      <c r="F118" s="166"/>
      <c r="G118" s="166"/>
      <c r="I118" s="171">
        <v>92.6</v>
      </c>
      <c r="J118" s="163">
        <v>4</v>
      </c>
      <c r="L118" s="172">
        <v>14006</v>
      </c>
      <c r="M118" s="171">
        <v>140.80000000000007</v>
      </c>
      <c r="N118" s="171">
        <f t="shared" si="4"/>
        <v>230.51058315334782</v>
      </c>
      <c r="O118" s="172">
        <v>8189</v>
      </c>
      <c r="P118" s="171">
        <v>390.59999999999991</v>
      </c>
      <c r="Q118" s="171">
        <f t="shared" si="2"/>
        <v>639.47041036717053</v>
      </c>
      <c r="R118" s="172">
        <v>14139</v>
      </c>
      <c r="S118" s="171">
        <v>214.39999999999998</v>
      </c>
      <c r="T118" s="171">
        <f t="shared" si="3"/>
        <v>351.00475161987038</v>
      </c>
      <c r="V118" s="166"/>
      <c r="X118" s="166"/>
    </row>
    <row r="119" spans="1:25" s="163" customFormat="1" x14ac:dyDescent="0.2">
      <c r="A119" s="166">
        <v>1</v>
      </c>
      <c r="B119" s="166">
        <v>1995</v>
      </c>
      <c r="C119" s="166">
        <v>137.19999999999999</v>
      </c>
      <c r="D119" s="166">
        <v>119.3</v>
      </c>
      <c r="E119" s="166"/>
      <c r="F119" s="166"/>
      <c r="G119" s="166"/>
      <c r="I119" s="171">
        <v>93.4</v>
      </c>
      <c r="J119" s="163">
        <v>1</v>
      </c>
      <c r="K119" s="163">
        <v>1995</v>
      </c>
      <c r="L119" s="172">
        <v>13188</v>
      </c>
      <c r="M119" s="171">
        <v>171.1</v>
      </c>
      <c r="N119" s="171">
        <f t="shared" si="4"/>
        <v>277.71691648822264</v>
      </c>
      <c r="O119" s="172">
        <v>7699</v>
      </c>
      <c r="P119" s="171">
        <v>543</v>
      </c>
      <c r="Q119" s="171">
        <f t="shared" si="2"/>
        <v>881.35760171306208</v>
      </c>
      <c r="R119" s="172">
        <v>11007</v>
      </c>
      <c r="S119" s="171">
        <v>183.1</v>
      </c>
      <c r="T119" s="171">
        <f t="shared" si="3"/>
        <v>297.19443254817986</v>
      </c>
      <c r="V119" s="165" t="s">
        <v>181</v>
      </c>
    </row>
    <row r="120" spans="1:25" s="163" customFormat="1" x14ac:dyDescent="0.2">
      <c r="A120" s="166">
        <v>2</v>
      </c>
      <c r="B120" s="166"/>
      <c r="C120" s="166">
        <f>248.2-C119</f>
        <v>111</v>
      </c>
      <c r="D120" s="166">
        <f>214.7-D119</f>
        <v>95.399999999999991</v>
      </c>
      <c r="E120" s="166"/>
      <c r="F120" s="166"/>
      <c r="G120" s="166"/>
      <c r="I120" s="171">
        <v>94.1</v>
      </c>
      <c r="J120" s="163">
        <v>2</v>
      </c>
      <c r="L120" s="172">
        <v>11077</v>
      </c>
      <c r="M120" s="171">
        <v>148.30000000000004</v>
      </c>
      <c r="N120" s="171">
        <f t="shared" si="4"/>
        <v>238.91902231668445</v>
      </c>
      <c r="O120" s="172">
        <v>5465</v>
      </c>
      <c r="P120" s="171">
        <v>462.40000000000009</v>
      </c>
      <c r="Q120" s="171">
        <f t="shared" si="2"/>
        <v>744.9504782146654</v>
      </c>
      <c r="R120" s="172">
        <v>13915</v>
      </c>
      <c r="S120" s="171">
        <v>213.4</v>
      </c>
      <c r="T120" s="171">
        <f t="shared" si="3"/>
        <v>343.79851222104145</v>
      </c>
    </row>
    <row r="121" spans="1:25" s="163" customFormat="1" x14ac:dyDescent="0.2">
      <c r="A121" s="166">
        <v>3</v>
      </c>
      <c r="B121" s="166"/>
      <c r="C121" s="166">
        <f>364.1-C119-C120</f>
        <v>115.90000000000003</v>
      </c>
      <c r="D121" s="166">
        <f>315.7-D119-D120</f>
        <v>100.99999999999999</v>
      </c>
      <c r="E121" s="166"/>
      <c r="F121" s="166"/>
      <c r="G121" s="166"/>
      <c r="I121" s="171">
        <v>94.1</v>
      </c>
      <c r="J121" s="163">
        <v>3</v>
      </c>
      <c r="L121" s="172">
        <v>13937</v>
      </c>
      <c r="M121" s="171">
        <v>180.19999999999993</v>
      </c>
      <c r="N121" s="171">
        <f t="shared" si="4"/>
        <v>290.3115834218915</v>
      </c>
      <c r="O121" s="172">
        <v>9139</v>
      </c>
      <c r="P121" s="171">
        <v>487.89999999999986</v>
      </c>
      <c r="Q121" s="171">
        <f t="shared" si="2"/>
        <v>786.03230605738554</v>
      </c>
      <c r="R121" s="172">
        <v>17436</v>
      </c>
      <c r="S121" s="171">
        <v>224.09999999999991</v>
      </c>
      <c r="T121" s="171">
        <f t="shared" si="3"/>
        <v>361.03676939426128</v>
      </c>
      <c r="V121" s="166"/>
      <c r="W121" s="170" t="str">
        <f>+'Tab3'!C6</f>
        <v>2017</v>
      </c>
      <c r="X121" s="170" t="str">
        <f>+'Tab3'!D6</f>
        <v>2018</v>
      </c>
      <c r="Y121" s="170" t="str">
        <f>+'Tab3'!E6</f>
        <v>2019</v>
      </c>
    </row>
    <row r="122" spans="1:25" s="163" customFormat="1" x14ac:dyDescent="0.2">
      <c r="A122" s="166">
        <v>4</v>
      </c>
      <c r="B122" s="166"/>
      <c r="C122" s="166">
        <f>482.9-C119-C120-C121</f>
        <v>118.79999999999995</v>
      </c>
      <c r="D122" s="166">
        <f>420.1-D119-D120-D121</f>
        <v>104.40000000000005</v>
      </c>
      <c r="E122" s="166"/>
      <c r="F122" s="166"/>
      <c r="G122" s="166"/>
      <c r="I122" s="171">
        <v>94.6</v>
      </c>
      <c r="J122" s="163">
        <v>4</v>
      </c>
      <c r="L122" s="172">
        <v>13920</v>
      </c>
      <c r="M122" s="171">
        <v>172.00000000000006</v>
      </c>
      <c r="N122" s="171">
        <f t="shared" si="4"/>
        <v>275.63636363636374</v>
      </c>
      <c r="O122" s="172">
        <v>7500</v>
      </c>
      <c r="P122" s="171">
        <v>369.89999999999986</v>
      </c>
      <c r="Q122" s="171">
        <f t="shared" si="2"/>
        <v>592.77843551797025</v>
      </c>
      <c r="R122" s="172">
        <v>15130</v>
      </c>
      <c r="S122" s="171">
        <v>206.30000000000018</v>
      </c>
      <c r="T122" s="171">
        <f t="shared" si="3"/>
        <v>330.60338266384804</v>
      </c>
      <c r="V122" s="166" t="s">
        <v>10</v>
      </c>
      <c r="W122" s="170">
        <f>IF('Tab3'!C22="",'Tab3'!C29,'Tab3'!C30)</f>
        <v>320312</v>
      </c>
      <c r="X122" s="170">
        <f>IF('Tab3'!D22="",'Tab3'!D29,'Tab3'!D30)</f>
        <v>333492</v>
      </c>
      <c r="Y122" s="170">
        <f>IF('Tab3'!E22="",'Tab3'!E29,'Tab3'!E30)</f>
        <v>351332</v>
      </c>
    </row>
    <row r="123" spans="1:25" s="163" customFormat="1" x14ac:dyDescent="0.2">
      <c r="A123" s="166">
        <v>1</v>
      </c>
      <c r="B123" s="166">
        <v>1996</v>
      </c>
      <c r="C123" s="166">
        <v>143.9</v>
      </c>
      <c r="D123" s="166">
        <v>126.9</v>
      </c>
      <c r="E123" s="166"/>
      <c r="F123" s="166"/>
      <c r="G123" s="166"/>
      <c r="I123" s="171">
        <v>94.2</v>
      </c>
      <c r="J123" s="163">
        <v>1</v>
      </c>
      <c r="K123" s="163">
        <v>1996</v>
      </c>
      <c r="L123" s="172">
        <v>29850</v>
      </c>
      <c r="M123" s="171">
        <v>375.59999999999997</v>
      </c>
      <c r="N123" s="171">
        <f t="shared" si="4"/>
        <v>604.46878980891711</v>
      </c>
      <c r="O123" s="172">
        <v>7239</v>
      </c>
      <c r="P123" s="171">
        <v>479.9</v>
      </c>
      <c r="Q123" s="171">
        <f t="shared" si="2"/>
        <v>772.32314225053074</v>
      </c>
      <c r="R123" s="172">
        <v>11785</v>
      </c>
      <c r="S123" s="171">
        <v>198.60000000000002</v>
      </c>
      <c r="T123" s="171">
        <f t="shared" si="3"/>
        <v>319.61528662420386</v>
      </c>
      <c r="V123" s="163" t="s">
        <v>112</v>
      </c>
      <c r="W123" s="170">
        <f>IF('Tab9'!C8="",'Tab9'!C7,'Tab9'!C8)</f>
        <v>110274.26144282252</v>
      </c>
      <c r="X123" s="170">
        <f>IF('Tab9'!D8="",'Tab9'!D7,'Tab9'!D8)</f>
        <v>130489.07753884791</v>
      </c>
      <c r="Y123" s="170">
        <f>IF('Tab9'!E8="",'Tab9'!E7,'Tab9'!E8)</f>
        <v>131285.51443171315</v>
      </c>
    </row>
    <row r="124" spans="1:25" s="163" customFormat="1" x14ac:dyDescent="0.2">
      <c r="A124" s="166">
        <v>2</v>
      </c>
      <c r="B124" s="166"/>
      <c r="C124" s="166">
        <f>275.5-C123</f>
        <v>131.6</v>
      </c>
      <c r="D124" s="166">
        <f>242.6-D123</f>
        <v>115.69999999999999</v>
      </c>
      <c r="E124" s="166"/>
      <c r="F124" s="166"/>
      <c r="G124" s="166"/>
      <c r="I124" s="171">
        <v>95.1</v>
      </c>
      <c r="J124" s="163">
        <v>2</v>
      </c>
      <c r="L124" s="172">
        <v>17799</v>
      </c>
      <c r="M124" s="171">
        <v>234.8</v>
      </c>
      <c r="N124" s="171">
        <f t="shared" si="4"/>
        <v>374.29737118822294</v>
      </c>
      <c r="O124" s="172">
        <v>6503</v>
      </c>
      <c r="P124" s="171">
        <v>585.30000000000007</v>
      </c>
      <c r="Q124" s="171">
        <f t="shared" si="2"/>
        <v>933.03343848580448</v>
      </c>
      <c r="R124" s="172">
        <v>14642</v>
      </c>
      <c r="S124" s="171">
        <v>220.09999999999997</v>
      </c>
      <c r="T124" s="171">
        <f t="shared" si="3"/>
        <v>350.86393270241848</v>
      </c>
      <c r="V124" s="163" t="s">
        <v>111</v>
      </c>
      <c r="W124" s="170">
        <f>IF('Tab8'!C8="",'Tab8'!C7,'Tab8'!C8)</f>
        <v>154164.24328634961</v>
      </c>
      <c r="X124" s="170">
        <f>IF('Tab8'!D8="",'Tab8'!D7,'Tab8'!D8)</f>
        <v>177509.24782434295</v>
      </c>
      <c r="Y124" s="170">
        <f>IF('Tab8'!E8="",'Tab8'!E7,'Tab8'!E8)</f>
        <v>214593.35876105269</v>
      </c>
    </row>
    <row r="125" spans="1:25" s="163" customFormat="1" x14ac:dyDescent="0.2">
      <c r="A125" s="166">
        <v>3</v>
      </c>
      <c r="B125" s="166"/>
      <c r="C125" s="166">
        <f>387.5-C123-C124</f>
        <v>112</v>
      </c>
      <c r="D125" s="166">
        <f>339.3-D123-D124</f>
        <v>96.700000000000017</v>
      </c>
      <c r="E125" s="166"/>
      <c r="F125" s="166"/>
      <c r="G125" s="166"/>
      <c r="I125" s="171">
        <v>95.5</v>
      </c>
      <c r="J125" s="163">
        <v>3</v>
      </c>
      <c r="L125" s="172">
        <v>16263</v>
      </c>
      <c r="M125" s="171">
        <v>240.00000000000011</v>
      </c>
      <c r="N125" s="171">
        <f t="shared" si="4"/>
        <v>380.98429319371746</v>
      </c>
      <c r="O125" s="172">
        <v>8934</v>
      </c>
      <c r="P125" s="171">
        <v>581.89999999999986</v>
      </c>
      <c r="Q125" s="171">
        <f t="shared" si="2"/>
        <v>923.72816753926679</v>
      </c>
      <c r="R125" s="172">
        <v>17198</v>
      </c>
      <c r="S125" s="171">
        <v>233.2</v>
      </c>
      <c r="T125" s="171">
        <f t="shared" si="3"/>
        <v>370.18973821989528</v>
      </c>
      <c r="V125" s="166" t="s">
        <v>170</v>
      </c>
      <c r="W125" s="170">
        <f>IF('Tab3'!C16="",'Tab3'!C15,'Tab3'!C16)</f>
        <v>39410.456254180601</v>
      </c>
      <c r="X125" s="170">
        <f>IF('Tab3'!D16="",'Tab3'!D15,'Tab3'!D16)</f>
        <v>47104.096671444495</v>
      </c>
      <c r="Y125" s="170">
        <f>IF('Tab3'!E16="",'Tab3'!E15,'Tab3'!E16)</f>
        <v>46862.684981684986</v>
      </c>
    </row>
    <row r="126" spans="1:25" s="163" customFormat="1" x14ac:dyDescent="0.2">
      <c r="A126" s="166">
        <v>4</v>
      </c>
      <c r="B126" s="166"/>
      <c r="C126" s="166">
        <f>520-C123-C124-C125</f>
        <v>132.50000000000003</v>
      </c>
      <c r="D126" s="166">
        <f>452.4-D123-D124-D125</f>
        <v>113.1</v>
      </c>
      <c r="E126" s="166"/>
      <c r="F126" s="166"/>
      <c r="G126" s="166"/>
      <c r="I126" s="171">
        <v>96.3</v>
      </c>
      <c r="J126" s="163">
        <v>4</v>
      </c>
      <c r="L126" s="172">
        <v>16638</v>
      </c>
      <c r="M126" s="171">
        <v>233.40000000000009</v>
      </c>
      <c r="N126" s="171">
        <f t="shared" si="4"/>
        <v>367.42928348909669</v>
      </c>
      <c r="O126" s="172">
        <v>7966</v>
      </c>
      <c r="P126" s="171">
        <v>665.80000000000018</v>
      </c>
      <c r="Q126" s="171">
        <f t="shared" si="2"/>
        <v>1048.1337487019732</v>
      </c>
      <c r="R126" s="172">
        <v>13841</v>
      </c>
      <c r="S126" s="171">
        <v>188.00000000000011</v>
      </c>
      <c r="T126" s="171">
        <f t="shared" si="3"/>
        <v>295.9584631360334</v>
      </c>
    </row>
    <row r="127" spans="1:25" s="163" customFormat="1" x14ac:dyDescent="0.2">
      <c r="A127" s="166">
        <v>1</v>
      </c>
      <c r="B127" s="166">
        <v>1997</v>
      </c>
      <c r="C127" s="166">
        <v>142.6</v>
      </c>
      <c r="D127" s="166">
        <v>124.8</v>
      </c>
      <c r="E127" s="166"/>
      <c r="F127" s="166"/>
      <c r="G127" s="166"/>
      <c r="I127" s="171">
        <v>97.3</v>
      </c>
      <c r="J127" s="163">
        <v>1</v>
      </c>
      <c r="K127" s="163">
        <v>1997</v>
      </c>
      <c r="L127" s="172">
        <v>17837</v>
      </c>
      <c r="M127" s="171">
        <v>255.29999999999998</v>
      </c>
      <c r="N127" s="171">
        <f t="shared" si="4"/>
        <v>397.77471736896194</v>
      </c>
      <c r="O127" s="172">
        <v>7574</v>
      </c>
      <c r="P127" s="171">
        <v>625.70000000000005</v>
      </c>
      <c r="Q127" s="171">
        <f t="shared" si="2"/>
        <v>974.88304213771846</v>
      </c>
      <c r="R127" s="172">
        <v>10571</v>
      </c>
      <c r="S127" s="171">
        <v>187.8</v>
      </c>
      <c r="T127" s="171">
        <f t="shared" si="3"/>
        <v>292.60513874614594</v>
      </c>
      <c r="V127" s="165" t="s">
        <v>182</v>
      </c>
    </row>
    <row r="128" spans="1:25" s="163" customFormat="1" x14ac:dyDescent="0.2">
      <c r="A128" s="166">
        <v>2</v>
      </c>
      <c r="B128" s="166"/>
      <c r="C128" s="166">
        <f>284.4-C127</f>
        <v>141.79999999999998</v>
      </c>
      <c r="D128" s="166">
        <f>247.3-D127</f>
        <v>122.50000000000001</v>
      </c>
      <c r="E128" s="166"/>
      <c r="F128" s="166"/>
      <c r="G128" s="166"/>
      <c r="I128" s="171">
        <v>97.7</v>
      </c>
      <c r="J128" s="163">
        <v>2</v>
      </c>
      <c r="L128" s="172">
        <v>16872</v>
      </c>
      <c r="M128" s="171">
        <v>281.30000000000007</v>
      </c>
      <c r="N128" s="171">
        <f t="shared" si="4"/>
        <v>436.49007164790186</v>
      </c>
      <c r="O128" s="172">
        <v>7284</v>
      </c>
      <c r="P128" s="171">
        <v>664.39999999999986</v>
      </c>
      <c r="Q128" s="171">
        <f t="shared" si="2"/>
        <v>1030.9420675537356</v>
      </c>
      <c r="R128" s="172">
        <v>14837</v>
      </c>
      <c r="S128" s="171">
        <v>224.59999999999997</v>
      </c>
      <c r="T128" s="171">
        <f t="shared" si="3"/>
        <v>348.50931422722613</v>
      </c>
      <c r="W128" s="170" t="str">
        <f>+'Tab3'!C6</f>
        <v>2017</v>
      </c>
      <c r="X128" s="170" t="str">
        <f>+'Tab3'!D6</f>
        <v>2018</v>
      </c>
      <c r="Y128" s="170" t="str">
        <f>+'Tab3'!E6</f>
        <v>2019</v>
      </c>
    </row>
    <row r="129" spans="1:25" s="163" customFormat="1" x14ac:dyDescent="0.2">
      <c r="A129" s="166">
        <v>3</v>
      </c>
      <c r="B129" s="166"/>
      <c r="C129" s="166">
        <f>419.8-C127-C128</f>
        <v>135.40000000000006</v>
      </c>
      <c r="D129" s="166">
        <f>364.6-D127-D128</f>
        <v>117.3</v>
      </c>
      <c r="E129" s="166"/>
      <c r="F129" s="166" t="s">
        <v>74</v>
      </c>
      <c r="G129" s="166"/>
      <c r="I129" s="171">
        <v>97.7</v>
      </c>
      <c r="J129" s="163">
        <v>3</v>
      </c>
      <c r="L129" s="172">
        <v>17873</v>
      </c>
      <c r="M129" s="171">
        <v>297.89999999999998</v>
      </c>
      <c r="N129" s="171">
        <f t="shared" si="4"/>
        <v>462.24810644831109</v>
      </c>
      <c r="O129" s="172">
        <v>14581</v>
      </c>
      <c r="P129" s="171">
        <v>720.30000000000018</v>
      </c>
      <c r="Q129" s="171">
        <f t="shared" si="2"/>
        <v>1117.6814738996932</v>
      </c>
      <c r="R129" s="172">
        <v>15670</v>
      </c>
      <c r="S129" s="171">
        <v>198.80000000000007</v>
      </c>
      <c r="T129" s="171">
        <f t="shared" si="3"/>
        <v>308.47574206755382</v>
      </c>
      <c r="V129" s="166" t="s">
        <v>11</v>
      </c>
      <c r="W129" s="170">
        <f>IF('Tab3'!C30="",'Tab3'!C31,'Tab3'!C32)</f>
        <v>9835.3017456359103</v>
      </c>
      <c r="X129" s="170">
        <f>IF('Tab3'!D30="",'Tab3'!D31,'Tab3'!D32)</f>
        <v>12077.194513715711</v>
      </c>
      <c r="Y129" s="170">
        <f>IF('Tab3'!E30="",'Tab3'!E31,'Tab3'!E32)</f>
        <v>10785.192019950126</v>
      </c>
    </row>
    <row r="130" spans="1:25" s="163" customFormat="1" x14ac:dyDescent="0.2">
      <c r="A130" s="166">
        <v>4</v>
      </c>
      <c r="B130" s="166"/>
      <c r="C130" s="166">
        <f>550.4-C127-C128-C129</f>
        <v>130.59999999999994</v>
      </c>
      <c r="D130" s="166">
        <f>478.3-D127-D128-D129</f>
        <v>113.7</v>
      </c>
      <c r="E130" s="166"/>
      <c r="F130" s="166"/>
      <c r="G130" s="166"/>
      <c r="I130" s="171">
        <v>98.4</v>
      </c>
      <c r="J130" s="163">
        <v>4</v>
      </c>
      <c r="L130" s="172">
        <v>15493</v>
      </c>
      <c r="M130" s="171">
        <v>267.70000000000005</v>
      </c>
      <c r="N130" s="171">
        <f t="shared" si="4"/>
        <v>412.43211382113822</v>
      </c>
      <c r="O130" s="172">
        <v>9445</v>
      </c>
      <c r="P130" s="171">
        <v>564</v>
      </c>
      <c r="Q130" s="171">
        <f t="shared" si="2"/>
        <v>868.92682926829264</v>
      </c>
      <c r="R130" s="172">
        <v>13087</v>
      </c>
      <c r="S130" s="171">
        <v>185.09999999999991</v>
      </c>
      <c r="T130" s="171">
        <f t="shared" si="3"/>
        <v>285.17439024390228</v>
      </c>
      <c r="V130" s="166" t="s">
        <v>12</v>
      </c>
      <c r="W130" s="170">
        <f>IF('Tab3'!C32="",'Tab3'!C33,'Tab3'!C34)</f>
        <v>9480.0519999999997</v>
      </c>
      <c r="X130" s="170">
        <f>IF('Tab3'!D32="",'Tab3'!D33,'Tab3'!D34)</f>
        <v>11145.096</v>
      </c>
      <c r="Y130" s="170">
        <f>IF('Tab3'!E32="",'Tab3'!E33,'Tab3'!E34)</f>
        <v>11204.776</v>
      </c>
    </row>
    <row r="131" spans="1:25" s="163" customFormat="1" x14ac:dyDescent="0.2">
      <c r="A131" s="166">
        <v>1</v>
      </c>
      <c r="B131" s="166">
        <v>1998</v>
      </c>
      <c r="C131" s="166">
        <v>150</v>
      </c>
      <c r="D131" s="166">
        <v>131.9</v>
      </c>
      <c r="E131" s="166"/>
      <c r="F131" s="166" t="s">
        <v>78</v>
      </c>
      <c r="G131" s="166"/>
      <c r="I131" s="171">
        <v>99.3</v>
      </c>
      <c r="J131" s="163">
        <v>1</v>
      </c>
      <c r="K131" s="163">
        <v>1998</v>
      </c>
      <c r="L131" s="172">
        <v>17629</v>
      </c>
      <c r="M131" s="171">
        <v>285</v>
      </c>
      <c r="N131" s="171">
        <f t="shared" si="4"/>
        <v>435.10574018126886</v>
      </c>
      <c r="O131" s="172">
        <v>7614</v>
      </c>
      <c r="P131" s="171">
        <v>599.6</v>
      </c>
      <c r="Q131" s="171">
        <f t="shared" si="2"/>
        <v>915.40140986908364</v>
      </c>
      <c r="R131" s="172">
        <v>11958</v>
      </c>
      <c r="S131" s="171">
        <v>185.4</v>
      </c>
      <c r="T131" s="171">
        <f t="shared" si="3"/>
        <v>283.04773413897283</v>
      </c>
      <c r="V131" s="166" t="s">
        <v>7</v>
      </c>
      <c r="W131" s="170">
        <f>IF('Tab3'!C18="",'Tab3'!C17,'Tab3'!C18)</f>
        <v>10163.02716734694</v>
      </c>
      <c r="X131" s="170">
        <f>IF('Tab3'!D18="",'Tab3'!D17,'Tab3'!D18)</f>
        <v>10868.335804081633</v>
      </c>
      <c r="Y131" s="170">
        <f>IF('Tab3'!E18="",'Tab3'!E17,'Tab3'!E18)</f>
        <v>9550.4275265306132</v>
      </c>
    </row>
    <row r="132" spans="1:25" s="163" customFormat="1" x14ac:dyDescent="0.2">
      <c r="A132" s="166">
        <v>2</v>
      </c>
      <c r="B132" s="166"/>
      <c r="C132" s="166">
        <f>289.8-C131</f>
        <v>139.80000000000001</v>
      </c>
      <c r="D132" s="166">
        <f>253.9-D131</f>
        <v>122</v>
      </c>
      <c r="E132" s="166"/>
      <c r="F132" s="166" t="s">
        <v>79</v>
      </c>
      <c r="G132" s="166" t="s">
        <v>80</v>
      </c>
      <c r="I132" s="171">
        <v>99.7</v>
      </c>
      <c r="J132" s="163">
        <v>2</v>
      </c>
      <c r="L132" s="172">
        <v>14484</v>
      </c>
      <c r="M132" s="171">
        <v>253.5</v>
      </c>
      <c r="N132" s="171">
        <f t="shared" si="4"/>
        <v>385.46238716148446</v>
      </c>
      <c r="O132" s="172">
        <v>6009</v>
      </c>
      <c r="P132" s="171">
        <v>576.9</v>
      </c>
      <c r="Q132" s="171">
        <f t="shared" si="2"/>
        <v>877.21203610832492</v>
      </c>
      <c r="R132" s="172">
        <v>15060</v>
      </c>
      <c r="S132" s="171">
        <v>204.20000000000002</v>
      </c>
      <c r="T132" s="171">
        <f t="shared" si="3"/>
        <v>310.49869608826481</v>
      </c>
      <c r="V132" s="163" t="s">
        <v>113</v>
      </c>
      <c r="W132" s="170">
        <f>IF('Tab10'!C8="",'Tab10'!C7,'Tab10'!C8)</f>
        <v>14731.573261968293</v>
      </c>
      <c r="X132" s="170">
        <f>IF('Tab10'!D8="",'Tab10'!D7,'Tab10'!D8)</f>
        <v>18679.167529953433</v>
      </c>
      <c r="Y132" s="170">
        <f>IF('Tab10'!E8="",'Tab10'!E7,'Tab10'!E8)</f>
        <v>16571.543347459843</v>
      </c>
    </row>
    <row r="133" spans="1:25" s="163" customFormat="1" x14ac:dyDescent="0.2">
      <c r="A133" s="166">
        <v>3</v>
      </c>
      <c r="B133" s="166"/>
      <c r="C133" s="166">
        <f>+E133-C131-C132</f>
        <v>128.09999999999997</v>
      </c>
      <c r="D133" s="166">
        <f>+G133-D131-D132</f>
        <v>112.1</v>
      </c>
      <c r="E133" s="166">
        <v>417.9</v>
      </c>
      <c r="G133" s="166">
        <v>366</v>
      </c>
      <c r="I133" s="175">
        <v>99.8</v>
      </c>
      <c r="J133" s="163">
        <v>3</v>
      </c>
      <c r="L133" s="172">
        <v>15693</v>
      </c>
      <c r="M133" s="171">
        <v>257.89999999999998</v>
      </c>
      <c r="N133" s="171">
        <f t="shared" si="4"/>
        <v>391.7599198396793</v>
      </c>
      <c r="O133" s="172">
        <v>8328</v>
      </c>
      <c r="P133" s="171">
        <v>432.80000000000018</v>
      </c>
      <c r="Q133" s="171">
        <f t="shared" si="2"/>
        <v>657.43967935871774</v>
      </c>
      <c r="R133" s="172">
        <v>17098</v>
      </c>
      <c r="S133" s="171">
        <v>209.60000000000002</v>
      </c>
      <c r="T133" s="171">
        <f t="shared" si="3"/>
        <v>318.39038076152309</v>
      </c>
      <c r="V133" s="166" t="s">
        <v>9</v>
      </c>
      <c r="W133" s="170">
        <f>IF('Tab3'!C22="",'Tab3'!C21,'Tab3'!C22)</f>
        <v>23196.560000000001</v>
      </c>
      <c r="X133" s="170">
        <f>IF('Tab3'!D22="",'Tab3'!D21,'Tab3'!D22)</f>
        <v>24026.283333333333</v>
      </c>
      <c r="Y133" s="170">
        <f>IF('Tab3'!E22="",'Tab3'!E21,'Tab3'!E22)</f>
        <v>27254.799999999999</v>
      </c>
    </row>
    <row r="134" spans="1:25" s="163" customFormat="1" x14ac:dyDescent="0.2">
      <c r="A134" s="166">
        <v>4</v>
      </c>
      <c r="B134" s="166"/>
      <c r="C134" s="166">
        <f>+E134-E133</f>
        <v>141.80000000000007</v>
      </c>
      <c r="D134" s="166">
        <f>+G134-G133</f>
        <v>125.60000000000002</v>
      </c>
      <c r="E134" s="166">
        <v>559.70000000000005</v>
      </c>
      <c r="G134" s="166">
        <v>491.6</v>
      </c>
      <c r="I134" s="175">
        <v>100.7</v>
      </c>
      <c r="J134" s="163">
        <v>4</v>
      </c>
      <c r="L134" s="172">
        <v>16502</v>
      </c>
      <c r="M134" s="171">
        <v>299.10000000000002</v>
      </c>
      <c r="N134" s="171">
        <f t="shared" si="4"/>
        <v>450.28361469712013</v>
      </c>
      <c r="O134" s="172">
        <v>7526</v>
      </c>
      <c r="P134" s="171">
        <v>738.59999999999945</v>
      </c>
      <c r="Q134" s="171">
        <f t="shared" si="2"/>
        <v>1111.934061569016</v>
      </c>
      <c r="R134" s="172">
        <v>14647</v>
      </c>
      <c r="S134" s="171">
        <v>205.79999999999995</v>
      </c>
      <c r="T134" s="171">
        <f t="shared" si="3"/>
        <v>309.82403177755702</v>
      </c>
    </row>
    <row r="135" spans="1:25" s="163" customFormat="1" x14ac:dyDescent="0.2">
      <c r="A135" s="166">
        <v>1</v>
      </c>
      <c r="B135" s="166">
        <v>1999</v>
      </c>
      <c r="C135" s="166">
        <f>+E135</f>
        <v>154.19999999999999</v>
      </c>
      <c r="D135" s="166">
        <f>+G135</f>
        <v>137.1</v>
      </c>
      <c r="E135" s="166">
        <v>154.19999999999999</v>
      </c>
      <c r="G135" s="166">
        <v>137.1</v>
      </c>
      <c r="I135" s="175">
        <v>101.4</v>
      </c>
      <c r="J135" s="163">
        <v>1</v>
      </c>
      <c r="K135" s="163">
        <v>1999</v>
      </c>
      <c r="L135" s="172">
        <v>18095</v>
      </c>
      <c r="M135" s="171">
        <v>328.50000000000006</v>
      </c>
      <c r="N135" s="171">
        <f t="shared" si="4"/>
        <v>491.13017751479293</v>
      </c>
      <c r="O135" s="172">
        <v>8863</v>
      </c>
      <c r="P135" s="171">
        <v>689.1</v>
      </c>
      <c r="Q135" s="171">
        <f t="shared" si="2"/>
        <v>1030.2520710059171</v>
      </c>
      <c r="R135" s="172">
        <v>11175</v>
      </c>
      <c r="S135" s="171">
        <v>162.80000000000001</v>
      </c>
      <c r="T135" s="171">
        <f t="shared" si="3"/>
        <v>243.3972386587771</v>
      </c>
    </row>
    <row r="136" spans="1:25" s="163" customFormat="1" x14ac:dyDescent="0.2">
      <c r="A136" s="166">
        <v>2</v>
      </c>
      <c r="B136" s="166"/>
      <c r="C136" s="166">
        <f>+E136-E135</f>
        <v>159.30000000000001</v>
      </c>
      <c r="D136" s="166">
        <f>+G136-G135</f>
        <v>140.70000000000002</v>
      </c>
      <c r="E136" s="166">
        <v>313.5</v>
      </c>
      <c r="G136" s="166">
        <v>277.8</v>
      </c>
      <c r="I136" s="175">
        <v>102.2</v>
      </c>
      <c r="J136" s="163">
        <v>2</v>
      </c>
      <c r="L136" s="172">
        <v>12899</v>
      </c>
      <c r="M136" s="171">
        <v>332.7</v>
      </c>
      <c r="N136" s="171">
        <f t="shared" si="4"/>
        <v>493.5158512720156</v>
      </c>
      <c r="O136" s="172">
        <v>5920</v>
      </c>
      <c r="P136" s="171">
        <v>874.6</v>
      </c>
      <c r="Q136" s="171">
        <f t="shared" si="2"/>
        <v>1297.3518590998042</v>
      </c>
      <c r="R136" s="172">
        <v>12451</v>
      </c>
      <c r="S136" s="171">
        <v>199.09999999999997</v>
      </c>
      <c r="T136" s="171">
        <f t="shared" si="3"/>
        <v>295.33816046966729</v>
      </c>
    </row>
    <row r="137" spans="1:25" s="163" customFormat="1" x14ac:dyDescent="0.2">
      <c r="A137" s="166">
        <v>3</v>
      </c>
      <c r="B137" s="166"/>
      <c r="C137" s="166">
        <f>+E137-E136</f>
        <v>146.30000000000001</v>
      </c>
      <c r="D137" s="166">
        <f>+G137-G136</f>
        <v>128.69999999999999</v>
      </c>
      <c r="E137" s="166">
        <v>459.8</v>
      </c>
      <c r="G137" s="166">
        <v>406.5</v>
      </c>
      <c r="I137" s="175">
        <v>101.7</v>
      </c>
      <c r="J137" s="163">
        <v>3</v>
      </c>
      <c r="L137" s="172">
        <v>23305</v>
      </c>
      <c r="M137" s="171">
        <v>445.5</v>
      </c>
      <c r="N137" s="171">
        <f t="shared" si="4"/>
        <v>664.08849557522115</v>
      </c>
      <c r="O137" s="172">
        <v>11181</v>
      </c>
      <c r="P137" s="171">
        <v>566.99999999999977</v>
      </c>
      <c r="Q137" s="171">
        <f t="shared" si="2"/>
        <v>845.20353982300844</v>
      </c>
      <c r="R137" s="172">
        <v>18817</v>
      </c>
      <c r="S137" s="171">
        <v>227.70000000000005</v>
      </c>
      <c r="T137" s="171">
        <f t="shared" si="3"/>
        <v>339.42300884955762</v>
      </c>
    </row>
    <row r="138" spans="1:25" s="163" customFormat="1" x14ac:dyDescent="0.2">
      <c r="A138" s="166">
        <v>4</v>
      </c>
      <c r="B138" s="166"/>
      <c r="C138" s="166">
        <f>+E138-E137</f>
        <v>141.90000000000003</v>
      </c>
      <c r="D138" s="166">
        <f>+G138-G137</f>
        <v>126.39999999999998</v>
      </c>
      <c r="E138" s="166">
        <v>601.70000000000005</v>
      </c>
      <c r="G138" s="166">
        <v>532.9</v>
      </c>
      <c r="I138" s="171">
        <v>103.5</v>
      </c>
      <c r="J138" s="163">
        <v>4</v>
      </c>
      <c r="L138" s="172">
        <v>18359</v>
      </c>
      <c r="M138" s="171">
        <v>410.59999999999968</v>
      </c>
      <c r="N138" s="171">
        <f t="shared" si="4"/>
        <v>601.41990338164203</v>
      </c>
      <c r="O138" s="172">
        <v>9544</v>
      </c>
      <c r="P138" s="171">
        <v>935.5</v>
      </c>
      <c r="Q138" s="171">
        <f t="shared" si="2"/>
        <v>1370.2589371980675</v>
      </c>
      <c r="R138" s="172">
        <v>13692</v>
      </c>
      <c r="S138" s="171">
        <v>192.19999999999993</v>
      </c>
      <c r="T138" s="171">
        <f t="shared" si="3"/>
        <v>281.52193236714965</v>
      </c>
    </row>
    <row r="139" spans="1:25" s="163" customFormat="1" x14ac:dyDescent="0.2">
      <c r="A139" s="166">
        <v>1</v>
      </c>
      <c r="B139" s="166">
        <v>2000</v>
      </c>
      <c r="C139" s="166">
        <f>+E139</f>
        <v>169.1</v>
      </c>
      <c r="D139" s="166">
        <f>+G139</f>
        <v>150.9</v>
      </c>
      <c r="E139" s="166">
        <v>169.1</v>
      </c>
      <c r="G139" s="166">
        <v>150.9</v>
      </c>
      <c r="I139" s="171">
        <v>104.6</v>
      </c>
      <c r="J139" s="163">
        <v>1</v>
      </c>
      <c r="K139" s="163">
        <v>2000</v>
      </c>
      <c r="L139" s="172">
        <v>17570</v>
      </c>
      <c r="M139" s="171">
        <v>345.9</v>
      </c>
      <c r="N139" s="171">
        <f t="shared" si="4"/>
        <v>501.32351816443594</v>
      </c>
      <c r="O139" s="172">
        <v>9154</v>
      </c>
      <c r="P139" s="171">
        <v>819.9</v>
      </c>
      <c r="Q139" s="171">
        <f t="shared" si="2"/>
        <v>1188.3063097514341</v>
      </c>
      <c r="R139" s="172">
        <v>12421</v>
      </c>
      <c r="S139" s="171">
        <v>198</v>
      </c>
      <c r="T139" s="171">
        <f t="shared" si="3"/>
        <v>286.96749521988528</v>
      </c>
    </row>
    <row r="140" spans="1:25" s="163" customFormat="1" x14ac:dyDescent="0.2">
      <c r="A140" s="166">
        <v>2</v>
      </c>
      <c r="B140" s="166"/>
      <c r="C140" s="166">
        <f>+E140-E139</f>
        <v>151.50000000000003</v>
      </c>
      <c r="D140" s="166">
        <f>+G140-G139</f>
        <v>133.4</v>
      </c>
      <c r="E140" s="166">
        <v>320.60000000000002</v>
      </c>
      <c r="G140" s="166">
        <v>284.3</v>
      </c>
      <c r="I140" s="171">
        <v>105.1</v>
      </c>
      <c r="J140" s="163">
        <v>2</v>
      </c>
      <c r="L140" s="172">
        <v>14069</v>
      </c>
      <c r="M140" s="171">
        <v>252.39999999999998</v>
      </c>
      <c r="N140" s="171">
        <f t="shared" si="4"/>
        <v>364.07078972407231</v>
      </c>
      <c r="O140" s="172">
        <v>10238</v>
      </c>
      <c r="P140" s="171">
        <v>674.19999999999993</v>
      </c>
      <c r="Q140" s="171">
        <f t="shared" si="2"/>
        <v>972.49019980970502</v>
      </c>
      <c r="R140" s="172">
        <v>13950</v>
      </c>
      <c r="S140" s="171">
        <v>184.5</v>
      </c>
      <c r="T140" s="171">
        <f t="shared" si="3"/>
        <v>266.12940057088485</v>
      </c>
    </row>
    <row r="141" spans="1:25" s="163" customFormat="1" x14ac:dyDescent="0.2">
      <c r="A141" s="166">
        <v>3</v>
      </c>
      <c r="B141" s="166"/>
      <c r="C141" s="166">
        <f>+E141-E140</f>
        <v>139</v>
      </c>
      <c r="D141" s="166">
        <f>+G141-G140</f>
        <v>123.5</v>
      </c>
      <c r="E141" s="166">
        <v>459.6</v>
      </c>
      <c r="G141" s="166">
        <v>407.8</v>
      </c>
      <c r="I141" s="171">
        <v>105.3</v>
      </c>
      <c r="J141" s="163">
        <v>3</v>
      </c>
      <c r="L141" s="172">
        <v>16329</v>
      </c>
      <c r="M141" s="171">
        <v>313.5</v>
      </c>
      <c r="N141" s="171">
        <f t="shared" si="4"/>
        <v>451.34472934472933</v>
      </c>
      <c r="O141" s="172">
        <v>13877</v>
      </c>
      <c r="P141" s="171">
        <v>706.20000000000027</v>
      </c>
      <c r="Q141" s="171">
        <f t="shared" si="2"/>
        <v>1016.7133903133906</v>
      </c>
      <c r="R141" s="172">
        <v>14850</v>
      </c>
      <c r="S141" s="171">
        <v>193.89999999999998</v>
      </c>
      <c r="T141" s="171">
        <f t="shared" si="3"/>
        <v>279.15707502374164</v>
      </c>
    </row>
    <row r="142" spans="1:25" s="163" customFormat="1" x14ac:dyDescent="0.2">
      <c r="A142" s="166">
        <v>4</v>
      </c>
      <c r="B142" s="166"/>
      <c r="C142" s="166">
        <f>+E142-E141</f>
        <v>135.10000000000002</v>
      </c>
      <c r="D142" s="166">
        <f>+G142-G141</f>
        <v>121.40000000000003</v>
      </c>
      <c r="E142" s="166">
        <v>594.70000000000005</v>
      </c>
      <c r="G142" s="166">
        <v>529.20000000000005</v>
      </c>
      <c r="I142" s="171">
        <v>106.8</v>
      </c>
      <c r="J142" s="163">
        <v>4</v>
      </c>
      <c r="L142" s="172">
        <v>21735</v>
      </c>
      <c r="M142" s="171">
        <v>484.79999999999995</v>
      </c>
      <c r="N142" s="171">
        <f t="shared" si="4"/>
        <v>688.16179775280887</v>
      </c>
      <c r="O142" s="172">
        <v>9978</v>
      </c>
      <c r="P142" s="171">
        <v>739.19999999999982</v>
      </c>
      <c r="Q142" s="171">
        <f t="shared" si="2"/>
        <v>1049.2764044943817</v>
      </c>
      <c r="R142" s="172">
        <v>13212</v>
      </c>
      <c r="S142" s="171">
        <v>215</v>
      </c>
      <c r="T142" s="171">
        <f t="shared" si="3"/>
        <v>305.18726591760299</v>
      </c>
    </row>
    <row r="143" spans="1:25" s="163" customFormat="1" x14ac:dyDescent="0.2">
      <c r="A143" s="166">
        <v>1</v>
      </c>
      <c r="B143" s="166">
        <v>2001</v>
      </c>
      <c r="C143" s="166">
        <f>+E143</f>
        <v>158.5</v>
      </c>
      <c r="D143" s="166">
        <f>+G143</f>
        <v>143.1</v>
      </c>
      <c r="E143" s="166">
        <v>158.5</v>
      </c>
      <c r="G143" s="166">
        <v>143.1</v>
      </c>
      <c r="I143" s="171">
        <v>108.4</v>
      </c>
      <c r="J143" s="163">
        <v>1</v>
      </c>
      <c r="K143" s="163">
        <v>2001</v>
      </c>
      <c r="L143" s="172">
        <v>27280</v>
      </c>
      <c r="M143" s="171">
        <v>675.3</v>
      </c>
      <c r="N143" s="171">
        <f t="shared" si="4"/>
        <v>944.42324723247214</v>
      </c>
      <c r="O143" s="172">
        <v>7776</v>
      </c>
      <c r="P143" s="171">
        <v>877</v>
      </c>
      <c r="Q143" s="171">
        <f t="shared" si="2"/>
        <v>1226.5055350553503</v>
      </c>
      <c r="R143" s="172">
        <v>10538</v>
      </c>
      <c r="S143" s="171">
        <v>164.1</v>
      </c>
      <c r="T143" s="171">
        <f t="shared" si="3"/>
        <v>229.49778597785976</v>
      </c>
    </row>
    <row r="144" spans="1:25" s="163" customFormat="1" x14ac:dyDescent="0.2">
      <c r="A144" s="166">
        <v>2</v>
      </c>
      <c r="B144" s="166"/>
      <c r="C144" s="166">
        <f>+E144-E143</f>
        <v>140.45999999999998</v>
      </c>
      <c r="D144" s="166">
        <f>+G144-G143</f>
        <v>125.70000000000002</v>
      </c>
      <c r="E144" s="166">
        <v>298.95999999999998</v>
      </c>
      <c r="G144" s="166">
        <v>268.8</v>
      </c>
      <c r="I144" s="171">
        <v>109.6</v>
      </c>
      <c r="J144" s="163">
        <v>2</v>
      </c>
      <c r="L144" s="172">
        <v>17111</v>
      </c>
      <c r="M144" s="171">
        <v>452</v>
      </c>
      <c r="N144" s="171">
        <f t="shared" si="4"/>
        <v>625.21167883211683</v>
      </c>
      <c r="O144" s="172">
        <v>5711</v>
      </c>
      <c r="P144" s="171">
        <v>923</v>
      </c>
      <c r="Q144" s="171">
        <f t="shared" si="2"/>
        <v>1276.7043795620436</v>
      </c>
      <c r="R144" s="172">
        <v>11841</v>
      </c>
      <c r="S144" s="171">
        <v>190.29999999999998</v>
      </c>
      <c r="T144" s="171">
        <f t="shared" si="3"/>
        <v>263.2251824817518</v>
      </c>
    </row>
    <row r="145" spans="1:20" s="163" customFormat="1" x14ac:dyDescent="0.2">
      <c r="A145" s="166">
        <v>3</v>
      </c>
      <c r="C145" s="166">
        <f>+E145-E144</f>
        <v>134.24</v>
      </c>
      <c r="D145" s="166">
        <f>+G145-G144</f>
        <v>119.19999999999999</v>
      </c>
      <c r="E145" s="166">
        <v>433.2</v>
      </c>
      <c r="G145" s="166">
        <v>388</v>
      </c>
      <c r="I145" s="171">
        <v>108.1</v>
      </c>
      <c r="J145" s="163">
        <v>3</v>
      </c>
      <c r="L145" s="172">
        <v>16407</v>
      </c>
      <c r="M145" s="171">
        <v>400.40000000000009</v>
      </c>
      <c r="N145" s="171">
        <f t="shared" si="4"/>
        <v>561.52303422756722</v>
      </c>
      <c r="O145" s="172">
        <v>15359</v>
      </c>
      <c r="P145" s="171">
        <v>1172.1999999999998</v>
      </c>
      <c r="Q145" s="171">
        <f t="shared" si="2"/>
        <v>1643.8993524514337</v>
      </c>
      <c r="R145" s="172">
        <v>13534</v>
      </c>
      <c r="S145" s="171">
        <v>158.5</v>
      </c>
      <c r="T145" s="171">
        <f t="shared" si="3"/>
        <v>222.28122109158187</v>
      </c>
    </row>
    <row r="146" spans="1:20" s="163" customFormat="1" x14ac:dyDescent="0.2">
      <c r="A146" s="166">
        <v>4</v>
      </c>
      <c r="C146" s="166">
        <f>+E146-E145</f>
        <v>137.49520000000001</v>
      </c>
      <c r="D146" s="166">
        <f>+G146-G145</f>
        <v>124.07220000000007</v>
      </c>
      <c r="E146" s="174">
        <v>570.6952</v>
      </c>
      <c r="F146" s="179"/>
      <c r="G146" s="174">
        <v>512.07220000000007</v>
      </c>
      <c r="I146" s="171">
        <v>108.7</v>
      </c>
      <c r="J146" s="163">
        <v>4</v>
      </c>
      <c r="L146" s="172">
        <v>16945</v>
      </c>
      <c r="M146" s="171">
        <v>509.39999999999986</v>
      </c>
      <c r="N146" s="171">
        <f t="shared" si="4"/>
        <v>710.44195032198684</v>
      </c>
      <c r="O146" s="172">
        <v>9601</v>
      </c>
      <c r="P146" s="171">
        <v>803.30000000000018</v>
      </c>
      <c r="Q146" s="171">
        <f t="shared" si="2"/>
        <v>1120.3337626494942</v>
      </c>
      <c r="R146" s="172">
        <v>12341</v>
      </c>
      <c r="S146" s="171">
        <v>258.5</v>
      </c>
      <c r="T146" s="171">
        <f t="shared" si="3"/>
        <v>360.52069917203306</v>
      </c>
    </row>
    <row r="147" spans="1:20" s="163" customFormat="1" x14ac:dyDescent="0.2">
      <c r="A147" s="166">
        <v>1</v>
      </c>
      <c r="B147" s="166">
        <v>2002</v>
      </c>
      <c r="C147" s="166">
        <f>+E147</f>
        <v>155.81399999999999</v>
      </c>
      <c r="D147" s="166">
        <f>+G147</f>
        <v>141.72399999999999</v>
      </c>
      <c r="E147" s="174">
        <v>155.81399999999999</v>
      </c>
      <c r="F147" s="179"/>
      <c r="G147" s="174">
        <v>141.72399999999999</v>
      </c>
      <c r="I147" s="171">
        <v>109.3</v>
      </c>
      <c r="J147" s="163">
        <v>1</v>
      </c>
      <c r="K147" s="163">
        <v>2002</v>
      </c>
      <c r="L147" s="172">
        <v>17523</v>
      </c>
      <c r="M147" s="171">
        <v>466.5</v>
      </c>
      <c r="N147" s="171">
        <f t="shared" si="4"/>
        <v>647.03934126258002</v>
      </c>
      <c r="O147" s="172">
        <v>6856</v>
      </c>
      <c r="P147" s="171">
        <v>820.40000000000009</v>
      </c>
      <c r="Q147" s="171">
        <f t="shared" si="2"/>
        <v>1137.9015553522418</v>
      </c>
      <c r="R147" s="172">
        <v>9371</v>
      </c>
      <c r="S147" s="171">
        <v>197.9</v>
      </c>
      <c r="T147" s="171">
        <f t="shared" si="3"/>
        <v>274.48892955169259</v>
      </c>
    </row>
    <row r="148" spans="1:20" s="163" customFormat="1" x14ac:dyDescent="0.2">
      <c r="A148" s="166">
        <v>2</v>
      </c>
      <c r="B148" s="166"/>
      <c r="C148" s="166">
        <f>+E148-E147</f>
        <v>146.54300000000003</v>
      </c>
      <c r="D148" s="166">
        <f>+G148-G147</f>
        <v>133.19</v>
      </c>
      <c r="E148" s="166">
        <v>302.35700000000003</v>
      </c>
      <c r="G148" s="166">
        <v>274.91399999999999</v>
      </c>
      <c r="I148" s="171">
        <v>110</v>
      </c>
      <c r="J148" s="163">
        <v>2</v>
      </c>
      <c r="L148" s="172">
        <v>17469</v>
      </c>
      <c r="M148" s="171">
        <v>408.5</v>
      </c>
      <c r="N148" s="171">
        <f t="shared" si="4"/>
        <v>562.98727272727274</v>
      </c>
      <c r="O148" s="172">
        <v>9323</v>
      </c>
      <c r="P148" s="171">
        <v>689.09999999999991</v>
      </c>
      <c r="Q148" s="171">
        <f t="shared" si="2"/>
        <v>949.7050909090907</v>
      </c>
      <c r="R148" s="172">
        <v>14749</v>
      </c>
      <c r="S148" s="171">
        <v>233.49999999999997</v>
      </c>
      <c r="T148" s="171">
        <f t="shared" si="3"/>
        <v>321.8054545454545</v>
      </c>
    </row>
    <row r="149" spans="1:20" s="163" customFormat="1" x14ac:dyDescent="0.2">
      <c r="A149" s="166">
        <v>3</v>
      </c>
      <c r="C149" s="166">
        <f>+E149-E148</f>
        <v>146.23099999999999</v>
      </c>
      <c r="D149" s="166">
        <f>+G149-G148</f>
        <v>127.14100000000002</v>
      </c>
      <c r="E149" s="166">
        <v>448.58800000000002</v>
      </c>
      <c r="G149" s="166">
        <v>402.05500000000001</v>
      </c>
      <c r="I149" s="171">
        <v>109.6</v>
      </c>
      <c r="J149" s="163">
        <v>3</v>
      </c>
      <c r="L149" s="172">
        <v>19641</v>
      </c>
      <c r="M149" s="171">
        <v>503</v>
      </c>
      <c r="N149" s="171">
        <f t="shared" si="4"/>
        <v>695.75547445255472</v>
      </c>
      <c r="O149" s="172">
        <v>17422</v>
      </c>
      <c r="P149" s="171">
        <v>895.90000000000009</v>
      </c>
      <c r="Q149" s="171">
        <f t="shared" si="2"/>
        <v>1239.2193430656935</v>
      </c>
      <c r="R149" s="172">
        <v>14722</v>
      </c>
      <c r="S149" s="171">
        <v>184.5</v>
      </c>
      <c r="T149" s="171">
        <f t="shared" si="3"/>
        <v>255.20255474452557</v>
      </c>
    </row>
    <row r="150" spans="1:20" s="163" customFormat="1" x14ac:dyDescent="0.2">
      <c r="A150" s="166">
        <v>4</v>
      </c>
      <c r="C150" s="166">
        <f>+E150-E149</f>
        <v>137.96699999999993</v>
      </c>
      <c r="D150" s="166">
        <f>+G150-G149</f>
        <v>124.64100000000002</v>
      </c>
      <c r="E150" s="174">
        <v>586.55499999999995</v>
      </c>
      <c r="F150" s="179"/>
      <c r="G150" s="174">
        <v>526.69600000000003</v>
      </c>
      <c r="I150" s="171">
        <v>111</v>
      </c>
      <c r="J150" s="163">
        <v>4</v>
      </c>
      <c r="L150" s="172">
        <v>17442</v>
      </c>
      <c r="M150" s="171">
        <v>464.20000000000005</v>
      </c>
      <c r="N150" s="171">
        <f t="shared" si="4"/>
        <v>633.98846846846845</v>
      </c>
      <c r="O150" s="172">
        <v>8123</v>
      </c>
      <c r="P150" s="171">
        <v>938.5</v>
      </c>
      <c r="Q150" s="171">
        <f t="shared" si="2"/>
        <v>1281.7711711711711</v>
      </c>
      <c r="R150" s="172">
        <v>14689</v>
      </c>
      <c r="S150" s="171">
        <v>194.00000000000011</v>
      </c>
      <c r="T150" s="171">
        <f t="shared" si="3"/>
        <v>264.95855855855871</v>
      </c>
    </row>
    <row r="151" spans="1:20" s="163" customFormat="1" x14ac:dyDescent="0.2">
      <c r="A151" s="166">
        <v>1</v>
      </c>
      <c r="B151" s="166">
        <v>2003</v>
      </c>
      <c r="C151" s="174">
        <f>+E151</f>
        <v>165.679</v>
      </c>
      <c r="D151" s="166">
        <f>+G151</f>
        <v>150.81100000000001</v>
      </c>
      <c r="E151" s="174">
        <v>165.679</v>
      </c>
      <c r="F151" s="179"/>
      <c r="G151" s="174">
        <v>150.81100000000001</v>
      </c>
      <c r="I151" s="171">
        <v>114.6</v>
      </c>
      <c r="J151" s="163">
        <v>1</v>
      </c>
      <c r="K151" s="163">
        <v>2003</v>
      </c>
      <c r="L151" s="172">
        <v>22781</v>
      </c>
      <c r="M151" s="171">
        <v>626.79999999999995</v>
      </c>
      <c r="N151" s="171">
        <f t="shared" si="4"/>
        <v>829.16998254799296</v>
      </c>
      <c r="O151" s="172">
        <v>6823</v>
      </c>
      <c r="P151" s="171">
        <v>1087.2</v>
      </c>
      <c r="Q151" s="171">
        <f t="shared" si="2"/>
        <v>1438.2157068062827</v>
      </c>
      <c r="R151" s="172">
        <v>10626</v>
      </c>
      <c r="S151" s="171">
        <v>183</v>
      </c>
      <c r="T151" s="171">
        <f t="shared" si="3"/>
        <v>242.08376963350784</v>
      </c>
    </row>
    <row r="152" spans="1:20" s="163" customFormat="1" x14ac:dyDescent="0.2">
      <c r="A152" s="166">
        <v>2</v>
      </c>
      <c r="B152" s="166"/>
      <c r="C152" s="174">
        <f>+E152-E151</f>
        <v>135.02099999999999</v>
      </c>
      <c r="D152" s="166">
        <f>+G152-G151</f>
        <v>121.10099999999997</v>
      </c>
      <c r="E152" s="166">
        <v>300.7</v>
      </c>
      <c r="G152" s="166">
        <v>271.91199999999998</v>
      </c>
      <c r="I152" s="171">
        <v>112.3</v>
      </c>
      <c r="J152" s="163">
        <v>2</v>
      </c>
      <c r="L152" s="172">
        <v>15417</v>
      </c>
      <c r="M152" s="171">
        <v>406.10000000000014</v>
      </c>
      <c r="N152" s="171">
        <f t="shared" si="4"/>
        <v>548.21691896705272</v>
      </c>
      <c r="O152" s="172">
        <v>5618</v>
      </c>
      <c r="P152" s="171">
        <v>817.8</v>
      </c>
      <c r="Q152" s="171">
        <f t="shared" si="2"/>
        <v>1103.9935886019589</v>
      </c>
      <c r="R152" s="172">
        <v>12719</v>
      </c>
      <c r="S152" s="171">
        <v>203.2</v>
      </c>
      <c r="T152" s="171">
        <f t="shared" si="3"/>
        <v>274.31095280498664</v>
      </c>
    </row>
    <row r="153" spans="1:20" s="163" customFormat="1" x14ac:dyDescent="0.2">
      <c r="A153" s="166">
        <v>3</v>
      </c>
      <c r="B153" s="166"/>
      <c r="C153" s="174">
        <f>+E153-E152</f>
        <v>134.11099999999999</v>
      </c>
      <c r="D153" s="166">
        <f>+G153-G152</f>
        <v>119.49100000000004</v>
      </c>
      <c r="E153" s="166">
        <v>434.81099999999998</v>
      </c>
      <c r="G153" s="166">
        <v>391.40300000000002</v>
      </c>
      <c r="I153" s="171">
        <v>111.9</v>
      </c>
      <c r="J153" s="163">
        <v>3</v>
      </c>
      <c r="L153" s="172">
        <v>18848</v>
      </c>
      <c r="M153" s="171">
        <v>430.5</v>
      </c>
      <c r="N153" s="171">
        <f t="shared" si="4"/>
        <v>583.23324396782834</v>
      </c>
      <c r="O153" s="172">
        <v>16056</v>
      </c>
      <c r="P153" s="171">
        <v>860.19999999999982</v>
      </c>
      <c r="Q153" s="171">
        <f t="shared" si="2"/>
        <v>1165.3826630920462</v>
      </c>
      <c r="R153" s="172">
        <v>13690</v>
      </c>
      <c r="S153" s="171">
        <v>188.8</v>
      </c>
      <c r="T153" s="171">
        <f t="shared" si="3"/>
        <v>255.78266309204645</v>
      </c>
    </row>
    <row r="154" spans="1:20" s="163" customFormat="1" x14ac:dyDescent="0.2">
      <c r="A154" s="166">
        <v>4</v>
      </c>
      <c r="B154" s="166"/>
      <c r="C154" s="174">
        <f>+E154-E153</f>
        <v>142.01299999999998</v>
      </c>
      <c r="D154" s="166">
        <f>+G154-G153</f>
        <v>125.95899999999995</v>
      </c>
      <c r="E154" s="166">
        <v>576.82399999999996</v>
      </c>
      <c r="G154" s="166">
        <v>517.36199999999997</v>
      </c>
      <c r="I154" s="171">
        <v>112.6</v>
      </c>
      <c r="J154" s="163">
        <v>4</v>
      </c>
      <c r="L154" s="172">
        <v>16096</v>
      </c>
      <c r="M154" s="171">
        <v>471.89999999999986</v>
      </c>
      <c r="N154" s="171">
        <f t="shared" si="4"/>
        <v>635.34671403197137</v>
      </c>
      <c r="O154" s="172">
        <v>7652</v>
      </c>
      <c r="P154" s="171">
        <v>762.30000000000018</v>
      </c>
      <c r="Q154" s="171">
        <f t="shared" si="2"/>
        <v>1026.3293072824158</v>
      </c>
      <c r="R154" s="172">
        <v>11607</v>
      </c>
      <c r="S154" s="171">
        <v>220.90000000000009</v>
      </c>
      <c r="T154" s="171">
        <f t="shared" si="3"/>
        <v>297.4106571936058</v>
      </c>
    </row>
    <row r="155" spans="1:20" s="163" customFormat="1" x14ac:dyDescent="0.2">
      <c r="A155" s="166">
        <v>1</v>
      </c>
      <c r="B155" s="166">
        <v>2004</v>
      </c>
      <c r="C155" s="174">
        <f>+E155</f>
        <v>168.309</v>
      </c>
      <c r="D155" s="166">
        <f>+G155</f>
        <v>153.04300000000001</v>
      </c>
      <c r="E155" s="166">
        <v>168.309</v>
      </c>
      <c r="G155" s="166">
        <v>153.04300000000001</v>
      </c>
      <c r="I155" s="171">
        <v>112.6</v>
      </c>
      <c r="J155" s="163">
        <v>1</v>
      </c>
      <c r="K155" s="163">
        <v>2004</v>
      </c>
      <c r="L155" s="172">
        <v>17805</v>
      </c>
      <c r="M155" s="171">
        <v>517.69999999999993</v>
      </c>
      <c r="N155" s="171">
        <f t="shared" si="4"/>
        <v>697.0099467140318</v>
      </c>
      <c r="O155" s="172">
        <v>7033</v>
      </c>
      <c r="P155" s="171">
        <v>735.2</v>
      </c>
      <c r="Q155" s="171">
        <f t="shared" si="2"/>
        <v>989.84298401420972</v>
      </c>
      <c r="R155" s="172">
        <v>8913</v>
      </c>
      <c r="S155" s="171">
        <v>178.89999999999998</v>
      </c>
      <c r="T155" s="171">
        <f t="shared" si="3"/>
        <v>240.8635879218472</v>
      </c>
    </row>
    <row r="156" spans="1:20" s="163" customFormat="1" x14ac:dyDescent="0.2">
      <c r="A156" s="166">
        <v>2</v>
      </c>
      <c r="B156" s="166"/>
      <c r="C156" s="174">
        <f>+E156-E155</f>
        <v>140.26700000000002</v>
      </c>
      <c r="D156" s="166">
        <f>+G156-G155</f>
        <v>125.56799999999998</v>
      </c>
      <c r="E156" s="166">
        <v>308.57600000000002</v>
      </c>
      <c r="G156" s="166">
        <v>278.61099999999999</v>
      </c>
      <c r="I156" s="171">
        <v>113.4</v>
      </c>
      <c r="J156" s="163">
        <v>2</v>
      </c>
      <c r="L156" s="172">
        <v>13855</v>
      </c>
      <c r="M156" s="171">
        <v>344.69999999999993</v>
      </c>
      <c r="N156" s="171">
        <f t="shared" si="4"/>
        <v>460.81587301587291</v>
      </c>
      <c r="O156" s="172">
        <v>6436</v>
      </c>
      <c r="P156" s="171">
        <v>708.3</v>
      </c>
      <c r="Q156" s="171">
        <f t="shared" si="2"/>
        <v>946.89841269841259</v>
      </c>
      <c r="R156" s="172">
        <v>10802</v>
      </c>
      <c r="S156" s="171">
        <v>228.40000000000003</v>
      </c>
      <c r="T156" s="171">
        <f t="shared" si="3"/>
        <v>305.3389770723104</v>
      </c>
    </row>
    <row r="157" spans="1:20" s="163" customFormat="1" x14ac:dyDescent="0.2">
      <c r="A157" s="166">
        <v>3</v>
      </c>
      <c r="B157" s="166"/>
      <c r="C157" s="174">
        <f>+E157-E156</f>
        <v>137.76999999999998</v>
      </c>
      <c r="D157" s="166">
        <f>+G157-G156</f>
        <v>123.12100000000004</v>
      </c>
      <c r="E157" s="166">
        <v>446.346</v>
      </c>
      <c r="G157" s="166">
        <v>401.73200000000003</v>
      </c>
      <c r="I157" s="171">
        <v>113</v>
      </c>
      <c r="J157" s="163">
        <v>3</v>
      </c>
      <c r="L157" s="172">
        <v>17630</v>
      </c>
      <c r="M157" s="171">
        <v>454.09999999999991</v>
      </c>
      <c r="N157" s="171">
        <f t="shared" si="4"/>
        <v>609.21734513274316</v>
      </c>
      <c r="O157" s="172">
        <v>11805</v>
      </c>
      <c r="P157" s="171">
        <v>652.69999999999982</v>
      </c>
      <c r="Q157" s="171">
        <f t="shared" si="2"/>
        <v>875.65769911504401</v>
      </c>
      <c r="R157" s="172">
        <v>11365</v>
      </c>
      <c r="S157" s="171">
        <v>160.7999999999999</v>
      </c>
      <c r="T157" s="171">
        <f t="shared" si="3"/>
        <v>215.72814159292022</v>
      </c>
    </row>
    <row r="158" spans="1:20" s="163" customFormat="1" x14ac:dyDescent="0.2">
      <c r="A158" s="166">
        <v>4</v>
      </c>
      <c r="B158" s="166"/>
      <c r="C158" s="174">
        <f>+E158-E157</f>
        <v>137.68499999999995</v>
      </c>
      <c r="D158" s="166">
        <f>+G158-G157</f>
        <v>124.50600000000003</v>
      </c>
      <c r="E158" s="166">
        <v>584.03099999999995</v>
      </c>
      <c r="G158" s="166">
        <v>526.23800000000006</v>
      </c>
      <c r="I158" s="171">
        <v>114</v>
      </c>
      <c r="J158" s="163">
        <v>4</v>
      </c>
      <c r="L158" s="172">
        <v>16674</v>
      </c>
      <c r="M158" s="171">
        <v>428.20000000000027</v>
      </c>
      <c r="N158" s="171">
        <f t="shared" si="4"/>
        <v>569.43087719298285</v>
      </c>
      <c r="O158" s="172">
        <v>10088</v>
      </c>
      <c r="P158" s="171">
        <v>709.40000000000055</v>
      </c>
      <c r="Q158" s="171">
        <f t="shared" si="2"/>
        <v>943.37754385964979</v>
      </c>
      <c r="R158" s="172">
        <v>9276</v>
      </c>
      <c r="S158" s="171">
        <v>162.90000000000009</v>
      </c>
      <c r="T158" s="171">
        <f t="shared" si="3"/>
        <v>216.62842105263169</v>
      </c>
    </row>
    <row r="159" spans="1:20" s="163" customFormat="1" x14ac:dyDescent="0.2">
      <c r="A159" s="166">
        <v>1</v>
      </c>
      <c r="B159" s="166">
        <v>2005</v>
      </c>
      <c r="C159" s="174">
        <f>+E159</f>
        <v>147.31100000000001</v>
      </c>
      <c r="D159" s="166">
        <f>+G159</f>
        <v>133.756</v>
      </c>
      <c r="E159" s="166">
        <v>147.31100000000001</v>
      </c>
      <c r="G159" s="166">
        <v>133.756</v>
      </c>
      <c r="I159" s="171">
        <v>113.7</v>
      </c>
      <c r="J159" s="163">
        <v>1</v>
      </c>
      <c r="K159" s="163">
        <v>2005</v>
      </c>
      <c r="L159" s="172">
        <v>15151</v>
      </c>
      <c r="M159" s="171">
        <v>418</v>
      </c>
      <c r="N159" s="171">
        <f t="shared" si="4"/>
        <v>557.33333333333326</v>
      </c>
      <c r="O159" s="172">
        <v>7287</v>
      </c>
      <c r="P159" s="171">
        <v>715.2</v>
      </c>
      <c r="Q159" s="171">
        <f t="shared" si="2"/>
        <v>953.59999999999991</v>
      </c>
      <c r="R159" s="172">
        <v>7498</v>
      </c>
      <c r="S159" s="171">
        <v>159.69999999999999</v>
      </c>
      <c r="T159" s="171">
        <f t="shared" si="3"/>
        <v>212.93333333333331</v>
      </c>
    </row>
    <row r="160" spans="1:20" s="163" customFormat="1" x14ac:dyDescent="0.2">
      <c r="A160" s="166">
        <v>2</v>
      </c>
      <c r="B160" s="166"/>
      <c r="C160" s="174">
        <f>+E160-E159</f>
        <v>143.51699999999997</v>
      </c>
      <c r="D160" s="166">
        <f>+G160-G159</f>
        <v>128.79</v>
      </c>
      <c r="E160" s="166">
        <v>290.82799999999997</v>
      </c>
      <c r="G160" s="166">
        <v>262.54599999999999</v>
      </c>
      <c r="I160" s="171">
        <v>115.2</v>
      </c>
      <c r="J160" s="163">
        <v>2</v>
      </c>
      <c r="L160" s="172">
        <v>14855</v>
      </c>
      <c r="M160" s="171">
        <v>323.20000000000005</v>
      </c>
      <c r="N160" s="171">
        <f t="shared" si="4"/>
        <v>425.32222222222225</v>
      </c>
      <c r="O160" s="172">
        <v>6172</v>
      </c>
      <c r="P160" s="171">
        <v>745.5</v>
      </c>
      <c r="Q160" s="171">
        <f t="shared" si="2"/>
        <v>981.05729166666652</v>
      </c>
      <c r="R160" s="172">
        <v>11610</v>
      </c>
      <c r="S160" s="171">
        <v>152.50000000000006</v>
      </c>
      <c r="T160" s="171">
        <f t="shared" si="3"/>
        <v>200.68576388888897</v>
      </c>
    </row>
    <row r="161" spans="1:20" s="163" customFormat="1" x14ac:dyDescent="0.2">
      <c r="A161" s="166">
        <v>3</v>
      </c>
      <c r="B161" s="166"/>
      <c r="C161" s="174">
        <f>+E161-E160</f>
        <v>134.78300000000002</v>
      </c>
      <c r="D161" s="166">
        <f>+G161-G160</f>
        <v>120.57100000000003</v>
      </c>
      <c r="E161" s="166">
        <v>425.61099999999999</v>
      </c>
      <c r="G161" s="166">
        <v>383.11700000000002</v>
      </c>
      <c r="I161" s="171">
        <v>115.1</v>
      </c>
      <c r="J161" s="163">
        <v>3</v>
      </c>
      <c r="L161" s="172">
        <v>13014</v>
      </c>
      <c r="M161" s="171">
        <v>448.29999999999995</v>
      </c>
      <c r="N161" s="171">
        <f t="shared" si="4"/>
        <v>590.46290182450036</v>
      </c>
      <c r="O161" s="172">
        <v>6734</v>
      </c>
      <c r="P161" s="171">
        <v>832.10000000000014</v>
      </c>
      <c r="Q161" s="171">
        <f t="shared" si="2"/>
        <v>1095.9718505647265</v>
      </c>
      <c r="R161" s="172">
        <v>8742</v>
      </c>
      <c r="S161" s="171">
        <v>152.99999999999994</v>
      </c>
      <c r="T161" s="171">
        <f t="shared" si="3"/>
        <v>201.51867940920928</v>
      </c>
    </row>
    <row r="162" spans="1:20" s="163" customFormat="1" x14ac:dyDescent="0.2">
      <c r="A162" s="166">
        <v>4</v>
      </c>
      <c r="B162" s="166"/>
      <c r="C162" s="174">
        <f>+E162-E161</f>
        <v>137.37</v>
      </c>
      <c r="D162" s="166">
        <f>+G162-G161</f>
        <v>124.38200000000001</v>
      </c>
      <c r="E162" s="166">
        <v>562.98099999999999</v>
      </c>
      <c r="G162" s="166">
        <v>507.49900000000002</v>
      </c>
      <c r="I162" s="171">
        <v>116</v>
      </c>
      <c r="J162" s="163">
        <v>4</v>
      </c>
      <c r="L162" s="172">
        <v>22745</v>
      </c>
      <c r="M162" s="171">
        <v>478.79999999999995</v>
      </c>
      <c r="N162" s="171">
        <f t="shared" si="4"/>
        <v>625.74206896551721</v>
      </c>
      <c r="O162" s="172">
        <v>8144</v>
      </c>
      <c r="P162" s="171">
        <v>795.79999999999973</v>
      </c>
      <c r="Q162" s="171">
        <f t="shared" si="2"/>
        <v>1040.0282758620685</v>
      </c>
      <c r="R162" s="172">
        <v>11407</v>
      </c>
      <c r="S162" s="171">
        <v>142.00000000000006</v>
      </c>
      <c r="T162" s="171">
        <f t="shared" si="3"/>
        <v>185.57931034482766</v>
      </c>
    </row>
    <row r="163" spans="1:20" s="163" customFormat="1" x14ac:dyDescent="0.2">
      <c r="A163" s="166">
        <v>1</v>
      </c>
      <c r="B163" s="166">
        <v>2006</v>
      </c>
      <c r="C163" s="174">
        <f>+E163</f>
        <v>155.21299999999999</v>
      </c>
      <c r="D163" s="166">
        <f>+G163</f>
        <v>139.72800000000001</v>
      </c>
      <c r="E163" s="166">
        <v>155.21299999999999</v>
      </c>
      <c r="G163" s="166">
        <v>139.72800000000001</v>
      </c>
      <c r="I163" s="171">
        <v>116.6</v>
      </c>
      <c r="J163" s="163">
        <v>1</v>
      </c>
      <c r="K163" s="163">
        <v>2006</v>
      </c>
      <c r="L163" s="172">
        <v>18196</v>
      </c>
      <c r="M163" s="171">
        <v>585</v>
      </c>
      <c r="N163" s="171">
        <f t="shared" si="4"/>
        <v>760.60034305317333</v>
      </c>
      <c r="O163" s="172">
        <v>6106</v>
      </c>
      <c r="P163" s="171">
        <v>947.2</v>
      </c>
      <c r="Q163" s="171">
        <f t="shared" si="2"/>
        <v>1231.5224699828475</v>
      </c>
      <c r="R163" s="172">
        <v>7106</v>
      </c>
      <c r="S163" s="171">
        <v>150.6</v>
      </c>
      <c r="T163" s="171">
        <f t="shared" si="3"/>
        <v>195.80583190394509</v>
      </c>
    </row>
    <row r="164" spans="1:20" s="163" customFormat="1" x14ac:dyDescent="0.2">
      <c r="A164" s="166">
        <v>2</v>
      </c>
      <c r="B164" s="166"/>
      <c r="C164" s="174">
        <f>+E164-E163</f>
        <v>147.44399999999999</v>
      </c>
      <c r="D164" s="166">
        <f>+G164-G163</f>
        <v>129.572</v>
      </c>
      <c r="E164" s="166">
        <v>302.65699999999998</v>
      </c>
      <c r="G164" s="166">
        <v>269.3</v>
      </c>
      <c r="I164" s="171">
        <v>117.9</v>
      </c>
      <c r="J164" s="163">
        <v>2</v>
      </c>
      <c r="L164" s="172">
        <v>13943</v>
      </c>
      <c r="M164" s="171">
        <v>433.79999999999995</v>
      </c>
      <c r="N164" s="171">
        <f t="shared" si="4"/>
        <v>557.79541984732816</v>
      </c>
      <c r="O164" s="172">
        <v>5246</v>
      </c>
      <c r="P164" s="171">
        <v>811.2</v>
      </c>
      <c r="Q164" s="171">
        <f t="shared" si="2"/>
        <v>1043.0697201017811</v>
      </c>
      <c r="R164" s="172">
        <v>9193</v>
      </c>
      <c r="S164" s="171">
        <v>176.1</v>
      </c>
      <c r="T164" s="171">
        <f t="shared" si="3"/>
        <v>226.43562340966918</v>
      </c>
    </row>
    <row r="165" spans="1:20" s="163" customFormat="1" x14ac:dyDescent="0.2">
      <c r="A165" s="166">
        <v>3</v>
      </c>
      <c r="B165" s="166"/>
      <c r="C165" s="174">
        <f>+E165-E164</f>
        <v>143.45100000000002</v>
      </c>
      <c r="D165" s="166">
        <f>+G165-G164</f>
        <v>126.00599999999997</v>
      </c>
      <c r="E165" s="166">
        <v>446.108</v>
      </c>
      <c r="G165" s="166">
        <v>395.30599999999998</v>
      </c>
      <c r="I165" s="175">
        <v>117.3</v>
      </c>
      <c r="J165" s="163">
        <v>3</v>
      </c>
      <c r="L165" s="172">
        <v>13690</v>
      </c>
      <c r="M165" s="171">
        <v>496.59999999999991</v>
      </c>
      <c r="N165" s="171">
        <f t="shared" si="4"/>
        <v>641.81210571184977</v>
      </c>
      <c r="O165" s="172">
        <v>9450</v>
      </c>
      <c r="P165" s="171">
        <v>855.90000000000009</v>
      </c>
      <c r="Q165" s="171">
        <f t="shared" si="2"/>
        <v>1106.175959079284</v>
      </c>
      <c r="R165" s="172">
        <v>10840</v>
      </c>
      <c r="S165" s="171">
        <v>167.10000000000002</v>
      </c>
      <c r="T165" s="171">
        <f t="shared" si="3"/>
        <v>215.96214833759592</v>
      </c>
    </row>
    <row r="166" spans="1:20" s="163" customFormat="1" x14ac:dyDescent="0.2">
      <c r="A166" s="166">
        <v>4</v>
      </c>
      <c r="B166" s="166"/>
      <c r="C166" s="174">
        <f>+E166-E165</f>
        <v>148.56090999999998</v>
      </c>
      <c r="D166" s="166">
        <f>+G166-G165</f>
        <v>131.19532799999996</v>
      </c>
      <c r="E166" s="166">
        <v>594.66890999999998</v>
      </c>
      <c r="G166" s="166">
        <v>526.50132799999994</v>
      </c>
      <c r="I166" s="175">
        <v>119</v>
      </c>
      <c r="J166" s="163">
        <v>4</v>
      </c>
      <c r="L166" s="172">
        <v>16682</v>
      </c>
      <c r="M166" s="171">
        <v>525.60000000000014</v>
      </c>
      <c r="N166" s="171">
        <f t="shared" si="4"/>
        <v>669.58789915966406</v>
      </c>
      <c r="O166" s="172">
        <v>10233</v>
      </c>
      <c r="P166" s="171">
        <v>826</v>
      </c>
      <c r="Q166" s="171">
        <f t="shared" si="2"/>
        <v>1052.2823529411764</v>
      </c>
      <c r="R166" s="172">
        <v>9520</v>
      </c>
      <c r="S166" s="171">
        <v>144.09999999999997</v>
      </c>
      <c r="T166" s="171">
        <f t="shared" si="3"/>
        <v>183.57613445378146</v>
      </c>
    </row>
    <row r="167" spans="1:20" s="163" customFormat="1" x14ac:dyDescent="0.2">
      <c r="A167" s="166">
        <v>1</v>
      </c>
      <c r="B167" s="166">
        <v>2007</v>
      </c>
      <c r="C167" s="174">
        <f>+E167</f>
        <v>158.09976</v>
      </c>
      <c r="D167" s="166">
        <f>+G167</f>
        <v>141.08400800000001</v>
      </c>
      <c r="E167" s="166">
        <v>158.09976</v>
      </c>
      <c r="G167" s="166">
        <v>141.08400800000001</v>
      </c>
      <c r="I167" s="175">
        <v>117.5</v>
      </c>
      <c r="J167" s="163">
        <v>1</v>
      </c>
      <c r="K167" s="163">
        <v>2007</v>
      </c>
      <c r="L167" s="172">
        <v>18623</v>
      </c>
      <c r="M167" s="171">
        <v>649.6</v>
      </c>
      <c r="N167" s="171">
        <f t="shared" si="4"/>
        <v>838.12221276595744</v>
      </c>
      <c r="O167" s="172">
        <v>7737</v>
      </c>
      <c r="P167" s="171">
        <v>1092.1999999999998</v>
      </c>
      <c r="Q167" s="171">
        <f t="shared" si="2"/>
        <v>1409.1703829787232</v>
      </c>
      <c r="R167" s="172">
        <v>8112</v>
      </c>
      <c r="S167" s="171">
        <v>167.4</v>
      </c>
      <c r="T167" s="171">
        <f t="shared" si="3"/>
        <v>215.98161702127658</v>
      </c>
    </row>
    <row r="168" spans="1:20" s="163" customFormat="1" x14ac:dyDescent="0.2">
      <c r="A168" s="166">
        <v>2</v>
      </c>
      <c r="B168" s="166"/>
      <c r="C168" s="174">
        <f>+E168-E167</f>
        <v>161.61276000000004</v>
      </c>
      <c r="D168" s="166">
        <f>+G168-G167</f>
        <v>142.897008</v>
      </c>
      <c r="E168" s="166">
        <v>319.71252000000004</v>
      </c>
      <c r="G168" s="166">
        <v>283.98101600000001</v>
      </c>
      <c r="I168" s="175">
        <v>118.3</v>
      </c>
      <c r="J168" s="163">
        <v>2</v>
      </c>
      <c r="L168" s="172">
        <v>15831</v>
      </c>
      <c r="M168" s="171">
        <v>514.19999999999993</v>
      </c>
      <c r="N168" s="171">
        <f t="shared" si="4"/>
        <v>658.94099746407437</v>
      </c>
      <c r="O168" s="172">
        <v>5067</v>
      </c>
      <c r="P168" s="171">
        <v>1041.6999999999998</v>
      </c>
      <c r="Q168" s="171">
        <f t="shared" ref="Q168:Q189" si="5">P168/I168*$I$69</f>
        <v>1334.9257819103971</v>
      </c>
      <c r="R168" s="172">
        <v>10608</v>
      </c>
      <c r="S168" s="171">
        <v>160.99999999999997</v>
      </c>
      <c r="T168" s="171">
        <f t="shared" ref="T168:T189" si="6">S168/I168*$I$69</f>
        <v>206.31952662721889</v>
      </c>
    </row>
    <row r="169" spans="1:20" s="163" customFormat="1" x14ac:dyDescent="0.2">
      <c r="A169" s="166">
        <v>3</v>
      </c>
      <c r="B169" s="166"/>
      <c r="C169" s="174">
        <f>+E169-E168</f>
        <v>135.82058024999998</v>
      </c>
      <c r="D169" s="166">
        <f>+G169-G168</f>
        <v>119.75308425000003</v>
      </c>
      <c r="E169" s="166">
        <v>455.53310025000002</v>
      </c>
      <c r="G169" s="166">
        <v>403.73410025000004</v>
      </c>
      <c r="I169" s="175">
        <v>117.8</v>
      </c>
      <c r="J169" s="163">
        <v>3</v>
      </c>
      <c r="L169" s="172">
        <v>18428</v>
      </c>
      <c r="M169" s="171">
        <v>654.20000000000027</v>
      </c>
      <c r="N169" s="171">
        <f t="shared" si="4"/>
        <v>841.9076400679121</v>
      </c>
      <c r="O169" s="172">
        <v>6417</v>
      </c>
      <c r="P169" s="171">
        <v>679.60000000000036</v>
      </c>
      <c r="Q169" s="171">
        <f t="shared" si="5"/>
        <v>874.59558573854031</v>
      </c>
      <c r="R169" s="172">
        <v>10319</v>
      </c>
      <c r="S169" s="171">
        <v>152.89999999999998</v>
      </c>
      <c r="T169" s="171">
        <f t="shared" si="6"/>
        <v>196.77113752122236</v>
      </c>
    </row>
    <row r="170" spans="1:20" s="163" customFormat="1" x14ac:dyDescent="0.2">
      <c r="A170" s="166">
        <v>4</v>
      </c>
      <c r="B170" s="166"/>
      <c r="C170" s="174">
        <f>+E170-E169</f>
        <v>149.79139924999998</v>
      </c>
      <c r="D170" s="166">
        <f>+G170-G169</f>
        <v>133.49839924999998</v>
      </c>
      <c r="E170" s="166">
        <v>605.3244995</v>
      </c>
      <c r="G170" s="166">
        <v>537.23249950000002</v>
      </c>
      <c r="I170" s="175">
        <v>120.8</v>
      </c>
      <c r="J170" s="163">
        <v>4</v>
      </c>
      <c r="L170" s="172">
        <v>15870</v>
      </c>
      <c r="M170" s="171">
        <v>567.19999999999959</v>
      </c>
      <c r="N170" s="171">
        <f t="shared" si="4"/>
        <v>711.8172185430459</v>
      </c>
      <c r="O170" s="172">
        <v>5114</v>
      </c>
      <c r="P170" s="171">
        <v>911.69999999999982</v>
      </c>
      <c r="Q170" s="171">
        <f t="shared" si="5"/>
        <v>1144.1533112582779</v>
      </c>
      <c r="R170" s="172">
        <v>8645</v>
      </c>
      <c r="S170" s="171">
        <v>142.80000000000007</v>
      </c>
      <c r="T170" s="171">
        <f t="shared" si="6"/>
        <v>179.2092715231789</v>
      </c>
    </row>
    <row r="171" spans="1:20" s="163" customFormat="1" x14ac:dyDescent="0.2">
      <c r="A171" s="166">
        <v>1</v>
      </c>
      <c r="B171" s="166">
        <v>2008</v>
      </c>
      <c r="C171" s="174">
        <f>+E171</f>
        <v>164.64169099999998</v>
      </c>
      <c r="D171" s="166">
        <f>+G171</f>
        <v>148.61369099999999</v>
      </c>
      <c r="E171" s="166">
        <v>164.64169099999998</v>
      </c>
      <c r="G171" s="166">
        <v>148.61369099999999</v>
      </c>
      <c r="I171" s="175">
        <v>121.9</v>
      </c>
      <c r="J171" s="163">
        <v>1</v>
      </c>
      <c r="K171" s="163">
        <v>2008</v>
      </c>
      <c r="L171" s="172">
        <v>17004</v>
      </c>
      <c r="M171" s="171">
        <v>591.9</v>
      </c>
      <c r="N171" s="171">
        <f t="shared" si="4"/>
        <v>736.11189499589818</v>
      </c>
      <c r="O171" s="172">
        <v>6274</v>
      </c>
      <c r="P171" s="171">
        <v>963.6</v>
      </c>
      <c r="Q171" s="171">
        <f t="shared" si="5"/>
        <v>1198.3737489745693</v>
      </c>
      <c r="R171" s="172">
        <v>7939</v>
      </c>
      <c r="S171" s="171">
        <v>160.1</v>
      </c>
      <c r="T171" s="171">
        <f t="shared" si="6"/>
        <v>199.10713699753893</v>
      </c>
    </row>
    <row r="172" spans="1:20" s="163" customFormat="1" x14ac:dyDescent="0.2">
      <c r="A172" s="166">
        <v>2</v>
      </c>
      <c r="B172" s="166"/>
      <c r="C172" s="174">
        <f>+E172-E171</f>
        <v>197.28657850000002</v>
      </c>
      <c r="D172" s="166">
        <f>+G172-G171</f>
        <v>175.71357850000001</v>
      </c>
      <c r="E172" s="166">
        <v>361.9282695</v>
      </c>
      <c r="G172" s="166">
        <v>324.3272695</v>
      </c>
      <c r="I172" s="175">
        <v>122</v>
      </c>
      <c r="J172" s="163">
        <v>2</v>
      </c>
      <c r="L172" s="172">
        <v>14987</v>
      </c>
      <c r="M172" s="171">
        <v>548.4</v>
      </c>
      <c r="N172" s="171">
        <f t="shared" ref="N172:N181" si="7">M172/I172*$I$69</f>
        <v>681.45442622950816</v>
      </c>
      <c r="O172" s="172">
        <v>5831</v>
      </c>
      <c r="P172" s="171">
        <v>1153.8000000000002</v>
      </c>
      <c r="Q172" s="171">
        <f t="shared" si="5"/>
        <v>1433.738360655738</v>
      </c>
      <c r="R172" s="172">
        <v>10207</v>
      </c>
      <c r="S172" s="171">
        <v>188.4</v>
      </c>
      <c r="T172" s="171">
        <f t="shared" si="6"/>
        <v>234.11016393442623</v>
      </c>
    </row>
    <row r="173" spans="1:20" s="163" customFormat="1" x14ac:dyDescent="0.2">
      <c r="A173" s="166">
        <v>3</v>
      </c>
      <c r="B173" s="166"/>
      <c r="C173" s="174">
        <f>+E173-E172</f>
        <v>159.71767174999997</v>
      </c>
      <c r="D173" s="166">
        <f>+G173-G172</f>
        <v>141.40667174999999</v>
      </c>
      <c r="E173" s="166">
        <v>521.64594124999996</v>
      </c>
      <c r="G173" s="166">
        <v>465.73394124999999</v>
      </c>
      <c r="I173" s="175">
        <v>123.1</v>
      </c>
      <c r="J173" s="163">
        <v>3</v>
      </c>
      <c r="L173" s="172">
        <v>19290</v>
      </c>
      <c r="M173" s="171">
        <v>722.70000000000027</v>
      </c>
      <c r="N173" s="171">
        <f t="shared" si="7"/>
        <v>890.01884646628798</v>
      </c>
      <c r="O173" s="172">
        <v>12252</v>
      </c>
      <c r="P173" s="171">
        <v>1486.4999999999995</v>
      </c>
      <c r="Q173" s="171">
        <f t="shared" si="5"/>
        <v>1830.653127538586</v>
      </c>
      <c r="R173" s="172">
        <v>11007</v>
      </c>
      <c r="S173" s="171">
        <v>186.29999999999995</v>
      </c>
      <c r="T173" s="171">
        <f t="shared" si="6"/>
        <v>229.43200649878142</v>
      </c>
    </row>
    <row r="174" spans="1:20" s="163" customFormat="1" x14ac:dyDescent="0.2">
      <c r="A174" s="166">
        <v>4</v>
      </c>
      <c r="B174" s="166"/>
      <c r="C174" s="174">
        <f>+E174-E173</f>
        <v>170.05706974999998</v>
      </c>
      <c r="D174" s="166">
        <f>+G174-G173</f>
        <v>152.54014889999991</v>
      </c>
      <c r="E174" s="166">
        <v>691.70301099999995</v>
      </c>
      <c r="G174" s="166">
        <v>618.27409014999989</v>
      </c>
      <c r="I174" s="171">
        <v>124.7</v>
      </c>
      <c r="J174" s="163">
        <v>4</v>
      </c>
      <c r="L174" s="172">
        <v>16976</v>
      </c>
      <c r="M174" s="171">
        <v>703.10000000000014</v>
      </c>
      <c r="N174" s="171">
        <f t="shared" si="7"/>
        <v>854.77113071371309</v>
      </c>
      <c r="O174" s="172">
        <v>7247</v>
      </c>
      <c r="P174" s="171">
        <v>1160</v>
      </c>
      <c r="Q174" s="171">
        <f t="shared" si="5"/>
        <v>1410.2325581395348</v>
      </c>
      <c r="R174" s="172">
        <v>10145</v>
      </c>
      <c r="S174" s="171">
        <v>269.60000000000014</v>
      </c>
      <c r="T174" s="171">
        <f t="shared" si="6"/>
        <v>327.7574979951886</v>
      </c>
    </row>
    <row r="175" spans="1:20" s="163" customFormat="1" x14ac:dyDescent="0.2">
      <c r="A175" s="166">
        <v>1</v>
      </c>
      <c r="B175" s="166">
        <v>2009</v>
      </c>
      <c r="C175" s="174">
        <f>+E175</f>
        <v>191.37959499999999</v>
      </c>
      <c r="D175" s="166">
        <f>+G175</f>
        <v>172.55938714999999</v>
      </c>
      <c r="E175" s="166">
        <v>191.37959499999999</v>
      </c>
      <c r="G175" s="166">
        <v>172.55938714999999</v>
      </c>
      <c r="I175" s="171">
        <v>125</v>
      </c>
      <c r="J175" s="163">
        <v>1</v>
      </c>
      <c r="K175" s="163">
        <v>2009</v>
      </c>
      <c r="L175" s="172">
        <v>18865</v>
      </c>
      <c r="M175" s="171">
        <v>739.59999999999991</v>
      </c>
      <c r="N175" s="171">
        <f t="shared" si="7"/>
        <v>896.98687999999993</v>
      </c>
      <c r="O175" s="172">
        <v>6194</v>
      </c>
      <c r="P175" s="171">
        <v>1049.9000000000001</v>
      </c>
      <c r="Q175" s="171">
        <f t="shared" si="5"/>
        <v>1273.31872</v>
      </c>
      <c r="R175" s="172">
        <v>8619</v>
      </c>
      <c r="S175" s="171">
        <v>213.2</v>
      </c>
      <c r="T175" s="171">
        <f t="shared" si="6"/>
        <v>258.56896</v>
      </c>
    </row>
    <row r="176" spans="1:20" s="163" customFormat="1" x14ac:dyDescent="0.2">
      <c r="A176" s="166">
        <v>2</v>
      </c>
      <c r="B176" s="166"/>
      <c r="C176" s="174">
        <f>+E176-E175</f>
        <v>178.90604250000001</v>
      </c>
      <c r="D176" s="166">
        <f>+G176-G175</f>
        <v>160.765232725</v>
      </c>
      <c r="E176" s="166">
        <v>370.28563750000001</v>
      </c>
      <c r="G176" s="166">
        <v>333.324619875</v>
      </c>
      <c r="I176" s="171">
        <v>125.7</v>
      </c>
      <c r="J176" s="163">
        <v>2</v>
      </c>
      <c r="L176" s="172">
        <v>14610</v>
      </c>
      <c r="M176" s="171">
        <v>603.80000000000018</v>
      </c>
      <c r="N176" s="171">
        <f t="shared" si="7"/>
        <v>728.21066030230725</v>
      </c>
      <c r="O176" s="172">
        <v>5486</v>
      </c>
      <c r="P176" s="171">
        <v>1077.9000000000001</v>
      </c>
      <c r="Q176" s="171">
        <f t="shared" si="5"/>
        <v>1299.9971360381862</v>
      </c>
      <c r="R176" s="172">
        <v>11296</v>
      </c>
      <c r="S176" s="171">
        <v>235.3</v>
      </c>
      <c r="T176" s="171">
        <f t="shared" si="6"/>
        <v>283.78265712012728</v>
      </c>
    </row>
    <row r="177" spans="1:20" s="163" customFormat="1" x14ac:dyDescent="0.2">
      <c r="A177" s="166">
        <v>3</v>
      </c>
      <c r="B177" s="166"/>
      <c r="C177" s="174">
        <f>+E177-E176</f>
        <v>160.23377500000004</v>
      </c>
      <c r="D177" s="166">
        <f>+G177-G176</f>
        <v>142.31202375000004</v>
      </c>
      <c r="E177" s="166">
        <v>530.51941250000004</v>
      </c>
      <c r="G177" s="166">
        <v>475.63664362500003</v>
      </c>
      <c r="I177" s="171">
        <v>125.4</v>
      </c>
      <c r="J177" s="163">
        <v>3</v>
      </c>
      <c r="L177" s="172">
        <v>19220</v>
      </c>
      <c r="M177" s="171">
        <v>795.69999999999982</v>
      </c>
      <c r="N177" s="171">
        <f t="shared" si="7"/>
        <v>961.94673046251967</v>
      </c>
      <c r="O177" s="172">
        <v>13278</v>
      </c>
      <c r="P177" s="171">
        <v>1278.0999999999999</v>
      </c>
      <c r="Q177" s="171">
        <f t="shared" si="5"/>
        <v>1545.1352472089311</v>
      </c>
      <c r="R177" s="172">
        <v>11383</v>
      </c>
      <c r="S177" s="171">
        <v>231.79999999999995</v>
      </c>
      <c r="T177" s="171">
        <f t="shared" si="6"/>
        <v>280.23030303030293</v>
      </c>
    </row>
    <row r="178" spans="1:20" s="163" customFormat="1" x14ac:dyDescent="0.2">
      <c r="A178" s="166">
        <v>4</v>
      </c>
      <c r="B178" s="166"/>
      <c r="C178" s="174">
        <f>+E178-E177</f>
        <v>179.8571388695641</v>
      </c>
      <c r="D178" s="166">
        <f>+G178-G177</f>
        <v>163.53199924456408</v>
      </c>
      <c r="E178" s="166">
        <v>710.37655136956414</v>
      </c>
      <c r="G178" s="166">
        <v>639.16864286956411</v>
      </c>
      <c r="I178" s="171">
        <v>126.6</v>
      </c>
      <c r="J178" s="163">
        <v>4</v>
      </c>
      <c r="L178" s="172">
        <v>16838</v>
      </c>
      <c r="M178" s="171">
        <v>759.30000000000018</v>
      </c>
      <c r="N178" s="171">
        <f t="shared" si="7"/>
        <v>909.24075829383912</v>
      </c>
      <c r="O178" s="172">
        <v>6227</v>
      </c>
      <c r="P178" s="171">
        <v>1192.2000000000003</v>
      </c>
      <c r="Q178" s="171">
        <f t="shared" si="5"/>
        <v>1427.6265402843605</v>
      </c>
      <c r="R178" s="172">
        <v>10409</v>
      </c>
      <c r="S178" s="171">
        <v>276.40000000000009</v>
      </c>
      <c r="T178" s="171">
        <f t="shared" si="6"/>
        <v>330.98135860979477</v>
      </c>
    </row>
    <row r="179" spans="1:20" s="163" customFormat="1" x14ac:dyDescent="0.2">
      <c r="A179" s="166">
        <v>1</v>
      </c>
      <c r="B179" s="166">
        <v>2010</v>
      </c>
      <c r="C179" s="174">
        <f>+E179</f>
        <v>204.63648875000001</v>
      </c>
      <c r="D179" s="166">
        <f>+G179</f>
        <v>186.506571025</v>
      </c>
      <c r="E179" s="166">
        <v>204.63648875000001</v>
      </c>
      <c r="G179" s="166">
        <v>186.506571025</v>
      </c>
      <c r="I179" s="171">
        <v>128.69999999999999</v>
      </c>
      <c r="J179" s="163">
        <v>1</v>
      </c>
      <c r="K179" s="163">
        <v>2010</v>
      </c>
      <c r="L179" s="172">
        <v>40484.70904761905</v>
      </c>
      <c r="M179" s="171">
        <v>1693.2251146266974</v>
      </c>
      <c r="N179" s="171">
        <f t="shared" si="7"/>
        <v>1994.5060402284951</v>
      </c>
      <c r="O179" s="172">
        <v>6690</v>
      </c>
      <c r="P179" s="171">
        <v>1648.5</v>
      </c>
      <c r="Q179" s="171">
        <f t="shared" si="5"/>
        <v>1941.8228438228441</v>
      </c>
      <c r="R179" s="172">
        <v>7227</v>
      </c>
      <c r="S179" s="171">
        <v>243.10000000000002</v>
      </c>
      <c r="T179" s="171">
        <f t="shared" si="6"/>
        <v>286.35555555555561</v>
      </c>
    </row>
    <row r="180" spans="1:20" s="163" customFormat="1" x14ac:dyDescent="0.2">
      <c r="A180" s="166">
        <v>2</v>
      </c>
      <c r="B180" s="166"/>
      <c r="C180" s="174">
        <f>+E180-E179</f>
        <v>188.95691625000001</v>
      </c>
      <c r="D180" s="166">
        <f>+G180-G179</f>
        <v>170.46253197500002</v>
      </c>
      <c r="E180" s="166">
        <v>393.59340500000002</v>
      </c>
      <c r="G180" s="166">
        <v>356.96910300000002</v>
      </c>
      <c r="I180" s="171">
        <v>128.9</v>
      </c>
      <c r="J180" s="163">
        <v>2</v>
      </c>
      <c r="L180" s="172">
        <v>20633.79583333333</v>
      </c>
      <c r="M180" s="171">
        <v>864.97098885712671</v>
      </c>
      <c r="N180" s="171">
        <f t="shared" si="7"/>
        <v>1017.2971443812288</v>
      </c>
      <c r="O180" s="172">
        <v>5716</v>
      </c>
      <c r="P180" s="171">
        <v>1381.6999999999998</v>
      </c>
      <c r="Q180" s="171">
        <f t="shared" si="5"/>
        <v>1625.0249806051199</v>
      </c>
      <c r="R180" s="172">
        <v>10696</v>
      </c>
      <c r="S180" s="171">
        <v>201.60000000000002</v>
      </c>
      <c r="T180" s="171">
        <f t="shared" si="6"/>
        <v>237.10287044220328</v>
      </c>
    </row>
    <row r="181" spans="1:20" s="163" customFormat="1" x14ac:dyDescent="0.2">
      <c r="A181" s="166">
        <v>3</v>
      </c>
      <c r="B181" s="166"/>
      <c r="C181" s="174">
        <f>+E181-E180</f>
        <v>172.07737875000004</v>
      </c>
      <c r="D181" s="166">
        <f>+G181-G180</f>
        <v>154.15607493749997</v>
      </c>
      <c r="E181" s="166">
        <v>565.67078375000006</v>
      </c>
      <c r="G181" s="166">
        <v>511.12517793749998</v>
      </c>
      <c r="I181" s="171">
        <v>127.8</v>
      </c>
      <c r="J181" s="163">
        <v>3</v>
      </c>
      <c r="L181" s="172">
        <v>19149.335833333338</v>
      </c>
      <c r="M181" s="171">
        <v>861.71516601647909</v>
      </c>
      <c r="N181" s="171">
        <f t="shared" si="7"/>
        <v>1022.191073302803</v>
      </c>
      <c r="O181" s="172">
        <v>9089</v>
      </c>
      <c r="P181" s="171">
        <v>1286.1999999999998</v>
      </c>
      <c r="Q181" s="171">
        <f t="shared" si="5"/>
        <v>1525.7270735524255</v>
      </c>
      <c r="R181" s="172">
        <v>11532</v>
      </c>
      <c r="S181" s="171">
        <v>200.69999999999993</v>
      </c>
      <c r="T181" s="171">
        <f t="shared" si="6"/>
        <v>238.07605633802808</v>
      </c>
    </row>
    <row r="182" spans="1:20" s="163" customFormat="1" x14ac:dyDescent="0.2">
      <c r="A182" s="166">
        <v>4</v>
      </c>
      <c r="B182" s="166"/>
      <c r="C182" s="174">
        <f>+E182-E181</f>
        <v>192.96143124999992</v>
      </c>
      <c r="D182" s="166">
        <f>+G182-G181</f>
        <v>174.39946771249993</v>
      </c>
      <c r="E182" s="166">
        <v>758.63221499999997</v>
      </c>
      <c r="G182" s="166">
        <v>685.52464564999991</v>
      </c>
      <c r="I182" s="171">
        <v>129</v>
      </c>
      <c r="J182" s="163">
        <v>4</v>
      </c>
      <c r="L182" s="172">
        <v>22322.361666666664</v>
      </c>
      <c r="M182" s="171">
        <v>889.84894905372039</v>
      </c>
      <c r="N182" s="171">
        <f t="shared" ref="N182" si="8">M182/I182*$I$69</f>
        <v>1045.7449664848373</v>
      </c>
      <c r="O182" s="172">
        <v>5858</v>
      </c>
      <c r="P182" s="171">
        <v>1310.8000000000011</v>
      </c>
      <c r="Q182" s="171">
        <f t="shared" si="5"/>
        <v>1540.4440310077532</v>
      </c>
      <c r="R182" s="172">
        <v>9548</v>
      </c>
      <c r="S182" s="171">
        <v>205</v>
      </c>
      <c r="T182" s="171">
        <f t="shared" si="6"/>
        <v>240.91472868217053</v>
      </c>
    </row>
    <row r="183" spans="1:20" s="163" customFormat="1" x14ac:dyDescent="0.2">
      <c r="A183" s="166">
        <v>1</v>
      </c>
      <c r="B183" s="166">
        <v>2011</v>
      </c>
      <c r="C183" s="174">
        <f>+E183</f>
        <v>204.00503875000001</v>
      </c>
      <c r="D183" s="166">
        <f>+G183</f>
        <v>184.8599929625</v>
      </c>
      <c r="E183" s="166">
        <v>204.00503875000001</v>
      </c>
      <c r="G183" s="166">
        <v>184.8599929625</v>
      </c>
      <c r="I183" s="171">
        <v>130.19999999999999</v>
      </c>
      <c r="J183" s="163">
        <v>1</v>
      </c>
      <c r="K183" s="163">
        <v>2011</v>
      </c>
      <c r="L183" s="172">
        <v>26141.662648809524</v>
      </c>
      <c r="M183" s="171">
        <v>1061.4209517567813</v>
      </c>
      <c r="N183" s="171">
        <f t="shared" ref="N183:N186" si="9">M183/I183*$I$69</f>
        <v>1235.878773320492</v>
      </c>
      <c r="O183" s="172">
        <v>5959</v>
      </c>
      <c r="P183" s="171">
        <v>1698.7</v>
      </c>
      <c r="Q183" s="171">
        <f t="shared" si="5"/>
        <v>1977.9026113671275</v>
      </c>
      <c r="R183" s="172">
        <v>6732</v>
      </c>
      <c r="S183" s="171">
        <v>156.5</v>
      </c>
      <c r="T183" s="171">
        <f t="shared" si="6"/>
        <v>182.22273425499233</v>
      </c>
    </row>
    <row r="184" spans="1:20" s="163" customFormat="1" x14ac:dyDescent="0.2">
      <c r="A184" s="166">
        <v>2</v>
      </c>
      <c r="B184" s="166"/>
      <c r="C184" s="174">
        <f>+E184-E183</f>
        <v>188.74104374999999</v>
      </c>
      <c r="D184" s="166">
        <f>+G184-G183</f>
        <v>171.33320521249996</v>
      </c>
      <c r="E184" s="163">
        <v>392.7460825</v>
      </c>
      <c r="G184" s="163">
        <v>356.19319817499996</v>
      </c>
      <c r="I184" s="171">
        <v>131</v>
      </c>
      <c r="J184" s="163">
        <v>2</v>
      </c>
      <c r="L184" s="180">
        <v>18851.951101190472</v>
      </c>
      <c r="M184" s="181">
        <v>776.58308820124375</v>
      </c>
      <c r="N184" s="171">
        <f t="shared" si="9"/>
        <v>898.70226084968363</v>
      </c>
      <c r="O184" s="172">
        <v>7524</v>
      </c>
      <c r="P184" s="171">
        <v>1533.4000000000003</v>
      </c>
      <c r="Q184" s="171">
        <f t="shared" si="5"/>
        <v>1774.530076335878</v>
      </c>
      <c r="R184" s="172">
        <v>10017</v>
      </c>
      <c r="S184" s="171">
        <v>197.79999999999995</v>
      </c>
      <c r="T184" s="171">
        <f t="shared" si="6"/>
        <v>228.90442748091596</v>
      </c>
    </row>
    <row r="185" spans="1:20" s="163" customFormat="1" x14ac:dyDescent="0.2">
      <c r="A185" s="166">
        <v>3</v>
      </c>
      <c r="C185" s="174">
        <f>+E185-E184</f>
        <v>169.93391749999995</v>
      </c>
      <c r="D185" s="166">
        <f>+G185-G184</f>
        <v>151.69380182500004</v>
      </c>
      <c r="E185" s="163">
        <v>562.67999999999995</v>
      </c>
      <c r="G185" s="163">
        <v>507.887</v>
      </c>
      <c r="I185" s="171">
        <v>129.4</v>
      </c>
      <c r="J185" s="163">
        <v>3</v>
      </c>
      <c r="L185" s="180">
        <v>24107.386250000007</v>
      </c>
      <c r="M185" s="181">
        <v>914.64669811090494</v>
      </c>
      <c r="N185" s="171">
        <f t="shared" si="9"/>
        <v>1071.5644469367323</v>
      </c>
      <c r="O185" s="172">
        <v>10171</v>
      </c>
      <c r="P185" s="171">
        <v>1285.3999999999996</v>
      </c>
      <c r="Q185" s="171">
        <f t="shared" si="5"/>
        <v>1505.9245749613597</v>
      </c>
      <c r="R185" s="172">
        <v>10339</v>
      </c>
      <c r="S185" s="171">
        <v>167.29999999999995</v>
      </c>
      <c r="T185" s="171">
        <f t="shared" si="6"/>
        <v>196.00216383307566</v>
      </c>
    </row>
    <row r="186" spans="1:20" s="163" customFormat="1" x14ac:dyDescent="0.2">
      <c r="A186" s="163">
        <v>4</v>
      </c>
      <c r="C186" s="174">
        <f>+E186-E185</f>
        <v>202.17554500000006</v>
      </c>
      <c r="D186" s="166">
        <f>+G186-G185</f>
        <v>178.91908595000001</v>
      </c>
      <c r="E186" s="163">
        <v>764.85554500000001</v>
      </c>
      <c r="G186" s="163">
        <v>686.80608595000001</v>
      </c>
      <c r="I186" s="163">
        <v>130.5</v>
      </c>
      <c r="J186" s="163">
        <v>4</v>
      </c>
      <c r="L186" s="180">
        <v>18022.572976190484</v>
      </c>
      <c r="M186" s="171">
        <v>777.38419736292576</v>
      </c>
      <c r="N186" s="171">
        <f t="shared" si="9"/>
        <v>903.07620168750611</v>
      </c>
      <c r="O186" s="180">
        <v>8775.7956028314002</v>
      </c>
      <c r="P186" s="171">
        <v>1286.8626975018997</v>
      </c>
      <c r="Q186" s="171">
        <f t="shared" si="5"/>
        <v>1494.9301528068045</v>
      </c>
      <c r="R186" s="180">
        <v>9645.4866500746648</v>
      </c>
      <c r="S186" s="171">
        <v>181.103452008619</v>
      </c>
      <c r="T186" s="171">
        <f t="shared" si="6"/>
        <v>210.38531283146853</v>
      </c>
    </row>
    <row r="187" spans="1:20" s="163" customFormat="1" x14ac:dyDescent="0.2">
      <c r="A187" s="163">
        <v>1</v>
      </c>
      <c r="B187" s="163">
        <v>2012</v>
      </c>
      <c r="C187" s="174">
        <f>+E187</f>
        <v>195.82938625</v>
      </c>
      <c r="D187" s="166">
        <f>+G187</f>
        <v>177.0717714875</v>
      </c>
      <c r="E187" s="163">
        <v>195.82938625</v>
      </c>
      <c r="G187" s="163">
        <v>177.0717714875</v>
      </c>
      <c r="I187" s="163">
        <v>131.69999999999999</v>
      </c>
      <c r="J187" s="163">
        <v>1</v>
      </c>
      <c r="K187" s="163">
        <v>2012</v>
      </c>
      <c r="L187" s="180">
        <v>18517.39324404762</v>
      </c>
      <c r="M187" s="171">
        <v>869.15461769403078</v>
      </c>
      <c r="N187" s="171">
        <f t="shared" ref="N187:N193" si="10">M187/I187*$I$69</f>
        <v>1000.4847383630605</v>
      </c>
      <c r="O187" s="172">
        <v>6822.44890070785</v>
      </c>
      <c r="P187" s="171">
        <v>1150.314057295883</v>
      </c>
      <c r="Q187" s="171">
        <f t="shared" si="5"/>
        <v>1324.1276468189512</v>
      </c>
      <c r="R187" s="172">
        <v>7564.3716625186662</v>
      </c>
      <c r="S187" s="171">
        <v>175.73767321176348</v>
      </c>
      <c r="T187" s="171">
        <f t="shared" si="6"/>
        <v>202.2918091032904</v>
      </c>
    </row>
    <row r="188" spans="1:20" s="163" customFormat="1" x14ac:dyDescent="0.2">
      <c r="A188" s="163">
        <v>2</v>
      </c>
      <c r="C188" s="174">
        <f>+E188-E187</f>
        <v>182.75061374999999</v>
      </c>
      <c r="D188" s="166">
        <f>+G188-G187</f>
        <v>165.12822851249999</v>
      </c>
      <c r="E188" s="182">
        <v>378.58</v>
      </c>
      <c r="G188" s="182">
        <v>342.2</v>
      </c>
      <c r="I188" s="163">
        <v>131.69999999999999</v>
      </c>
      <c r="J188" s="163">
        <v>2</v>
      </c>
      <c r="L188" s="180">
        <v>14087.60675595238</v>
      </c>
      <c r="M188" s="171">
        <v>635.43152402028181</v>
      </c>
      <c r="N188" s="171">
        <f t="shared" si="10"/>
        <v>731.4458545290413</v>
      </c>
      <c r="O188" s="172">
        <v>4838.55109929215</v>
      </c>
      <c r="P188" s="171">
        <v>1037.7970664905204</v>
      </c>
      <c r="Q188" s="171">
        <f t="shared" si="5"/>
        <v>1194.6092276382908</v>
      </c>
      <c r="R188" s="172">
        <v>10002.628337481334</v>
      </c>
      <c r="S188" s="171">
        <v>184.20744441885319</v>
      </c>
      <c r="T188" s="171">
        <f t="shared" si="6"/>
        <v>212.04137110021372</v>
      </c>
    </row>
    <row r="189" spans="1:20" s="163" customFormat="1" x14ac:dyDescent="0.2">
      <c r="A189" s="166">
        <v>3</v>
      </c>
      <c r="C189" s="174">
        <f>+E189-E188</f>
        <v>165.72960875000007</v>
      </c>
      <c r="D189" s="166">
        <f>+G189-G188</f>
        <v>148.24155396250001</v>
      </c>
      <c r="E189" s="163">
        <v>544.30960875000005</v>
      </c>
      <c r="G189" s="163">
        <v>490.4415539625</v>
      </c>
      <c r="I189" s="163">
        <v>130</v>
      </c>
      <c r="J189" s="163">
        <v>3</v>
      </c>
      <c r="L189" s="183">
        <v>20999.460714285713</v>
      </c>
      <c r="M189" s="184">
        <v>864.77367174435972</v>
      </c>
      <c r="N189" s="171">
        <f t="shared" si="10"/>
        <v>1008.4591433572687</v>
      </c>
      <c r="O189" s="183">
        <v>6828.0536397386386</v>
      </c>
      <c r="P189" s="184">
        <v>1132.0609213635664</v>
      </c>
      <c r="Q189" s="171">
        <f t="shared" si="5"/>
        <v>1320.1571975285899</v>
      </c>
      <c r="R189" s="183">
        <v>10877.781177428844</v>
      </c>
      <c r="S189" s="184">
        <v>190.02859425457928</v>
      </c>
      <c r="T189" s="171">
        <f t="shared" si="6"/>
        <v>221.60257606918628</v>
      </c>
    </row>
    <row r="190" spans="1:20" s="163" customFormat="1" x14ac:dyDescent="0.2">
      <c r="A190" s="166">
        <v>4</v>
      </c>
      <c r="C190" s="174">
        <f>+E190-E189</f>
        <v>166.80539124999996</v>
      </c>
      <c r="D190" s="166">
        <f>+G190-G189</f>
        <v>151.72844603749996</v>
      </c>
      <c r="E190" s="163">
        <v>711.11500000000001</v>
      </c>
      <c r="G190" s="163">
        <v>642.16999999999996</v>
      </c>
      <c r="I190" s="163">
        <v>132</v>
      </c>
      <c r="J190" s="163">
        <v>4</v>
      </c>
      <c r="L190" s="183">
        <v>17946.539285714287</v>
      </c>
      <c r="M190" s="184">
        <v>826.79347775776318</v>
      </c>
      <c r="N190" s="171">
        <f t="shared" si="10"/>
        <v>949.55978203088546</v>
      </c>
      <c r="O190" s="183">
        <v>5621.9463602613596</v>
      </c>
      <c r="P190" s="184">
        <v>1071.0118577206574</v>
      </c>
      <c r="Q190" s="171">
        <f t="shared" ref="Q190:Q218" si="11">P190/I190*$I$69</f>
        <v>1230.0408911397851</v>
      </c>
      <c r="R190" s="183">
        <v>8525.2188225711561</v>
      </c>
      <c r="S190" s="184">
        <v>190.41732478586363</v>
      </c>
      <c r="T190" s="171">
        <f t="shared" ref="T190:T218" si="12">S190/I190*$I$69</f>
        <v>218.69141240558275</v>
      </c>
    </row>
    <row r="191" spans="1:20" s="163" customFormat="1" x14ac:dyDescent="0.2">
      <c r="A191" s="163">
        <v>1</v>
      </c>
      <c r="B191" s="163">
        <v>2013</v>
      </c>
      <c r="C191" s="174">
        <f>+E191</f>
        <v>199.180995</v>
      </c>
      <c r="D191" s="166">
        <f>+G191</f>
        <v>183.65288545000001</v>
      </c>
      <c r="E191" s="163">
        <v>199.180995</v>
      </c>
      <c r="G191" s="163">
        <v>183.65288545000001</v>
      </c>
      <c r="I191" s="163">
        <v>133</v>
      </c>
      <c r="J191" s="163">
        <v>1</v>
      </c>
      <c r="K191" s="163">
        <f>B191</f>
        <v>2013</v>
      </c>
      <c r="L191" s="183">
        <v>21974.571815476189</v>
      </c>
      <c r="M191" s="184">
        <v>1023.0812127444322</v>
      </c>
      <c r="N191" s="171">
        <f t="shared" si="10"/>
        <v>1166.1587357297437</v>
      </c>
      <c r="O191" s="183">
        <v>5520.4451678348678</v>
      </c>
      <c r="P191" s="184">
        <v>1148.1840804128565</v>
      </c>
      <c r="Q191" s="171">
        <f t="shared" si="11"/>
        <v>1308.7571924104441</v>
      </c>
      <c r="R191" s="183">
        <v>5958.3970505452735</v>
      </c>
      <c r="S191" s="184">
        <v>167.84779905693762</v>
      </c>
      <c r="T191" s="171">
        <f t="shared" si="12"/>
        <v>191.32125065437401</v>
      </c>
    </row>
    <row r="192" spans="1:20" s="163" customFormat="1" x14ac:dyDescent="0.2">
      <c r="A192" s="163">
        <v>2</v>
      </c>
      <c r="C192" s="174">
        <f>+E192-E191</f>
        <v>205.01500500000003</v>
      </c>
      <c r="D192" s="166">
        <f>+G192-G191</f>
        <v>185.63411454999996</v>
      </c>
      <c r="E192" s="163">
        <v>404.19600000000003</v>
      </c>
      <c r="G192" s="163">
        <v>369.28699999999998</v>
      </c>
      <c r="I192" s="163">
        <v>134.30000000000001</v>
      </c>
      <c r="J192" s="163">
        <v>2</v>
      </c>
      <c r="L192" s="183">
        <v>23960.428184523811</v>
      </c>
      <c r="M192" s="184">
        <v>1011.581560458749</v>
      </c>
      <c r="N192" s="171">
        <f t="shared" si="10"/>
        <v>1141.8895351120352</v>
      </c>
      <c r="O192" s="183">
        <v>6388.5548321651322</v>
      </c>
      <c r="P192" s="184">
        <v>1133.7065185307133</v>
      </c>
      <c r="Q192" s="171">
        <f t="shared" si="11"/>
        <v>1279.7461519676554</v>
      </c>
      <c r="R192" s="183">
        <v>10154.602949454726</v>
      </c>
      <c r="S192" s="184">
        <v>176.1673175310234</v>
      </c>
      <c r="T192" s="171">
        <f t="shared" si="12"/>
        <v>198.86050139764069</v>
      </c>
    </row>
    <row r="193" spans="1:20" s="163" customFormat="1" x14ac:dyDescent="0.2">
      <c r="A193" s="163">
        <v>3</v>
      </c>
      <c r="C193" s="174">
        <f>+E193-E192</f>
        <v>172.04383408071794</v>
      </c>
      <c r="D193" s="166">
        <f>+G193-G192</f>
        <v>153.21019910313902</v>
      </c>
      <c r="E193" s="163">
        <v>576.23983408071797</v>
      </c>
      <c r="G193" s="163">
        <v>522.497199103139</v>
      </c>
      <c r="I193" s="163">
        <v>134.19999999999999</v>
      </c>
      <c r="J193" s="163">
        <v>3</v>
      </c>
      <c r="L193" s="183">
        <v>18388.581422924897</v>
      </c>
      <c r="M193" s="184">
        <v>735.52528494140915</v>
      </c>
      <c r="N193" s="171">
        <f t="shared" si="10"/>
        <v>830.89145452397634</v>
      </c>
      <c r="O193" s="183">
        <v>11492.955434782609</v>
      </c>
      <c r="P193" s="184">
        <v>1323.3889549928699</v>
      </c>
      <c r="Q193" s="171">
        <f t="shared" si="11"/>
        <v>1494.9758984867294</v>
      </c>
      <c r="R193" s="183">
        <v>11786.02326086957</v>
      </c>
      <c r="S193" s="184">
        <v>172.41802435151402</v>
      </c>
      <c r="T193" s="171">
        <f t="shared" si="12"/>
        <v>194.77326744925134</v>
      </c>
    </row>
    <row r="194" spans="1:20" s="163" customFormat="1" x14ac:dyDescent="0.2">
      <c r="A194" s="166">
        <v>4</v>
      </c>
      <c r="C194" s="174">
        <f>+E194-E193</f>
        <v>204.099832585949</v>
      </c>
      <c r="D194" s="166">
        <f>+G194-G193</f>
        <v>188.07946756352794</v>
      </c>
      <c r="E194" s="163">
        <v>780.33966666666697</v>
      </c>
      <c r="G194" s="163">
        <v>710.57666666666694</v>
      </c>
      <c r="I194" s="163">
        <v>135.30000000000001</v>
      </c>
      <c r="J194" s="163">
        <v>4</v>
      </c>
      <c r="L194" s="183">
        <v>18420.418577075106</v>
      </c>
      <c r="M194" s="183">
        <v>895.71090498583999</v>
      </c>
      <c r="N194" s="171">
        <f>M194/I194*$I$69</f>
        <v>1003.6199053647696</v>
      </c>
      <c r="O194" s="183">
        <v>7745.0445652173912</v>
      </c>
      <c r="P194" s="183">
        <v>1212.6630411771803</v>
      </c>
      <c r="Q194" s="171">
        <f t="shared" si="11"/>
        <v>1358.7562235215116</v>
      </c>
      <c r="R194" s="183">
        <v>11621.97673913043</v>
      </c>
      <c r="S194" s="183">
        <v>180.100371437175</v>
      </c>
      <c r="T194" s="171">
        <f t="shared" si="12"/>
        <v>201.79760761179398</v>
      </c>
    </row>
    <row r="195" spans="1:20" s="163" customFormat="1" x14ac:dyDescent="0.2">
      <c r="A195" s="166">
        <v>1</v>
      </c>
      <c r="B195" s="163">
        <v>2014</v>
      </c>
      <c r="C195" s="174">
        <f>E195</f>
        <v>196.17699999999999</v>
      </c>
      <c r="D195" s="166">
        <f>G195</f>
        <v>179.55199999999999</v>
      </c>
      <c r="E195" s="163">
        <v>196.17699999999999</v>
      </c>
      <c r="G195" s="163">
        <v>179.55199999999999</v>
      </c>
      <c r="I195" s="163">
        <v>135.80000000000001</v>
      </c>
      <c r="J195" s="163">
        <f>A195</f>
        <v>1</v>
      </c>
      <c r="K195" s="163">
        <f>B195</f>
        <v>2014</v>
      </c>
      <c r="L195" s="183">
        <v>19713</v>
      </c>
      <c r="M195" s="183">
        <v>886.67647724495987</v>
      </c>
      <c r="N195" s="171">
        <f>M195/I195*$I$69</f>
        <v>989.83913070939548</v>
      </c>
      <c r="O195" s="183">
        <v>7032</v>
      </c>
      <c r="P195" s="183">
        <v>1484.9150299297401</v>
      </c>
      <c r="Q195" s="171">
        <f t="shared" ref="Q195" si="13">P195/I195*$I$69</f>
        <v>1657.6812852529349</v>
      </c>
      <c r="R195" s="183">
        <v>8004</v>
      </c>
      <c r="S195" s="183">
        <v>165.16263465729782</v>
      </c>
      <c r="T195" s="171">
        <f t="shared" ref="T195" si="14">S195/I195*$I$69</f>
        <v>184.37890584717485</v>
      </c>
    </row>
    <row r="196" spans="1:20" s="163" customFormat="1" x14ac:dyDescent="0.2">
      <c r="A196" s="163">
        <v>2</v>
      </c>
      <c r="C196" s="174">
        <f>+E196-E195</f>
        <v>197.965</v>
      </c>
      <c r="D196" s="166">
        <f>+G196-G195</f>
        <v>179.76700000000002</v>
      </c>
      <c r="E196" s="163">
        <v>394.142</v>
      </c>
      <c r="G196" s="163">
        <v>359.31900000000002</v>
      </c>
      <c r="I196" s="163">
        <v>136.69999999999999</v>
      </c>
      <c r="J196" s="163">
        <v>2</v>
      </c>
      <c r="L196" s="183">
        <v>16691</v>
      </c>
      <c r="M196" s="183">
        <v>732.96206934555016</v>
      </c>
      <c r="N196" s="171">
        <f t="shared" ref="N196:N218" si="15">M196/I196*$I$69</f>
        <v>812.85332635541624</v>
      </c>
      <c r="O196" s="183">
        <v>6228</v>
      </c>
      <c r="P196" s="183">
        <v>1158.7677611998799</v>
      </c>
      <c r="Q196" s="171">
        <f t="shared" si="11"/>
        <v>1285.0709041543657</v>
      </c>
      <c r="R196" s="183">
        <v>11579</v>
      </c>
      <c r="S196" s="183">
        <v>167.32102845142202</v>
      </c>
      <c r="T196" s="171">
        <f t="shared" si="12"/>
        <v>185.55865335212567</v>
      </c>
    </row>
    <row r="197" spans="1:20" s="163" customFormat="1" x14ac:dyDescent="0.2">
      <c r="A197" s="163">
        <v>3</v>
      </c>
      <c r="C197" s="174">
        <f>+E197-E196</f>
        <v>192.10452006852</v>
      </c>
      <c r="D197" s="166">
        <f>+G197-G196</f>
        <v>173.47352006851992</v>
      </c>
      <c r="E197" s="163">
        <v>586.24652006852</v>
      </c>
      <c r="G197" s="163">
        <v>532.79252006851993</v>
      </c>
      <c r="I197" s="163">
        <v>137</v>
      </c>
      <c r="J197" s="163">
        <v>3</v>
      </c>
      <c r="L197" s="183">
        <v>21817</v>
      </c>
      <c r="M197" s="183">
        <v>1080.59231996894</v>
      </c>
      <c r="N197" s="171">
        <f t="shared" si="15"/>
        <v>1195.7503336298635</v>
      </c>
      <c r="O197" s="183">
        <v>20407</v>
      </c>
      <c r="P197" s="183">
        <v>1259.8740491119995</v>
      </c>
      <c r="Q197" s="171">
        <f t="shared" si="11"/>
        <v>1394.1379988713804</v>
      </c>
      <c r="R197" s="183">
        <v>11684</v>
      </c>
      <c r="S197" s="183">
        <v>177.03184293206914</v>
      </c>
      <c r="T197" s="171">
        <f t="shared" si="12"/>
        <v>195.89801013504876</v>
      </c>
    </row>
    <row r="198" spans="1:20" s="163" customFormat="1" x14ac:dyDescent="0.2">
      <c r="A198" s="163">
        <v>4</v>
      </c>
      <c r="C198" s="174">
        <f>+E198-E197</f>
        <v>196.808833167682</v>
      </c>
      <c r="D198" s="166">
        <f>+G198-G197</f>
        <v>184.73883316768206</v>
      </c>
      <c r="E198" s="163">
        <v>783.055353236202</v>
      </c>
      <c r="G198" s="163">
        <v>717.53135323620199</v>
      </c>
      <c r="I198" s="163">
        <v>137.9</v>
      </c>
      <c r="J198" s="163">
        <v>4</v>
      </c>
      <c r="L198" s="183">
        <v>20183</v>
      </c>
      <c r="M198" s="183">
        <v>869.67426416194962</v>
      </c>
      <c r="N198" s="171">
        <f t="shared" si="15"/>
        <v>956.0741004129917</v>
      </c>
      <c r="O198" s="183">
        <v>12863</v>
      </c>
      <c r="P198" s="183">
        <v>1106.850761909501</v>
      </c>
      <c r="Q198" s="171">
        <f t="shared" si="11"/>
        <v>1216.813455442207</v>
      </c>
      <c r="R198" s="183">
        <v>9690</v>
      </c>
      <c r="S198" s="183">
        <v>175.42101671448501</v>
      </c>
      <c r="T198" s="171">
        <f t="shared" si="12"/>
        <v>192.84863041273331</v>
      </c>
    </row>
    <row r="199" spans="1:20" s="163" customFormat="1" x14ac:dyDescent="0.2">
      <c r="A199" s="163">
        <v>1</v>
      </c>
      <c r="B199" s="163">
        <v>2015</v>
      </c>
      <c r="C199" s="174">
        <f>E199</f>
        <v>219.418599054541</v>
      </c>
      <c r="D199" s="166">
        <f>G199</f>
        <v>202.59159905454101</v>
      </c>
      <c r="E199" s="163">
        <v>219.418599054541</v>
      </c>
      <c r="G199" s="163">
        <v>202.59159905454101</v>
      </c>
      <c r="I199" s="163">
        <v>138.4</v>
      </c>
      <c r="J199" s="163">
        <v>1</v>
      </c>
      <c r="K199" s="163">
        <v>2015</v>
      </c>
      <c r="L199" s="183">
        <v>19630</v>
      </c>
      <c r="M199" s="183">
        <v>957.60520650282388</v>
      </c>
      <c r="N199" s="171">
        <f t="shared" si="15"/>
        <v>1048.937494984307</v>
      </c>
      <c r="O199" s="183">
        <v>9848</v>
      </c>
      <c r="P199" s="183">
        <v>1279.8360091262539</v>
      </c>
      <c r="Q199" s="171">
        <f t="shared" si="11"/>
        <v>1401.9012932336709</v>
      </c>
      <c r="R199" s="183">
        <v>7135</v>
      </c>
      <c r="S199" s="183">
        <v>155.36971992416409</v>
      </c>
      <c r="T199" s="171">
        <f t="shared" si="12"/>
        <v>170.18821922328956</v>
      </c>
    </row>
    <row r="200" spans="1:20" s="163" customFormat="1" x14ac:dyDescent="0.2">
      <c r="A200" s="163">
        <v>2</v>
      </c>
      <c r="C200" s="174">
        <f>+E200-E199</f>
        <v>188.69592411436798</v>
      </c>
      <c r="D200" s="166">
        <f>+G200-G199</f>
        <v>171.45081948058601</v>
      </c>
      <c r="E200" s="163">
        <v>408.11452316890899</v>
      </c>
      <c r="G200" s="163">
        <v>374.04241853512701</v>
      </c>
      <c r="I200" s="163">
        <v>139.6</v>
      </c>
      <c r="J200" s="163">
        <v>2</v>
      </c>
      <c r="L200" s="183">
        <v>15703.949675889351</v>
      </c>
      <c r="M200" s="183">
        <v>739.71582874915612</v>
      </c>
      <c r="N200" s="171">
        <f t="shared" si="15"/>
        <v>803.30171660724977</v>
      </c>
      <c r="O200" s="183">
        <v>5422.7168724637304</v>
      </c>
      <c r="P200" s="183">
        <v>1206.7408437095464</v>
      </c>
      <c r="Q200" s="171">
        <f t="shared" si="11"/>
        <v>1310.4721483264129</v>
      </c>
      <c r="R200" s="183">
        <v>9988.3050621118018</v>
      </c>
      <c r="S200" s="183">
        <v>168.85276765034422</v>
      </c>
      <c r="T200" s="171">
        <f t="shared" si="12"/>
        <v>183.36733220481506</v>
      </c>
    </row>
    <row r="201" spans="1:20" s="163" customFormat="1" x14ac:dyDescent="0.2">
      <c r="A201" s="163">
        <v>3</v>
      </c>
      <c r="C201" s="174">
        <f>+E201-E200</f>
        <v>180.38826158445403</v>
      </c>
      <c r="D201" s="166">
        <f>+G201-G200</f>
        <v>162.29720926756397</v>
      </c>
      <c r="E201" s="163">
        <v>588.50278475336302</v>
      </c>
      <c r="G201" s="163">
        <v>536.33962780269098</v>
      </c>
      <c r="I201" s="163">
        <v>139.69999999999999</v>
      </c>
      <c r="J201" s="163">
        <v>3</v>
      </c>
      <c r="L201" s="183">
        <v>22728.974837944646</v>
      </c>
      <c r="M201" s="183">
        <v>979.87465749478997</v>
      </c>
      <c r="N201" s="171">
        <f t="shared" si="15"/>
        <v>1063.3428638239811</v>
      </c>
      <c r="O201" s="183">
        <v>8619.8584362319707</v>
      </c>
      <c r="P201" s="183">
        <v>1341.1049733657396</v>
      </c>
      <c r="Q201" s="171">
        <f t="shared" si="11"/>
        <v>1455.343693358956</v>
      </c>
      <c r="R201" s="183">
        <v>10649.652531055901</v>
      </c>
      <c r="S201" s="183">
        <v>131.16322330640469</v>
      </c>
      <c r="T201" s="171">
        <f t="shared" si="12"/>
        <v>142.33603903543988</v>
      </c>
    </row>
    <row r="202" spans="1:20" s="163" customFormat="1" x14ac:dyDescent="0.2">
      <c r="A202" s="163">
        <v>4</v>
      </c>
      <c r="C202" s="174">
        <f>+E202-E201</f>
        <v>195.22963867497901</v>
      </c>
      <c r="D202" s="166">
        <f>+G202-G201</f>
        <v>179.89113138755602</v>
      </c>
      <c r="E202" s="163">
        <v>783.73242342834203</v>
      </c>
      <c r="G202" s="163">
        <v>716.230759190247</v>
      </c>
      <c r="I202" s="163">
        <v>141.69999999999999</v>
      </c>
      <c r="J202" s="163">
        <v>4</v>
      </c>
      <c r="L202" s="183">
        <v>17661.404213438705</v>
      </c>
      <c r="M202" s="183">
        <v>882.4718984768997</v>
      </c>
      <c r="N202" s="171">
        <f t="shared" si="15"/>
        <v>944.1266041573607</v>
      </c>
      <c r="O202" s="183">
        <v>7193.856491304301</v>
      </c>
      <c r="P202" s="183">
        <v>1425.3376484527203</v>
      </c>
      <c r="Q202" s="171">
        <f t="shared" si="11"/>
        <v>1524.9201658816685</v>
      </c>
      <c r="R202" s="183">
        <v>9159.825978260902</v>
      </c>
      <c r="S202" s="183">
        <v>158.55842389179503</v>
      </c>
      <c r="T202" s="171">
        <f t="shared" si="12"/>
        <v>169.63625308395291</v>
      </c>
    </row>
    <row r="203" spans="1:20" s="163" customFormat="1" x14ac:dyDescent="0.2">
      <c r="A203" s="163">
        <v>1</v>
      </c>
      <c r="B203" s="163">
        <v>2016</v>
      </c>
      <c r="C203" s="174">
        <f>E203</f>
        <v>217.297581707322</v>
      </c>
      <c r="D203" s="166">
        <f>G203</f>
        <v>201.19677375494101</v>
      </c>
      <c r="E203" s="163">
        <v>217.297581707322</v>
      </c>
      <c r="G203" s="163">
        <v>201.19677375494101</v>
      </c>
      <c r="I203" s="163">
        <v>142.69999999999999</v>
      </c>
      <c r="J203" s="163">
        <v>1</v>
      </c>
      <c r="K203" s="163">
        <v>2016</v>
      </c>
      <c r="L203" s="183">
        <v>20668.165818181998</v>
      </c>
      <c r="M203" s="183">
        <v>1021.6300324660001</v>
      </c>
      <c r="N203" s="171">
        <f t="shared" si="15"/>
        <v>1085.3476728931018</v>
      </c>
      <c r="O203" s="183">
        <v>6682.5362000000005</v>
      </c>
      <c r="P203" s="183">
        <v>1267.176908724</v>
      </c>
      <c r="Q203" s="171">
        <f t="shared" si="11"/>
        <v>1346.2089653998487</v>
      </c>
      <c r="R203" s="183">
        <v>6340.7358571430004</v>
      </c>
      <c r="S203" s="183">
        <v>128.592957756</v>
      </c>
      <c r="T203" s="171">
        <f t="shared" si="12"/>
        <v>136.6131212039916</v>
      </c>
    </row>
    <row r="204" spans="1:20" s="163" customFormat="1" x14ac:dyDescent="0.2">
      <c r="A204" s="163">
        <v>2</v>
      </c>
      <c r="C204" s="174">
        <f>+E204-E203</f>
        <v>210.94903078835901</v>
      </c>
      <c r="D204" s="166">
        <f>+G204-G203</f>
        <v>192.89311593057502</v>
      </c>
      <c r="E204" s="163">
        <v>428.24661249568101</v>
      </c>
      <c r="G204" s="163">
        <v>394.08988968551603</v>
      </c>
      <c r="I204" s="163">
        <v>144.30000000000001</v>
      </c>
      <c r="J204" s="163">
        <v>2</v>
      </c>
      <c r="L204" s="183">
        <v>19039.287573122998</v>
      </c>
      <c r="M204" s="183">
        <v>795.20392340999979</v>
      </c>
      <c r="N204" s="171">
        <f t="shared" si="15"/>
        <v>835.43253491999963</v>
      </c>
      <c r="O204" s="183">
        <v>5385.3991579709982</v>
      </c>
      <c r="P204" s="183">
        <v>991.5183596400002</v>
      </c>
      <c r="Q204" s="171">
        <f t="shared" si="11"/>
        <v>1041.6783320958004</v>
      </c>
      <c r="R204" s="183">
        <v>10107.700518632999</v>
      </c>
      <c r="S204" s="183">
        <v>152.61472035099999</v>
      </c>
      <c r="T204" s="171">
        <f t="shared" si="12"/>
        <v>160.33535415947054</v>
      </c>
    </row>
    <row r="205" spans="1:20" s="163" customFormat="1" x14ac:dyDescent="0.2">
      <c r="A205" s="163">
        <v>3</v>
      </c>
      <c r="C205" s="174">
        <f>+E205-E204</f>
        <v>193.64755294266695</v>
      </c>
      <c r="D205" s="166">
        <f>+G205-G204</f>
        <v>175.641874720337</v>
      </c>
      <c r="E205" s="163">
        <v>621.89416543834795</v>
      </c>
      <c r="G205" s="163">
        <v>569.73176440585303</v>
      </c>
      <c r="I205" s="163">
        <v>145.30000000000001</v>
      </c>
      <c r="J205" s="163">
        <v>3</v>
      </c>
      <c r="L205" s="183">
        <v>25325.005330874006</v>
      </c>
      <c r="M205" s="183">
        <v>1404.3111468839998</v>
      </c>
      <c r="N205" s="171">
        <f t="shared" si="15"/>
        <v>1465.2000679120049</v>
      </c>
      <c r="O205" s="183">
        <v>9666.7747891530034</v>
      </c>
      <c r="P205" s="183">
        <v>1492.4533452979995</v>
      </c>
      <c r="Q205" s="171">
        <f t="shared" si="11"/>
        <v>1557.1639858718286</v>
      </c>
      <c r="R205" s="183">
        <v>10325.156290487997</v>
      </c>
      <c r="S205" s="183">
        <v>149.15188867200001</v>
      </c>
      <c r="T205" s="171">
        <f t="shared" si="12"/>
        <v>155.61890105075841</v>
      </c>
    </row>
    <row r="206" spans="1:20" s="163" customFormat="1" x14ac:dyDescent="0.2">
      <c r="A206" s="163">
        <v>4</v>
      </c>
      <c r="C206" s="174">
        <f>+E206-E205</f>
        <v>194.66297676649504</v>
      </c>
      <c r="D206" s="166">
        <f>+G206-G205</f>
        <v>178.45454935802093</v>
      </c>
      <c r="E206" s="163">
        <v>816.55714220484299</v>
      </c>
      <c r="G206" s="163">
        <v>748.18631376387395</v>
      </c>
      <c r="I206" s="163">
        <v>146.69999999999999</v>
      </c>
      <c r="J206" s="163">
        <v>4</v>
      </c>
      <c r="L206" s="183">
        <v>18369.446222722992</v>
      </c>
      <c r="M206" s="183">
        <v>962.00640138500057</v>
      </c>
      <c r="N206" s="171">
        <f t="shared" si="15"/>
        <v>994.13885787297954</v>
      </c>
      <c r="O206" s="183">
        <v>6575.4640743699983</v>
      </c>
      <c r="P206" s="183">
        <v>1222.1149542560006</v>
      </c>
      <c r="Q206" s="171">
        <f t="shared" si="11"/>
        <v>1262.935426484047</v>
      </c>
      <c r="R206" s="183">
        <v>7957.0224983410008</v>
      </c>
      <c r="S206" s="183">
        <v>147.86469469900001</v>
      </c>
      <c r="T206" s="171">
        <f t="shared" si="12"/>
        <v>152.8035972485917</v>
      </c>
    </row>
    <row r="207" spans="1:20" s="163" customFormat="1" x14ac:dyDescent="0.2">
      <c r="A207" s="163">
        <v>1</v>
      </c>
      <c r="B207" s="163">
        <v>2017</v>
      </c>
      <c r="C207" s="174">
        <f>E207</f>
        <v>227.02914608932699</v>
      </c>
      <c r="D207" s="166">
        <f>G207</f>
        <v>210.737716871462</v>
      </c>
      <c r="E207" s="163">
        <v>227.02914608932699</v>
      </c>
      <c r="G207" s="163">
        <v>210.737716871462</v>
      </c>
      <c r="I207" s="163">
        <v>146.4</v>
      </c>
      <c r="J207" s="163">
        <v>1</v>
      </c>
      <c r="K207" s="163">
        <v>2017</v>
      </c>
      <c r="L207" s="183">
        <v>20188.970584052</v>
      </c>
      <c r="M207" s="183">
        <v>1029.1484993670001</v>
      </c>
      <c r="N207" s="171">
        <f t="shared" si="15"/>
        <v>1065.7029542625492</v>
      </c>
      <c r="O207" s="183">
        <v>7124.2571060979999</v>
      </c>
      <c r="P207" s="183">
        <v>1296.4468783369998</v>
      </c>
      <c r="Q207" s="171">
        <f t="shared" si="11"/>
        <v>1342.4955379500627</v>
      </c>
      <c r="R207" s="183">
        <v>6121.3819215860003</v>
      </c>
      <c r="S207" s="183">
        <v>141.149656131</v>
      </c>
      <c r="T207" s="171">
        <f t="shared" si="12"/>
        <v>146.16316850723769</v>
      </c>
    </row>
    <row r="208" spans="1:20" s="163" customFormat="1" x14ac:dyDescent="0.2">
      <c r="A208" s="163">
        <v>2</v>
      </c>
      <c r="C208" s="174">
        <f>+E208-E207</f>
        <v>200.76722202181199</v>
      </c>
      <c r="D208" s="166">
        <f>+G208-G207</f>
        <v>183.70797761744905</v>
      </c>
      <c r="E208" s="163">
        <v>427.79636811113897</v>
      </c>
      <c r="G208" s="163">
        <v>394.44569448891104</v>
      </c>
      <c r="I208" s="163">
        <v>147.4</v>
      </c>
      <c r="J208" s="163">
        <v>2</v>
      </c>
      <c r="L208" s="183">
        <v>16357.538075795001</v>
      </c>
      <c r="M208" s="183">
        <v>768.50776898899994</v>
      </c>
      <c r="N208" s="171">
        <f t="shared" si="15"/>
        <v>790.40554802396468</v>
      </c>
      <c r="O208" s="183">
        <v>5007.3623026510004</v>
      </c>
      <c r="P208" s="183">
        <v>1681.8190342150001</v>
      </c>
      <c r="Q208" s="171">
        <f t="shared" si="11"/>
        <v>1729.740607781506</v>
      </c>
      <c r="R208" s="183">
        <v>7194.9193664359991</v>
      </c>
      <c r="S208" s="183">
        <v>119.946167266</v>
      </c>
      <c r="T208" s="171">
        <f t="shared" si="12"/>
        <v>123.36390066163906</v>
      </c>
    </row>
    <row r="209" spans="1:20" s="163" customFormat="1" x14ac:dyDescent="0.2">
      <c r="A209" s="163">
        <v>3</v>
      </c>
      <c r="C209" s="174">
        <f>+E209-E208</f>
        <v>195.05863188886104</v>
      </c>
      <c r="D209" s="166">
        <f>+G209-G208</f>
        <v>176.76630551108894</v>
      </c>
      <c r="E209" s="163">
        <v>622.85500000000002</v>
      </c>
      <c r="G209" s="163">
        <v>571.21199999999999</v>
      </c>
      <c r="I209" s="163">
        <v>147.30000000000001</v>
      </c>
      <c r="J209" s="163">
        <v>3</v>
      </c>
      <c r="L209" s="183">
        <v>19399</v>
      </c>
      <c r="M209" s="183">
        <v>907</v>
      </c>
      <c r="N209" s="171">
        <f t="shared" si="15"/>
        <v>933.47725729803108</v>
      </c>
      <c r="O209" s="183">
        <v>8892</v>
      </c>
      <c r="P209" s="183">
        <v>954</v>
      </c>
      <c r="Q209" s="171">
        <f t="shared" si="11"/>
        <v>981.84928716904267</v>
      </c>
      <c r="R209" s="183">
        <v>8727</v>
      </c>
      <c r="S209" s="183">
        <v>128</v>
      </c>
      <c r="T209" s="171">
        <f t="shared" si="12"/>
        <v>131.73659198913779</v>
      </c>
    </row>
    <row r="210" spans="1:20" s="163" customFormat="1" x14ac:dyDescent="0.2">
      <c r="A210" s="163">
        <v>4</v>
      </c>
      <c r="C210" s="174">
        <f>+E210-E209</f>
        <v>225.423</v>
      </c>
      <c r="D210" s="166">
        <f>+G210-G209</f>
        <v>208.21799999999996</v>
      </c>
      <c r="E210" s="163">
        <v>848.27800000000002</v>
      </c>
      <c r="G210" s="163">
        <v>779.43</v>
      </c>
      <c r="I210" s="163">
        <v>148.4</v>
      </c>
      <c r="J210" s="163">
        <v>4</v>
      </c>
      <c r="L210" s="183">
        <v>23333</v>
      </c>
      <c r="M210" s="183">
        <v>1141</v>
      </c>
      <c r="N210" s="171">
        <f t="shared" si="15"/>
        <v>1165.6037735849056</v>
      </c>
      <c r="O210" s="183">
        <v>6366</v>
      </c>
      <c r="P210" s="183">
        <v>1205</v>
      </c>
      <c r="Q210" s="171">
        <f t="shared" si="11"/>
        <v>1230.9838274932613</v>
      </c>
      <c r="R210" s="183">
        <v>7520</v>
      </c>
      <c r="S210" s="183">
        <v>124</v>
      </c>
      <c r="T210" s="171">
        <f t="shared" si="12"/>
        <v>126.67385444743935</v>
      </c>
    </row>
    <row r="211" spans="1:20" s="163" customFormat="1" x14ac:dyDescent="0.2">
      <c r="A211" s="163">
        <v>1</v>
      </c>
      <c r="B211" s="163">
        <v>2018</v>
      </c>
      <c r="C211" s="174">
        <f>E211</f>
        <v>241.52799999999999</v>
      </c>
      <c r="D211" s="185">
        <f>G211</f>
        <v>222.678</v>
      </c>
      <c r="E211" s="186">
        <v>241.52799999999999</v>
      </c>
      <c r="F211" s="186"/>
      <c r="G211" s="186">
        <v>222.678</v>
      </c>
      <c r="I211" s="163">
        <v>149.69999999999999</v>
      </c>
      <c r="J211" s="163">
        <v>1</v>
      </c>
      <c r="K211" s="163">
        <v>2018</v>
      </c>
      <c r="L211" s="187">
        <v>25111</v>
      </c>
      <c r="M211" s="187">
        <v>1175</v>
      </c>
      <c r="N211" s="171">
        <f t="shared" si="15"/>
        <v>1189.9131596526386</v>
      </c>
      <c r="O211" s="187">
        <v>6317</v>
      </c>
      <c r="P211" s="187">
        <v>1262</v>
      </c>
      <c r="Q211" s="171">
        <f t="shared" si="11"/>
        <v>1278.0173680694725</v>
      </c>
      <c r="R211" s="187">
        <v>5433</v>
      </c>
      <c r="S211" s="187">
        <v>116</v>
      </c>
      <c r="T211" s="171">
        <f t="shared" si="12"/>
        <v>117.47227788911157</v>
      </c>
    </row>
    <row r="212" spans="1:20" s="163" customFormat="1" x14ac:dyDescent="0.2">
      <c r="A212" s="163">
        <v>2</v>
      </c>
      <c r="C212" s="174">
        <f>+E212-E211</f>
        <v>226.77080239162902</v>
      </c>
      <c r="D212" s="185">
        <f>+G212-G211</f>
        <v>208.83864191330298</v>
      </c>
      <c r="E212" s="186">
        <v>468.29880239162901</v>
      </c>
      <c r="F212" s="186"/>
      <c r="G212" s="186">
        <v>431.51664191330298</v>
      </c>
      <c r="I212" s="163">
        <v>150.80000000000001</v>
      </c>
      <c r="J212" s="163">
        <v>2</v>
      </c>
      <c r="L212" s="187">
        <v>20973.437462450995</v>
      </c>
      <c r="M212" s="187">
        <v>1076.7915513600001</v>
      </c>
      <c r="N212" s="171">
        <f t="shared" si="15"/>
        <v>1082.50397338313</v>
      </c>
      <c r="O212" s="187">
        <v>5869.5992710140017</v>
      </c>
      <c r="P212" s="187">
        <v>1471.9660798479999</v>
      </c>
      <c r="Q212" s="171">
        <f t="shared" si="11"/>
        <v>1479.774918467883</v>
      </c>
      <c r="R212" s="187">
        <v>9319.6839472049996</v>
      </c>
      <c r="S212" s="187">
        <v>135.61776245999999</v>
      </c>
      <c r="T212" s="171">
        <f t="shared" si="12"/>
        <v>136.33722008578246</v>
      </c>
    </row>
    <row r="213" spans="1:20" s="163" customFormat="1" x14ac:dyDescent="0.2">
      <c r="A213" s="163">
        <v>3</v>
      </c>
      <c r="C213" s="174">
        <f>+E213-E212</f>
        <v>230.04425590433516</v>
      </c>
      <c r="D213" s="185">
        <f>+G213-G212</f>
        <v>207.39460472346803</v>
      </c>
      <c r="E213" s="186">
        <v>698.34305829596417</v>
      </c>
      <c r="F213" s="186"/>
      <c r="G213" s="186">
        <v>638.91124663677101</v>
      </c>
      <c r="I213" s="163">
        <v>152.30000000000001</v>
      </c>
      <c r="J213" s="163">
        <v>3</v>
      </c>
      <c r="L213" s="187">
        <v>22635.655438734771</v>
      </c>
      <c r="M213" s="187">
        <v>1212.1884087902995</v>
      </c>
      <c r="N213" s="171">
        <f t="shared" si="15"/>
        <v>1206.616958454428</v>
      </c>
      <c r="O213" s="187">
        <v>10333.380031159912</v>
      </c>
      <c r="P213" s="187">
        <v>1822.4517080118057</v>
      </c>
      <c r="Q213" s="171">
        <f t="shared" si="11"/>
        <v>1814.0753705488492</v>
      </c>
      <c r="R213" s="187">
        <v>9726.2967189440697</v>
      </c>
      <c r="S213" s="187">
        <v>150.27129325880639</v>
      </c>
      <c r="T213" s="171">
        <f t="shared" si="12"/>
        <v>149.58061758394646</v>
      </c>
    </row>
    <row r="214" spans="1:20" s="163" customFormat="1" x14ac:dyDescent="0.2">
      <c r="A214" s="163">
        <v>4</v>
      </c>
      <c r="C214" s="174">
        <f>+E214-E213</f>
        <v>212.66674917787782</v>
      </c>
      <c r="D214" s="185">
        <f>+G214-G213</f>
        <v>195.66619934230232</v>
      </c>
      <c r="E214" s="186">
        <v>911.00980747384199</v>
      </c>
      <c r="F214" s="186"/>
      <c r="G214" s="186">
        <v>834.57744597907333</v>
      </c>
      <c r="I214" s="163">
        <v>153.6</v>
      </c>
      <c r="J214" s="163">
        <v>4</v>
      </c>
      <c r="L214" s="187">
        <v>22335.438371541502</v>
      </c>
      <c r="M214" s="187">
        <v>1078.6341079945755</v>
      </c>
      <c r="N214" s="171">
        <f t="shared" si="15"/>
        <v>1064.5893930467294</v>
      </c>
      <c r="O214" s="187">
        <v>7362.2217963768126</v>
      </c>
      <c r="P214" s="187">
        <v>1452.0805351783911</v>
      </c>
      <c r="Q214" s="171">
        <f t="shared" si="11"/>
        <v>1433.1732365432558</v>
      </c>
      <c r="R214" s="187">
        <v>8182.2589673913026</v>
      </c>
      <c r="S214" s="187">
        <v>116.53210966099653</v>
      </c>
      <c r="T214" s="171">
        <f t="shared" si="12"/>
        <v>115.01476448311897</v>
      </c>
    </row>
    <row r="215" spans="1:20" s="163" customFormat="1" x14ac:dyDescent="0.2">
      <c r="A215" s="163">
        <v>1</v>
      </c>
      <c r="B215" s="163">
        <v>2019</v>
      </c>
      <c r="C215" s="174">
        <f>E215</f>
        <v>242.05576995515696</v>
      </c>
      <c r="D215" s="185">
        <f>G215</f>
        <v>223.58363596412556</v>
      </c>
      <c r="E215" s="186">
        <v>242.05576995515696</v>
      </c>
      <c r="F215" s="186"/>
      <c r="G215" s="186">
        <v>223.58363596412556</v>
      </c>
      <c r="I215" s="163">
        <v>154.1</v>
      </c>
      <c r="J215" s="163">
        <v>1</v>
      </c>
      <c r="K215" s="163">
        <v>2019</v>
      </c>
      <c r="L215" s="187">
        <v>22394.924612648225</v>
      </c>
      <c r="M215" s="187">
        <v>1151.1138601930163</v>
      </c>
      <c r="N215" s="171">
        <f t="shared" si="15"/>
        <v>1132.439073363149</v>
      </c>
      <c r="O215" s="187">
        <v>6179.0660115942028</v>
      </c>
      <c r="P215" s="187">
        <v>1384.5030606846908</v>
      </c>
      <c r="Q215" s="171">
        <f t="shared" si="11"/>
        <v>1362.0419467864967</v>
      </c>
      <c r="R215" s="187">
        <v>6840.1016739130437</v>
      </c>
      <c r="S215" s="187">
        <v>122.43916062391185</v>
      </c>
      <c r="T215" s="171">
        <f t="shared" si="12"/>
        <v>120.45280175590548</v>
      </c>
    </row>
    <row r="216" spans="1:20" s="186" customFormat="1" x14ac:dyDescent="0.2">
      <c r="A216" s="186">
        <v>2</v>
      </c>
      <c r="C216" s="188">
        <f>+E216-E215</f>
        <v>221.71122705530604</v>
      </c>
      <c r="D216" s="185">
        <f>+G216-G215</f>
        <v>199.97176164424542</v>
      </c>
      <c r="E216" s="186">
        <v>463.766997010463</v>
      </c>
      <c r="G216" s="186">
        <v>423.55539760837098</v>
      </c>
      <c r="I216" s="186">
        <v>154.6</v>
      </c>
      <c r="J216" s="186">
        <v>2</v>
      </c>
      <c r="L216" s="187">
        <v>19703.243703557309</v>
      </c>
      <c r="M216" s="187">
        <v>1006.9446819648526</v>
      </c>
      <c r="N216" s="189">
        <f t="shared" si="15"/>
        <v>987.40500508325772</v>
      </c>
      <c r="O216" s="187">
        <v>8628.701004347824</v>
      </c>
      <c r="P216" s="187">
        <v>1346.7424148398591</v>
      </c>
      <c r="Q216" s="189">
        <f t="shared" si="11"/>
        <v>1320.608991524726</v>
      </c>
      <c r="R216" s="187">
        <v>10227.612341614906</v>
      </c>
      <c r="S216" s="187">
        <v>141.53554504088498</v>
      </c>
      <c r="T216" s="189">
        <f t="shared" si="12"/>
        <v>138.78905969080313</v>
      </c>
    </row>
    <row r="217" spans="1:20" s="186" customFormat="1" x14ac:dyDescent="0.2">
      <c r="A217" s="186">
        <v>3</v>
      </c>
      <c r="C217" s="188">
        <f>+E217-E216</f>
        <v>200.66800298953694</v>
      </c>
      <c r="D217" s="185">
        <f>+G217-G216</f>
        <v>183.517602391629</v>
      </c>
      <c r="E217" s="186">
        <v>664.43499999999995</v>
      </c>
      <c r="G217" s="186">
        <v>607.07299999999998</v>
      </c>
      <c r="I217" s="186">
        <v>154.69999999999999</v>
      </c>
      <c r="J217" s="186">
        <v>3</v>
      </c>
      <c r="L217" s="187">
        <v>26165.077849802379</v>
      </c>
      <c r="M217" s="187">
        <v>1402.3482904344257</v>
      </c>
      <c r="N217" s="189">
        <f t="shared" si="15"/>
        <v>1374.2469349053583</v>
      </c>
      <c r="O217" s="187">
        <v>13748.462299275363</v>
      </c>
      <c r="P217" s="187">
        <v>1484.9789315777889</v>
      </c>
      <c r="Q217" s="189">
        <f t="shared" si="11"/>
        <v>1455.2217584175357</v>
      </c>
      <c r="R217" s="187">
        <v>10507.793672360251</v>
      </c>
      <c r="S217" s="187">
        <v>144.78676128055025</v>
      </c>
      <c r="T217" s="189">
        <f t="shared" si="12"/>
        <v>141.8854105373718</v>
      </c>
    </row>
    <row r="218" spans="1:20" s="186" customFormat="1" x14ac:dyDescent="0.2">
      <c r="A218" s="186">
        <v>4</v>
      </c>
      <c r="C218" s="188">
        <f>+E218-E217</f>
        <v>216.91973572496272</v>
      </c>
      <c r="D218" s="185">
        <f>+G218-G217</f>
        <v>199.72038857997018</v>
      </c>
      <c r="E218" s="186">
        <v>881.35473572496267</v>
      </c>
      <c r="G218" s="186">
        <v>806.79338857997016</v>
      </c>
      <c r="I218" s="186">
        <v>156.1</v>
      </c>
      <c r="J218" s="186">
        <v>4</v>
      </c>
      <c r="L218" s="187">
        <v>22621.988837944664</v>
      </c>
      <c r="M218" s="187">
        <v>1317.7971704198299</v>
      </c>
      <c r="N218" s="189">
        <f t="shared" si="15"/>
        <v>1279.8081424448826</v>
      </c>
      <c r="O218" s="187">
        <v>7776.9221253623255</v>
      </c>
      <c r="P218" s="187">
        <v>1227.7391162265512</v>
      </c>
      <c r="Q218" s="189">
        <f t="shared" si="11"/>
        <v>1192.3462525300779</v>
      </c>
      <c r="R218" s="187">
        <v>9597.5708897515542</v>
      </c>
      <c r="S218" s="187">
        <v>133.20019148427383</v>
      </c>
      <c r="T218" s="189">
        <f t="shared" si="12"/>
        <v>129.36033971182519</v>
      </c>
    </row>
    <row r="219" spans="1:20" x14ac:dyDescent="0.2">
      <c r="C219" s="219"/>
      <c r="D219" s="214"/>
      <c r="J219" s="61"/>
      <c r="K219" s="61"/>
      <c r="L219" s="223"/>
      <c r="M219" s="223"/>
      <c r="N219" s="220"/>
      <c r="O219" s="223"/>
      <c r="P219" s="223"/>
      <c r="Q219" s="220"/>
      <c r="R219" s="223"/>
      <c r="S219" s="223"/>
      <c r="T219" s="220"/>
    </row>
    <row r="220" spans="1:20" x14ac:dyDescent="0.2">
      <c r="E220" s="217" t="s">
        <v>110</v>
      </c>
      <c r="J220" s="61"/>
      <c r="K220" s="224" t="s">
        <v>161</v>
      </c>
      <c r="L220" s="225">
        <f>L221-SUM(L215:L217)</f>
        <v>22621.988837944664</v>
      </c>
      <c r="M220" s="225">
        <f>M221-SUM(M215:M217)</f>
        <v>1317.7971704198299</v>
      </c>
      <c r="N220" s="226" t="s">
        <v>175</v>
      </c>
      <c r="O220" s="225">
        <f>O221-SUM(O215:O217)</f>
        <v>7776.9221253623255</v>
      </c>
      <c r="P220" s="225">
        <f>P221-SUM(P215:P217)</f>
        <v>1227.7391162265512</v>
      </c>
      <c r="Q220" s="226" t="s">
        <v>175</v>
      </c>
      <c r="R220" s="225">
        <f>R221-SUM(R215:R217)</f>
        <v>9597.5708897515542</v>
      </c>
      <c r="S220" s="225">
        <f>S221-SUM(S215:S217)</f>
        <v>133.20019148427383</v>
      </c>
      <c r="T220" s="220" t="s">
        <v>175</v>
      </c>
    </row>
    <row r="221" spans="1:20" x14ac:dyDescent="0.2">
      <c r="E221" s="221">
        <f>IF('Tab5'!E8="",'Tab5'!E7,'Tab5'!E8)/1000</f>
        <v>881.35473572496267</v>
      </c>
      <c r="G221" s="221">
        <f>IF('Tab5'!E10="",'Tab5'!E9,'Tab5'!E10)/1000</f>
        <v>806.79338857997016</v>
      </c>
      <c r="K221" s="218" t="s">
        <v>189</v>
      </c>
      <c r="L221" s="227">
        <f>SUM('Tab7'!E11,'Tab11'!E11)</f>
        <v>90885.235003952577</v>
      </c>
      <c r="M221" s="222">
        <f>SUM('Tab7'!E39,'Tab11'!E39)</f>
        <v>4878.2040030121243</v>
      </c>
      <c r="N221" s="228" t="s">
        <v>174</v>
      </c>
      <c r="O221" s="227">
        <f>SUM('Tab7'!E9,'Tab11'!E9)</f>
        <v>36333.151440579713</v>
      </c>
      <c r="P221" s="222">
        <f>SUM('Tab7'!E37,'Tab11'!E37)</f>
        <v>5443.96352332889</v>
      </c>
      <c r="Q221" s="228" t="s">
        <v>174</v>
      </c>
      <c r="R221" s="227">
        <f>SUM('Tab7'!E13,'Tab11'!E13)</f>
        <v>37173.078577639753</v>
      </c>
      <c r="S221" s="222">
        <f>SUM('Tab7'!E41,'Tab11'!E41)</f>
        <v>541.96165842962091</v>
      </c>
      <c r="T221" s="228" t="s">
        <v>174</v>
      </c>
    </row>
    <row r="222" spans="1:20" x14ac:dyDescent="0.2">
      <c r="K222" s="218" t="s">
        <v>188</v>
      </c>
      <c r="L222" s="227">
        <f>SUM('Tab7'!E12,'Tab11'!E12)</f>
        <v>0</v>
      </c>
      <c r="M222" s="222">
        <f>SUM('Tab7'!E40,'Tab11'!E40)</f>
        <v>0</v>
      </c>
      <c r="N222" s="228" t="s">
        <v>174</v>
      </c>
      <c r="O222" s="227">
        <f>SUM('Tab7'!E10,'Tab11'!E10)</f>
        <v>0</v>
      </c>
      <c r="P222" s="222">
        <f>SUM('Tab7'!E38,'Tab11'!E38)</f>
        <v>0</v>
      </c>
      <c r="Q222" s="228" t="s">
        <v>174</v>
      </c>
      <c r="R222" s="227">
        <f>SUM('Tab7'!E14,'Tab11'!E14)</f>
        <v>0</v>
      </c>
      <c r="S222" s="222">
        <f>SUM('Tab7'!E42,'Tab11'!E42)</f>
        <v>0</v>
      </c>
      <c r="T222" s="228" t="s">
        <v>174</v>
      </c>
    </row>
  </sheetData>
  <autoFilter ref="A2" xr:uid="{00000000-0009-0000-0000-000003000000}"/>
  <mergeCells count="6">
    <mergeCell ref="AJ61:AJ62"/>
    <mergeCell ref="AC61:AC62"/>
    <mergeCell ref="A4:A5"/>
    <mergeCell ref="H61:H62"/>
    <mergeCell ref="O61:O62"/>
    <mergeCell ref="V61:V62"/>
  </mergeCells>
  <phoneticPr fontId="0" type="noConversion"/>
  <hyperlinks>
    <hyperlink ref="A2" location="Innhold!A11" display="Tilbake til innholdsfortegnelsen" xr:uid="{00000000-0004-0000-0300-000000000000}"/>
  </hyperlinks>
  <pageMargins left="0.78740157480314965" right="0.78740157480314965" top="0.98425196850393704" bottom="0.19685039370078741" header="3.937007874015748E-2" footer="3.937007874015748E-2"/>
  <pageSetup paperSize="9" scale="99" orientation="portrait" horizontalDpi="300" verticalDpi="300" r:id="rId1"/>
  <headerFooter alignWithMargins="0"/>
  <rowBreaks count="1" manualBreakCount="1">
    <brk id="62" max="16383" man="1"/>
  </rowBreaks>
  <ignoredErrors>
    <ignoredError sqref="L220:M220 O220:P220 R220:S220" formulaRange="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68"/>
  <sheetViews>
    <sheetView showGridLines="0" showRowColHeaders="0" zoomScaleNormal="100" zoomScaleSheetLayoutView="70" workbookViewId="0"/>
  </sheetViews>
  <sheetFormatPr defaultColWidth="11.42578125" defaultRowHeight="12.75" x14ac:dyDescent="0.2"/>
  <cols>
    <col min="1" max="1" width="26.42578125" style="1" customWidth="1"/>
    <col min="2" max="2" width="8.140625" style="1" customWidth="1"/>
    <col min="3" max="4" width="10.42578125" style="1" customWidth="1"/>
    <col min="5" max="5" width="9.85546875" style="1" customWidth="1"/>
    <col min="6" max="6" width="1.5703125" style="1" customWidth="1"/>
    <col min="7" max="7" width="7.5703125" style="1" customWidth="1"/>
    <col min="8" max="8" width="8.85546875" style="1" customWidth="1"/>
    <col min="9" max="16384" width="11.42578125" style="1"/>
  </cols>
  <sheetData>
    <row r="1" spans="1:8" ht="5.25" customHeight="1" x14ac:dyDescent="0.2"/>
    <row r="2" spans="1:8" x14ac:dyDescent="0.2">
      <c r="A2" s="92" t="s">
        <v>0</v>
      </c>
      <c r="B2" s="2"/>
      <c r="C2" s="2"/>
      <c r="D2" s="2"/>
      <c r="E2" s="2"/>
      <c r="F2" s="2"/>
      <c r="G2" s="2"/>
    </row>
    <row r="3" spans="1:8" ht="6" customHeight="1" x14ac:dyDescent="0.2">
      <c r="A3" s="3"/>
      <c r="B3" s="2"/>
      <c r="C3" s="2"/>
      <c r="D3" s="2"/>
      <c r="E3" s="2"/>
      <c r="F3" s="2"/>
      <c r="G3" s="2"/>
    </row>
    <row r="4" spans="1:8" ht="16.5" thickBot="1" x14ac:dyDescent="0.3">
      <c r="A4" s="4" t="s">
        <v>145</v>
      </c>
      <c r="B4" s="5"/>
      <c r="C4" s="5"/>
      <c r="D4" s="5"/>
      <c r="E4" s="5"/>
      <c r="F4" s="5"/>
      <c r="G4" s="5"/>
      <c r="H4" s="6"/>
    </row>
    <row r="5" spans="1:8" x14ac:dyDescent="0.2">
      <c r="A5" s="7"/>
      <c r="B5" s="8"/>
      <c r="C5" s="9"/>
      <c r="D5" s="8"/>
      <c r="E5" s="10"/>
      <c r="F5" s="11"/>
      <c r="G5" s="197" t="s">
        <v>1</v>
      </c>
      <c r="H5" s="198"/>
    </row>
    <row r="6" spans="1:8" x14ac:dyDescent="0.2">
      <c r="A6" s="12"/>
      <c r="B6" s="13"/>
      <c r="C6" s="14" t="s">
        <v>236</v>
      </c>
      <c r="D6" s="15" t="s">
        <v>237</v>
      </c>
      <c r="E6" s="15" t="s">
        <v>238</v>
      </c>
      <c r="F6" s="16"/>
      <c r="G6" s="17" t="s">
        <v>239</v>
      </c>
      <c r="H6" s="18" t="s">
        <v>240</v>
      </c>
    </row>
    <row r="7" spans="1:8" x14ac:dyDescent="0.2">
      <c r="A7" s="199" t="s">
        <v>2</v>
      </c>
      <c r="B7" s="19" t="s">
        <v>3</v>
      </c>
      <c r="C7" s="20">
        <v>1914669.0099414669</v>
      </c>
      <c r="D7" s="20">
        <v>2118780.1395823145</v>
      </c>
      <c r="E7" s="79">
        <v>2227308.6919127963</v>
      </c>
      <c r="F7" s="22" t="s">
        <v>241</v>
      </c>
      <c r="G7" s="23">
        <v>16.328654213758199</v>
      </c>
      <c r="H7" s="24">
        <v>5.1222186909811569</v>
      </c>
    </row>
    <row r="8" spans="1:8" x14ac:dyDescent="0.2">
      <c r="A8" s="200"/>
      <c r="B8" s="25" t="s">
        <v>241</v>
      </c>
      <c r="C8" s="26" t="s">
        <v>241</v>
      </c>
      <c r="D8" s="26" t="s">
        <v>241</v>
      </c>
      <c r="E8" s="26" t="s">
        <v>241</v>
      </c>
      <c r="F8" s="27"/>
      <c r="G8" s="28" t="s">
        <v>241</v>
      </c>
      <c r="H8" s="29" t="s">
        <v>241</v>
      </c>
    </row>
    <row r="9" spans="1:8" x14ac:dyDescent="0.2">
      <c r="A9" s="30" t="s">
        <v>4</v>
      </c>
      <c r="B9" s="31" t="s">
        <v>3</v>
      </c>
      <c r="C9" s="20">
        <v>659386.10059192823</v>
      </c>
      <c r="D9" s="20">
        <v>682061.20020328846</v>
      </c>
      <c r="E9" s="20">
        <v>700505.74065171904</v>
      </c>
      <c r="F9" s="22" t="s">
        <v>241</v>
      </c>
      <c r="G9" s="32">
        <v>6.2360489587023267</v>
      </c>
      <c r="H9" s="33">
        <v>2.7042354033528255</v>
      </c>
    </row>
    <row r="10" spans="1:8" x14ac:dyDescent="0.2">
      <c r="A10" s="34"/>
      <c r="B10" s="25" t="s">
        <v>241</v>
      </c>
      <c r="C10" s="26" t="s">
        <v>241</v>
      </c>
      <c r="D10" s="26" t="s">
        <v>241</v>
      </c>
      <c r="E10" s="26" t="s">
        <v>241</v>
      </c>
      <c r="F10" s="27"/>
      <c r="G10" s="28" t="s">
        <v>241</v>
      </c>
      <c r="H10" s="29" t="s">
        <v>241</v>
      </c>
    </row>
    <row r="11" spans="1:8" x14ac:dyDescent="0.2">
      <c r="A11" s="30" t="s">
        <v>5</v>
      </c>
      <c r="B11" s="31" t="s">
        <v>3</v>
      </c>
      <c r="C11" s="20">
        <v>188881.58277912228</v>
      </c>
      <c r="D11" s="20">
        <v>226601.60727055313</v>
      </c>
      <c r="E11" s="20">
        <v>180848.99507324363</v>
      </c>
      <c r="F11" s="22" t="s">
        <v>241</v>
      </c>
      <c r="G11" s="37">
        <v>-4.2527109248507031</v>
      </c>
      <c r="H11" s="33">
        <v>-20.190771260806955</v>
      </c>
    </row>
    <row r="12" spans="1:8" x14ac:dyDescent="0.2">
      <c r="A12" s="34"/>
      <c r="B12" s="25" t="s">
        <v>241</v>
      </c>
      <c r="C12" s="26" t="s">
        <v>241</v>
      </c>
      <c r="D12" s="26" t="s">
        <v>241</v>
      </c>
      <c r="E12" s="26" t="s">
        <v>241</v>
      </c>
      <c r="F12" s="27"/>
      <c r="G12" s="28" t="s">
        <v>241</v>
      </c>
      <c r="H12" s="29" t="s">
        <v>241</v>
      </c>
    </row>
    <row r="13" spans="1:8" x14ac:dyDescent="0.2">
      <c r="A13" s="30" t="s">
        <v>6</v>
      </c>
      <c r="B13" s="31" t="s">
        <v>3</v>
      </c>
      <c r="C13" s="20">
        <v>312410.11965267966</v>
      </c>
      <c r="D13" s="20">
        <v>401911.93909904256</v>
      </c>
      <c r="E13" s="20">
        <v>436422.05680252536</v>
      </c>
      <c r="F13" s="22" t="s">
        <v>241</v>
      </c>
      <c r="G13" s="23">
        <v>39.695236917330135</v>
      </c>
      <c r="H13" s="24">
        <v>8.5864873237762964</v>
      </c>
    </row>
    <row r="14" spans="1:8" x14ac:dyDescent="0.2">
      <c r="A14" s="34"/>
      <c r="B14" s="25" t="s">
        <v>241</v>
      </c>
      <c r="C14" s="26" t="s">
        <v>241</v>
      </c>
      <c r="D14" s="26" t="s">
        <v>241</v>
      </c>
      <c r="E14" s="26" t="s">
        <v>241</v>
      </c>
      <c r="F14" s="27"/>
      <c r="G14" s="38" t="s">
        <v>241</v>
      </c>
      <c r="H14" s="24" t="s">
        <v>241</v>
      </c>
    </row>
    <row r="15" spans="1:8" x14ac:dyDescent="0.2">
      <c r="A15" s="30" t="s">
        <v>169</v>
      </c>
      <c r="B15" s="31" t="s">
        <v>3</v>
      </c>
      <c r="C15" s="20">
        <v>39410.456254180601</v>
      </c>
      <c r="D15" s="20">
        <v>47104.096671444495</v>
      </c>
      <c r="E15" s="20">
        <v>46862.684981684986</v>
      </c>
      <c r="F15" s="22" t="s">
        <v>241</v>
      </c>
      <c r="G15" s="37">
        <v>18.90926783349245</v>
      </c>
      <c r="H15" s="33">
        <v>-0.51250678140243622</v>
      </c>
    </row>
    <row r="16" spans="1:8" x14ac:dyDescent="0.2">
      <c r="A16" s="34"/>
      <c r="B16" s="25" t="s">
        <v>241</v>
      </c>
      <c r="C16" s="26" t="s">
        <v>241</v>
      </c>
      <c r="D16" s="26" t="s">
        <v>241</v>
      </c>
      <c r="E16" s="26" t="s">
        <v>241</v>
      </c>
      <c r="F16" s="27"/>
      <c r="G16" s="28" t="s">
        <v>241</v>
      </c>
      <c r="H16" s="29" t="s">
        <v>241</v>
      </c>
    </row>
    <row r="17" spans="1:8" x14ac:dyDescent="0.2">
      <c r="A17" s="30" t="s">
        <v>7</v>
      </c>
      <c r="B17" s="31" t="s">
        <v>3</v>
      </c>
      <c r="C17" s="20">
        <v>10163.02716734694</v>
      </c>
      <c r="D17" s="20">
        <v>10868.335804081633</v>
      </c>
      <c r="E17" s="20">
        <v>9550.4275265306132</v>
      </c>
      <c r="F17" s="22" t="s">
        <v>241</v>
      </c>
      <c r="G17" s="23">
        <v>-6.0277280649663538</v>
      </c>
      <c r="H17" s="24">
        <v>-12.126127691565031</v>
      </c>
    </row>
    <row r="18" spans="1:8" x14ac:dyDescent="0.2">
      <c r="A18" s="30"/>
      <c r="B18" s="25" t="s">
        <v>241</v>
      </c>
      <c r="C18" s="26" t="s">
        <v>241</v>
      </c>
      <c r="D18" s="26" t="s">
        <v>241</v>
      </c>
      <c r="E18" s="26" t="s">
        <v>241</v>
      </c>
      <c r="F18" s="27"/>
      <c r="G18" s="38" t="s">
        <v>241</v>
      </c>
      <c r="H18" s="24" t="s">
        <v>241</v>
      </c>
    </row>
    <row r="19" spans="1:8" x14ac:dyDescent="0.2">
      <c r="A19" s="39" t="s">
        <v>8</v>
      </c>
      <c r="B19" s="31" t="s">
        <v>3</v>
      </c>
      <c r="C19" s="20">
        <v>4569</v>
      </c>
      <c r="D19" s="20">
        <v>4525</v>
      </c>
      <c r="E19" s="20">
        <v>5250</v>
      </c>
      <c r="F19" s="22" t="s">
        <v>241</v>
      </c>
      <c r="G19" s="37">
        <v>14.904793171372305</v>
      </c>
      <c r="H19" s="33">
        <v>16.02209944751381</v>
      </c>
    </row>
    <row r="20" spans="1:8" x14ac:dyDescent="0.2">
      <c r="A20" s="34"/>
      <c r="B20" s="25" t="s">
        <v>241</v>
      </c>
      <c r="C20" s="26" t="s">
        <v>241</v>
      </c>
      <c r="D20" s="26" t="s">
        <v>241</v>
      </c>
      <c r="E20" s="26" t="s">
        <v>241</v>
      </c>
      <c r="F20" s="27"/>
      <c r="G20" s="28" t="s">
        <v>241</v>
      </c>
      <c r="H20" s="29" t="s">
        <v>241</v>
      </c>
    </row>
    <row r="21" spans="1:8" x14ac:dyDescent="0.2">
      <c r="A21" s="39" t="s">
        <v>9</v>
      </c>
      <c r="B21" s="31" t="s">
        <v>3</v>
      </c>
      <c r="C21" s="20">
        <v>23196.560000000001</v>
      </c>
      <c r="D21" s="20">
        <v>24026.283333333333</v>
      </c>
      <c r="E21" s="20">
        <v>27254.799999999999</v>
      </c>
      <c r="F21" s="22" t="s">
        <v>241</v>
      </c>
      <c r="G21" s="37">
        <v>17.495007880478823</v>
      </c>
      <c r="H21" s="33">
        <v>13.43743691804184</v>
      </c>
    </row>
    <row r="22" spans="1:8" x14ac:dyDescent="0.2">
      <c r="A22" s="34"/>
      <c r="B22" s="25" t="s">
        <v>241</v>
      </c>
      <c r="C22" s="26" t="s">
        <v>241</v>
      </c>
      <c r="D22" s="26" t="s">
        <v>241</v>
      </c>
      <c r="E22" s="26" t="s">
        <v>241</v>
      </c>
      <c r="F22" s="27"/>
      <c r="G22" s="28" t="s">
        <v>241</v>
      </c>
      <c r="H22" s="29" t="s">
        <v>241</v>
      </c>
    </row>
    <row r="23" spans="1:8" x14ac:dyDescent="0.2">
      <c r="A23" s="39" t="s">
        <v>193</v>
      </c>
      <c r="B23" s="31" t="s">
        <v>3</v>
      </c>
      <c r="C23" s="20">
        <v>5464</v>
      </c>
      <c r="D23" s="20">
        <v>5769</v>
      </c>
      <c r="E23" s="20">
        <v>6375</v>
      </c>
      <c r="F23" s="22" t="s">
        <v>241</v>
      </c>
      <c r="G23" s="37">
        <v>16.672767203513914</v>
      </c>
      <c r="H23" s="33">
        <v>10.504420176807088</v>
      </c>
    </row>
    <row r="24" spans="1:8" x14ac:dyDescent="0.2">
      <c r="A24" s="34"/>
      <c r="B24" s="25" t="s">
        <v>241</v>
      </c>
      <c r="C24" s="26" t="s">
        <v>241</v>
      </c>
      <c r="D24" s="26" t="s">
        <v>241</v>
      </c>
      <c r="E24" s="26" t="s">
        <v>241</v>
      </c>
      <c r="F24" s="27"/>
      <c r="G24" s="28" t="s">
        <v>241</v>
      </c>
      <c r="H24" s="29" t="s">
        <v>241</v>
      </c>
    </row>
    <row r="25" spans="1:8" x14ac:dyDescent="0.2">
      <c r="A25" s="39" t="s">
        <v>194</v>
      </c>
      <c r="B25" s="31" t="s">
        <v>3</v>
      </c>
      <c r="C25" s="20">
        <v>978</v>
      </c>
      <c r="D25" s="20">
        <v>1154</v>
      </c>
      <c r="E25" s="20">
        <v>1628</v>
      </c>
      <c r="F25" s="22" t="s">
        <v>241</v>
      </c>
      <c r="G25" s="37">
        <v>66.462167689161561</v>
      </c>
      <c r="H25" s="33">
        <v>41.074523396880437</v>
      </c>
    </row>
    <row r="26" spans="1:8" x14ac:dyDescent="0.2">
      <c r="A26" s="34"/>
      <c r="B26" s="25" t="s">
        <v>241</v>
      </c>
      <c r="C26" s="26" t="s">
        <v>241</v>
      </c>
      <c r="D26" s="26" t="s">
        <v>241</v>
      </c>
      <c r="E26" s="26" t="s">
        <v>241</v>
      </c>
      <c r="F26" s="27"/>
      <c r="G26" s="28" t="s">
        <v>241</v>
      </c>
      <c r="H26" s="29" t="s">
        <v>241</v>
      </c>
    </row>
    <row r="27" spans="1:8" x14ac:dyDescent="0.2">
      <c r="A27" s="39" t="s">
        <v>195</v>
      </c>
      <c r="B27" s="31" t="s">
        <v>3</v>
      </c>
      <c r="C27" s="20">
        <v>269991.33667365054</v>
      </c>
      <c r="D27" s="20">
        <v>281786.98794041621</v>
      </c>
      <c r="E27" s="20">
        <v>335300.03885714285</v>
      </c>
      <c r="F27" s="22" t="s">
        <v>241</v>
      </c>
      <c r="G27" s="37">
        <v>24.189184359805438</v>
      </c>
      <c r="H27" s="33">
        <v>18.990603969279789</v>
      </c>
    </row>
    <row r="28" spans="1:8" x14ac:dyDescent="0.2">
      <c r="A28" s="34"/>
      <c r="B28" s="25" t="s">
        <v>241</v>
      </c>
      <c r="C28" s="26" t="s">
        <v>241</v>
      </c>
      <c r="D28" s="26" t="s">
        <v>241</v>
      </c>
      <c r="E28" s="26" t="s">
        <v>241</v>
      </c>
      <c r="F28" s="27"/>
      <c r="G28" s="28" t="s">
        <v>241</v>
      </c>
      <c r="H28" s="29" t="s">
        <v>241</v>
      </c>
    </row>
    <row r="29" spans="1:8" x14ac:dyDescent="0.2">
      <c r="A29" s="30" t="s">
        <v>10</v>
      </c>
      <c r="B29" s="31" t="s">
        <v>3</v>
      </c>
      <c r="C29" s="20">
        <v>320312</v>
      </c>
      <c r="D29" s="20">
        <v>333492</v>
      </c>
      <c r="E29" s="20">
        <v>351332</v>
      </c>
      <c r="F29" s="22" t="s">
        <v>241</v>
      </c>
      <c r="G29" s="37">
        <v>9.6843077998951088</v>
      </c>
      <c r="H29" s="33">
        <v>5.3494536600578186</v>
      </c>
    </row>
    <row r="30" spans="1:8" x14ac:dyDescent="0.2">
      <c r="A30" s="30"/>
      <c r="B30" s="25" t="s">
        <v>241</v>
      </c>
      <c r="C30" s="26" t="s">
        <v>241</v>
      </c>
      <c r="D30" s="26" t="s">
        <v>241</v>
      </c>
      <c r="E30" s="26" t="s">
        <v>241</v>
      </c>
      <c r="F30" s="27"/>
      <c r="G30" s="28" t="s">
        <v>241</v>
      </c>
      <c r="H30" s="29" t="s">
        <v>241</v>
      </c>
    </row>
    <row r="31" spans="1:8" x14ac:dyDescent="0.2">
      <c r="A31" s="39" t="s">
        <v>11</v>
      </c>
      <c r="B31" s="31" t="s">
        <v>3</v>
      </c>
      <c r="C31" s="20">
        <v>9835.3017456359103</v>
      </c>
      <c r="D31" s="20">
        <v>12077.194513715711</v>
      </c>
      <c r="E31" s="20">
        <v>10785.192019950126</v>
      </c>
      <c r="F31" s="22" t="s">
        <v>241</v>
      </c>
      <c r="G31" s="37">
        <v>9.6579677866588867</v>
      </c>
      <c r="H31" s="33">
        <v>-10.697869379335543</v>
      </c>
    </row>
    <row r="32" spans="1:8" x14ac:dyDescent="0.2">
      <c r="A32" s="34"/>
      <c r="B32" s="25" t="s">
        <v>241</v>
      </c>
      <c r="C32" s="26" t="s">
        <v>241</v>
      </c>
      <c r="D32" s="26" t="s">
        <v>241</v>
      </c>
      <c r="E32" s="26" t="s">
        <v>241</v>
      </c>
      <c r="F32" s="27"/>
      <c r="G32" s="28" t="s">
        <v>241</v>
      </c>
      <c r="H32" s="29" t="s">
        <v>241</v>
      </c>
    </row>
    <row r="33" spans="1:8" x14ac:dyDescent="0.2">
      <c r="A33" s="30" t="s">
        <v>12</v>
      </c>
      <c r="B33" s="31" t="s">
        <v>3</v>
      </c>
      <c r="C33" s="20">
        <v>9480.0519999999997</v>
      </c>
      <c r="D33" s="20">
        <v>11145.096</v>
      </c>
      <c r="E33" s="20">
        <v>11204.776</v>
      </c>
      <c r="F33" s="22" t="s">
        <v>241</v>
      </c>
      <c r="G33" s="37">
        <v>18.193191345363928</v>
      </c>
      <c r="H33" s="33">
        <v>0.53548215286795653</v>
      </c>
    </row>
    <row r="34" spans="1:8" x14ac:dyDescent="0.2">
      <c r="A34" s="30"/>
      <c r="B34" s="25" t="s">
        <v>241</v>
      </c>
      <c r="C34" s="26" t="s">
        <v>241</v>
      </c>
      <c r="D34" s="26" t="s">
        <v>241</v>
      </c>
      <c r="E34" s="26" t="s">
        <v>241</v>
      </c>
      <c r="F34" s="27"/>
      <c r="G34" s="28" t="s">
        <v>241</v>
      </c>
      <c r="H34" s="29" t="s">
        <v>241</v>
      </c>
    </row>
    <row r="35" spans="1:8" x14ac:dyDescent="0.2">
      <c r="A35" s="39" t="s">
        <v>13</v>
      </c>
      <c r="B35" s="31" t="s">
        <v>3</v>
      </c>
      <c r="C35" s="20">
        <v>104</v>
      </c>
      <c r="D35" s="20">
        <v>83</v>
      </c>
      <c r="E35" s="20">
        <v>47</v>
      </c>
      <c r="F35" s="22" t="s">
        <v>241</v>
      </c>
      <c r="G35" s="23">
        <v>-54.807692307692307</v>
      </c>
      <c r="H35" s="24">
        <v>-43.373493975903607</v>
      </c>
    </row>
    <row r="36" spans="1:8" x14ac:dyDescent="0.2">
      <c r="A36" s="34"/>
      <c r="B36" s="25" t="s">
        <v>241</v>
      </c>
      <c r="C36" s="26" t="s">
        <v>241</v>
      </c>
      <c r="D36" s="26" t="s">
        <v>241</v>
      </c>
      <c r="E36" s="26" t="s">
        <v>241</v>
      </c>
      <c r="F36" s="27"/>
      <c r="G36" s="28" t="s">
        <v>241</v>
      </c>
      <c r="H36" s="29" t="s">
        <v>241</v>
      </c>
    </row>
    <row r="37" spans="1:8" x14ac:dyDescent="0.2">
      <c r="A37" s="30" t="s">
        <v>14</v>
      </c>
      <c r="B37" s="31" t="s">
        <v>3</v>
      </c>
      <c r="C37" s="40">
        <v>60487.473076923074</v>
      </c>
      <c r="D37" s="40">
        <v>76174.398746438732</v>
      </c>
      <c r="E37" s="20">
        <v>103941.98</v>
      </c>
      <c r="F37" s="22" t="s">
        <v>241</v>
      </c>
      <c r="G37" s="23">
        <v>71.840506327343178</v>
      </c>
      <c r="H37" s="24">
        <v>36.45264250262224</v>
      </c>
    </row>
    <row r="38" spans="1:8" ht="13.5" thickBot="1" x14ac:dyDescent="0.25">
      <c r="A38" s="41"/>
      <c r="B38" s="42" t="s">
        <v>241</v>
      </c>
      <c r="C38" s="43" t="s">
        <v>241</v>
      </c>
      <c r="D38" s="43" t="s">
        <v>241</v>
      </c>
      <c r="E38" s="43" t="s">
        <v>241</v>
      </c>
      <c r="F38" s="44"/>
      <c r="G38" s="45" t="s">
        <v>241</v>
      </c>
      <c r="H38" s="46" t="s">
        <v>241</v>
      </c>
    </row>
    <row r="39" spans="1:8" x14ac:dyDescent="0.2">
      <c r="A39" s="47"/>
      <c r="B39" s="48"/>
      <c r="C39" s="49"/>
      <c r="D39" s="49"/>
      <c r="E39" s="49"/>
      <c r="F39" s="49"/>
      <c r="G39" s="50"/>
      <c r="H39" s="51"/>
    </row>
    <row r="40" spans="1:8" x14ac:dyDescent="0.2">
      <c r="A40" s="47"/>
      <c r="B40" s="48"/>
      <c r="C40" s="49"/>
      <c r="D40" s="49"/>
      <c r="E40" s="49"/>
      <c r="F40" s="49"/>
      <c r="G40" s="50"/>
      <c r="H40" s="51"/>
    </row>
    <row r="41" spans="1:8" x14ac:dyDescent="0.2">
      <c r="A41" s="47"/>
      <c r="B41" s="48"/>
      <c r="C41" s="49"/>
      <c r="D41" s="49"/>
      <c r="E41" s="49"/>
      <c r="F41" s="49"/>
      <c r="G41" s="50"/>
      <c r="H41" s="51"/>
    </row>
    <row r="42" spans="1:8" x14ac:dyDescent="0.2">
      <c r="A42" s="47"/>
      <c r="B42" s="48"/>
      <c r="C42" s="49"/>
      <c r="D42" s="49"/>
      <c r="E42" s="49"/>
      <c r="F42" s="49"/>
      <c r="G42" s="50"/>
      <c r="H42" s="51"/>
    </row>
    <row r="43" spans="1:8" x14ac:dyDescent="0.2">
      <c r="A43" s="47"/>
      <c r="B43" s="48"/>
      <c r="C43" s="49"/>
      <c r="D43" s="49"/>
      <c r="E43" s="49"/>
      <c r="F43" s="49"/>
      <c r="G43" s="50"/>
      <c r="H43" s="51"/>
    </row>
    <row r="44" spans="1:8" x14ac:dyDescent="0.2">
      <c r="A44" s="47"/>
      <c r="B44" s="48"/>
      <c r="C44" s="49"/>
      <c r="D44" s="49"/>
      <c r="E44" s="49"/>
      <c r="F44" s="49"/>
      <c r="G44" s="50"/>
      <c r="H44" s="51"/>
    </row>
    <row r="45" spans="1:8" x14ac:dyDescent="0.2">
      <c r="A45" s="47"/>
      <c r="B45" s="48"/>
      <c r="C45" s="49"/>
      <c r="D45" s="49"/>
      <c r="E45" s="49"/>
      <c r="F45" s="49"/>
      <c r="G45" s="50"/>
      <c r="H45" s="51"/>
    </row>
    <row r="46" spans="1:8" x14ac:dyDescent="0.2">
      <c r="A46" s="47"/>
      <c r="B46" s="48"/>
      <c r="C46" s="49"/>
      <c r="D46" s="49"/>
      <c r="E46" s="49"/>
      <c r="F46" s="49"/>
      <c r="G46" s="50"/>
      <c r="H46" s="51"/>
    </row>
    <row r="47" spans="1:8" x14ac:dyDescent="0.2">
      <c r="A47" s="47"/>
      <c r="B47" s="48"/>
      <c r="C47" s="49"/>
      <c r="D47" s="49"/>
      <c r="E47" s="49"/>
      <c r="F47" s="49"/>
      <c r="G47" s="50"/>
      <c r="H47" s="51"/>
    </row>
    <row r="48" spans="1:8" x14ac:dyDescent="0.2">
      <c r="A48" s="47"/>
      <c r="B48" s="48"/>
      <c r="C48" s="49"/>
      <c r="D48" s="49"/>
      <c r="E48" s="49"/>
      <c r="F48" s="49"/>
      <c r="G48" s="50"/>
      <c r="H48" s="51"/>
    </row>
    <row r="49" spans="1:8" x14ac:dyDescent="0.2">
      <c r="A49" s="47"/>
      <c r="B49" s="48"/>
      <c r="C49" s="49"/>
      <c r="D49" s="49"/>
      <c r="E49" s="97"/>
      <c r="F49" s="49"/>
      <c r="G49" s="50"/>
      <c r="H49" s="51"/>
    </row>
    <row r="50" spans="1:8" x14ac:dyDescent="0.2">
      <c r="A50" s="47"/>
      <c r="B50" s="48"/>
      <c r="C50" s="49"/>
      <c r="D50" s="49"/>
      <c r="E50" s="49"/>
      <c r="F50" s="49"/>
      <c r="G50" s="50"/>
      <c r="H50" s="51"/>
    </row>
    <row r="51" spans="1:8" x14ac:dyDescent="0.2">
      <c r="A51" s="47"/>
      <c r="B51" s="48"/>
      <c r="C51" s="49"/>
      <c r="D51" s="49"/>
      <c r="E51" s="49"/>
      <c r="F51" s="49"/>
      <c r="G51" s="50"/>
      <c r="H51" s="51"/>
    </row>
    <row r="52" spans="1:8" x14ac:dyDescent="0.2">
      <c r="A52" s="47"/>
      <c r="B52" s="48"/>
      <c r="C52" s="49"/>
      <c r="D52" s="49"/>
      <c r="E52" s="49"/>
      <c r="F52" s="49"/>
      <c r="G52" s="50"/>
      <c r="H52" s="51"/>
    </row>
    <row r="53" spans="1:8" x14ac:dyDescent="0.2">
      <c r="A53" s="47"/>
      <c r="B53" s="48"/>
      <c r="C53" s="49"/>
      <c r="D53" s="49"/>
      <c r="E53" s="49"/>
      <c r="F53" s="49"/>
      <c r="G53" s="50"/>
      <c r="H53" s="51"/>
    </row>
    <row r="54" spans="1:8" x14ac:dyDescent="0.2">
      <c r="A54" s="47"/>
      <c r="B54" s="48"/>
      <c r="C54" s="49"/>
      <c r="D54" s="49"/>
      <c r="E54" s="49"/>
      <c r="F54" s="49"/>
      <c r="G54" s="50"/>
      <c r="H54" s="51"/>
    </row>
    <row r="55" spans="1:8" x14ac:dyDescent="0.2">
      <c r="A55" s="47"/>
      <c r="B55" s="48"/>
      <c r="C55" s="49"/>
      <c r="D55" s="49"/>
      <c r="E55" s="49"/>
      <c r="F55" s="49"/>
      <c r="G55" s="50"/>
      <c r="H55" s="51"/>
    </row>
    <row r="56" spans="1:8" x14ac:dyDescent="0.2">
      <c r="A56" s="47"/>
      <c r="B56" s="48"/>
      <c r="C56" s="49"/>
      <c r="D56" s="49"/>
      <c r="E56" s="49"/>
      <c r="F56" s="49"/>
      <c r="G56" s="50"/>
      <c r="H56" s="51"/>
    </row>
    <row r="57" spans="1:8" x14ac:dyDescent="0.2">
      <c r="A57" s="47"/>
      <c r="B57" s="48"/>
      <c r="C57" s="49"/>
      <c r="D57" s="49"/>
      <c r="E57" s="49"/>
      <c r="F57" s="49"/>
      <c r="G57" s="50"/>
      <c r="H57" s="51"/>
    </row>
    <row r="58" spans="1:8" x14ac:dyDescent="0.2">
      <c r="A58" s="47"/>
      <c r="B58" s="48"/>
      <c r="C58" s="49"/>
      <c r="D58" s="49"/>
      <c r="E58" s="49"/>
      <c r="F58" s="49"/>
      <c r="G58" s="50"/>
      <c r="H58" s="51"/>
    </row>
    <row r="59" spans="1:8" x14ac:dyDescent="0.2">
      <c r="A59" s="47"/>
      <c r="B59" s="48"/>
      <c r="C59" s="49"/>
      <c r="D59" s="49"/>
      <c r="E59" s="49"/>
      <c r="F59" s="49"/>
      <c r="G59" s="50"/>
      <c r="H59" s="51"/>
    </row>
    <row r="60" spans="1:8" x14ac:dyDescent="0.2">
      <c r="A60" s="52"/>
      <c r="B60" s="52"/>
      <c r="C60" s="52"/>
      <c r="D60" s="52"/>
      <c r="E60" s="52"/>
      <c r="F60" s="52"/>
      <c r="G60" s="52"/>
      <c r="H60" s="52"/>
    </row>
    <row r="61" spans="1:8" ht="12.75" customHeight="1" x14ac:dyDescent="0.2">
      <c r="A61" s="54" t="s">
        <v>235</v>
      </c>
      <c r="G61" s="53"/>
      <c r="H61" s="202">
        <v>9</v>
      </c>
    </row>
    <row r="62" spans="1:8" ht="12.75" customHeight="1" x14ac:dyDescent="0.2">
      <c r="A62" s="54" t="s">
        <v>242</v>
      </c>
      <c r="G62" s="53"/>
      <c r="H62" s="195"/>
    </row>
    <row r="63" spans="1:8" x14ac:dyDescent="0.2">
      <c r="H63" s="87"/>
    </row>
    <row r="64" spans="1:8" x14ac:dyDescent="0.2">
      <c r="A64" s="201"/>
      <c r="H64" s="53"/>
    </row>
    <row r="65" spans="1:8" x14ac:dyDescent="0.2">
      <c r="A65" s="201"/>
      <c r="H65" s="53"/>
    </row>
    <row r="67" spans="1:8" ht="12.75" customHeight="1" x14ac:dyDescent="0.2"/>
    <row r="68" spans="1:8" ht="12.75" customHeight="1" x14ac:dyDescent="0.2"/>
  </sheetData>
  <mergeCells count="4">
    <mergeCell ref="G5:H5"/>
    <mergeCell ref="A7:A8"/>
    <mergeCell ref="A64:A65"/>
    <mergeCell ref="H61:H62"/>
  </mergeCells>
  <phoneticPr fontId="0" type="noConversion"/>
  <hyperlinks>
    <hyperlink ref="A2" location="Innhold!A23" display="Tilbake til innholdsfortegnelsen" xr:uid="{00000000-0004-0000-0400-000000000000}"/>
  </hyperlinks>
  <pageMargins left="0.78740157480314965" right="0.78740157480314965" top="0.98425196850393704" bottom="0.19685039370078741" header="3.937007874015748E-2" footer="3.937007874015748E-2"/>
  <pageSetup paperSize="9" scale="99" orientation="portrait" horizontalDpi="300" verticalDpi="300" r:id="rId1"/>
  <headerFooter alignWithMargins="0"/>
  <rowBreaks count="1" manualBreakCount="1">
    <brk id="62"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68"/>
  <sheetViews>
    <sheetView showGridLines="0" showRowColHeaders="0" zoomScaleNormal="100" zoomScaleSheetLayoutView="70" workbookViewId="0"/>
  </sheetViews>
  <sheetFormatPr defaultColWidth="11.42578125" defaultRowHeight="12.75" x14ac:dyDescent="0.2"/>
  <cols>
    <col min="1" max="1" width="26.42578125" style="1" customWidth="1"/>
    <col min="2" max="2" width="8.140625" style="1" customWidth="1"/>
    <col min="3" max="4" width="10.42578125" style="1" customWidth="1"/>
    <col min="5" max="5" width="9.85546875" style="1" customWidth="1"/>
    <col min="6" max="6" width="1.5703125" style="1" customWidth="1"/>
    <col min="7" max="7" width="7.5703125" style="1" customWidth="1"/>
    <col min="8" max="8" width="8.85546875" style="1" customWidth="1"/>
    <col min="9" max="16384" width="11.42578125" style="1"/>
  </cols>
  <sheetData>
    <row r="1" spans="1:10" ht="5.25" customHeight="1" x14ac:dyDescent="0.2"/>
    <row r="2" spans="1:10" x14ac:dyDescent="0.2">
      <c r="A2" s="92" t="s">
        <v>0</v>
      </c>
      <c r="B2" s="2"/>
      <c r="C2" s="2"/>
      <c r="D2" s="2"/>
      <c r="E2" s="2"/>
      <c r="F2" s="2"/>
      <c r="G2" s="2"/>
    </row>
    <row r="3" spans="1:10" ht="6" customHeight="1" x14ac:dyDescent="0.2">
      <c r="A3" s="3"/>
      <c r="B3" s="2"/>
      <c r="C3" s="2"/>
      <c r="D3" s="2"/>
      <c r="E3" s="2"/>
      <c r="F3" s="2"/>
      <c r="G3" s="2"/>
    </row>
    <row r="4" spans="1:10" ht="16.5" thickBot="1" x14ac:dyDescent="0.3">
      <c r="A4" s="4" t="s">
        <v>15</v>
      </c>
      <c r="B4" s="5"/>
      <c r="C4" s="5"/>
      <c r="D4" s="5"/>
      <c r="E4" s="5"/>
      <c r="F4" s="5"/>
      <c r="G4" s="5"/>
      <c r="H4" s="6"/>
    </row>
    <row r="5" spans="1:10" x14ac:dyDescent="0.2">
      <c r="A5" s="7"/>
      <c r="B5" s="8"/>
      <c r="C5" s="203" t="s">
        <v>16</v>
      </c>
      <c r="D5" s="197"/>
      <c r="E5" s="197"/>
      <c r="F5" s="204"/>
      <c r="G5" s="197" t="s">
        <v>1</v>
      </c>
      <c r="H5" s="198"/>
    </row>
    <row r="6" spans="1:10" x14ac:dyDescent="0.2">
      <c r="A6" s="12"/>
      <c r="B6" s="13"/>
      <c r="C6" s="14" t="s">
        <v>236</v>
      </c>
      <c r="D6" s="15" t="s">
        <v>237</v>
      </c>
      <c r="E6" s="15" t="s">
        <v>238</v>
      </c>
      <c r="F6" s="16"/>
      <c r="G6" s="17" t="s">
        <v>239</v>
      </c>
      <c r="H6" s="18" t="s">
        <v>240</v>
      </c>
    </row>
    <row r="7" spans="1:10" x14ac:dyDescent="0.2">
      <c r="A7" s="199" t="s">
        <v>2</v>
      </c>
      <c r="B7" s="19" t="s">
        <v>3</v>
      </c>
      <c r="C7" s="80">
        <v>37568.018908917373</v>
      </c>
      <c r="D7" s="80">
        <v>42419.490055589828</v>
      </c>
      <c r="E7" s="81">
        <v>43407.636043431892</v>
      </c>
      <c r="F7" s="22" t="s">
        <v>241</v>
      </c>
      <c r="G7" s="23">
        <v>15.544117853732217</v>
      </c>
      <c r="H7" s="24">
        <v>2.3294622036877968</v>
      </c>
    </row>
    <row r="8" spans="1:10" x14ac:dyDescent="0.2">
      <c r="A8" s="200"/>
      <c r="B8" s="25" t="s">
        <v>241</v>
      </c>
      <c r="C8" s="82" t="s">
        <v>241</v>
      </c>
      <c r="D8" s="82" t="s">
        <v>241</v>
      </c>
      <c r="E8" s="82" t="s">
        <v>241</v>
      </c>
      <c r="F8" s="27"/>
      <c r="G8" s="28" t="s">
        <v>241</v>
      </c>
      <c r="H8" s="29" t="s">
        <v>241</v>
      </c>
      <c r="J8" s="94"/>
    </row>
    <row r="9" spans="1:10" x14ac:dyDescent="0.2">
      <c r="A9" s="30" t="s">
        <v>4</v>
      </c>
      <c r="B9" s="31" t="s">
        <v>3</v>
      </c>
      <c r="C9" s="80">
        <v>9856.860787358215</v>
      </c>
      <c r="D9" s="80">
        <v>10356.019765532123</v>
      </c>
      <c r="E9" s="80">
        <v>10720.587163369206</v>
      </c>
      <c r="F9" s="22" t="s">
        <v>241</v>
      </c>
      <c r="G9" s="32">
        <v>8.7626922469956412</v>
      </c>
      <c r="H9" s="33">
        <v>3.5203428159771448</v>
      </c>
    </row>
    <row r="10" spans="1:10" x14ac:dyDescent="0.2">
      <c r="A10" s="34"/>
      <c r="B10" s="25" t="s">
        <v>241</v>
      </c>
      <c r="C10" s="82" t="s">
        <v>241</v>
      </c>
      <c r="D10" s="82" t="s">
        <v>241</v>
      </c>
      <c r="E10" s="82" t="s">
        <v>241</v>
      </c>
      <c r="F10" s="27"/>
      <c r="G10" s="35" t="s">
        <v>241</v>
      </c>
      <c r="H10" s="29" t="s">
        <v>241</v>
      </c>
      <c r="J10" s="94"/>
    </row>
    <row r="11" spans="1:10" x14ac:dyDescent="0.2">
      <c r="A11" s="30" t="s">
        <v>5</v>
      </c>
      <c r="B11" s="31" t="s">
        <v>3</v>
      </c>
      <c r="C11" s="80">
        <v>4022.0593413364004</v>
      </c>
      <c r="D11" s="80">
        <v>4805.3198537058943</v>
      </c>
      <c r="E11" s="80">
        <v>5112.0898873813076</v>
      </c>
      <c r="F11" s="22" t="s">
        <v>241</v>
      </c>
      <c r="G11" s="37">
        <v>27.101304419907564</v>
      </c>
      <c r="H11" s="33">
        <v>6.3839669993836168</v>
      </c>
    </row>
    <row r="12" spans="1:10" x14ac:dyDescent="0.2">
      <c r="A12" s="34"/>
      <c r="B12" s="25" t="s">
        <v>241</v>
      </c>
      <c r="C12" s="82" t="s">
        <v>241</v>
      </c>
      <c r="D12" s="82" t="s">
        <v>241</v>
      </c>
      <c r="E12" s="82" t="s">
        <v>241</v>
      </c>
      <c r="F12" s="27"/>
      <c r="G12" s="28" t="s">
        <v>241</v>
      </c>
      <c r="H12" s="29" t="s">
        <v>241</v>
      </c>
    </row>
    <row r="13" spans="1:10" x14ac:dyDescent="0.2">
      <c r="A13" s="30" t="s">
        <v>6</v>
      </c>
      <c r="B13" s="31" t="s">
        <v>3</v>
      </c>
      <c r="C13" s="80">
        <v>7171.790369567203</v>
      </c>
      <c r="D13" s="80">
        <v>8904.3769745772461</v>
      </c>
      <c r="E13" s="80">
        <v>8866.8966085764332</v>
      </c>
      <c r="F13" s="22" t="s">
        <v>241</v>
      </c>
      <c r="G13" s="23">
        <v>23.635747165760023</v>
      </c>
      <c r="H13" s="24">
        <v>-0.42092070122168934</v>
      </c>
    </row>
    <row r="14" spans="1:10" x14ac:dyDescent="0.2">
      <c r="A14" s="34"/>
      <c r="B14" s="25" t="s">
        <v>241</v>
      </c>
      <c r="C14" s="82" t="s">
        <v>241</v>
      </c>
      <c r="D14" s="82" t="s">
        <v>241</v>
      </c>
      <c r="E14" s="82" t="s">
        <v>241</v>
      </c>
      <c r="F14" s="27"/>
      <c r="G14" s="38" t="s">
        <v>241</v>
      </c>
      <c r="H14" s="24" t="s">
        <v>241</v>
      </c>
    </row>
    <row r="15" spans="1:10" x14ac:dyDescent="0.2">
      <c r="A15" s="30" t="s">
        <v>169</v>
      </c>
      <c r="B15" s="31" t="s">
        <v>3</v>
      </c>
      <c r="C15" s="80">
        <v>5239.1371201696156</v>
      </c>
      <c r="D15" s="80">
        <v>6748.8583414238074</v>
      </c>
      <c r="E15" s="80">
        <v>5905.4067986511109</v>
      </c>
      <c r="F15" s="22" t="s">
        <v>241</v>
      </c>
      <c r="G15" s="37">
        <v>12.717164357399469</v>
      </c>
      <c r="H15" s="33">
        <v>-12.49769220366764</v>
      </c>
    </row>
    <row r="16" spans="1:10" x14ac:dyDescent="0.2">
      <c r="A16" s="34"/>
      <c r="B16" s="25" t="s">
        <v>241</v>
      </c>
      <c r="C16" s="82" t="s">
        <v>241</v>
      </c>
      <c r="D16" s="82" t="s">
        <v>241</v>
      </c>
      <c r="E16" s="82" t="s">
        <v>241</v>
      </c>
      <c r="F16" s="27"/>
      <c r="G16" s="28" t="s">
        <v>241</v>
      </c>
      <c r="H16" s="29" t="s">
        <v>241</v>
      </c>
    </row>
    <row r="17" spans="1:8" x14ac:dyDescent="0.2">
      <c r="A17" s="30" t="s">
        <v>7</v>
      </c>
      <c r="B17" s="31" t="s">
        <v>3</v>
      </c>
      <c r="C17" s="80">
        <v>1881.4521582849889</v>
      </c>
      <c r="D17" s="80">
        <v>1876.3099251303952</v>
      </c>
      <c r="E17" s="80">
        <v>2097.286501513945</v>
      </c>
      <c r="F17" s="22" t="s">
        <v>241</v>
      </c>
      <c r="G17" s="23">
        <v>11.471689156619163</v>
      </c>
      <c r="H17" s="24">
        <v>11.777189547627259</v>
      </c>
    </row>
    <row r="18" spans="1:8" x14ac:dyDescent="0.2">
      <c r="A18" s="30"/>
      <c r="B18" s="25" t="s">
        <v>241</v>
      </c>
      <c r="C18" s="82" t="s">
        <v>241</v>
      </c>
      <c r="D18" s="82" t="s">
        <v>241</v>
      </c>
      <c r="E18" s="82" t="s">
        <v>241</v>
      </c>
      <c r="F18" s="27"/>
      <c r="G18" s="38" t="s">
        <v>241</v>
      </c>
      <c r="H18" s="24" t="s">
        <v>241</v>
      </c>
    </row>
    <row r="19" spans="1:8" x14ac:dyDescent="0.2">
      <c r="A19" s="39" t="s">
        <v>8</v>
      </c>
      <c r="B19" s="31" t="s">
        <v>3</v>
      </c>
      <c r="C19" s="80">
        <v>1779.0988161448022</v>
      </c>
      <c r="D19" s="80">
        <v>1723.7394637740249</v>
      </c>
      <c r="E19" s="80">
        <v>1715.0155545624007</v>
      </c>
      <c r="F19" s="22" t="s">
        <v>241</v>
      </c>
      <c r="G19" s="37">
        <v>-3.6020068700436809</v>
      </c>
      <c r="H19" s="33">
        <v>-0.50610370041211183</v>
      </c>
    </row>
    <row r="20" spans="1:8" x14ac:dyDescent="0.2">
      <c r="A20" s="34"/>
      <c r="B20" s="25" t="s">
        <v>241</v>
      </c>
      <c r="C20" s="82" t="s">
        <v>241</v>
      </c>
      <c r="D20" s="82" t="s">
        <v>241</v>
      </c>
      <c r="E20" s="82" t="s">
        <v>241</v>
      </c>
      <c r="F20" s="27"/>
      <c r="G20" s="28" t="s">
        <v>241</v>
      </c>
      <c r="H20" s="29" t="s">
        <v>241</v>
      </c>
    </row>
    <row r="21" spans="1:8" x14ac:dyDescent="0.2">
      <c r="A21" s="39" t="s">
        <v>9</v>
      </c>
      <c r="B21" s="31" t="s">
        <v>3</v>
      </c>
      <c r="C21" s="80">
        <v>531.9762485737474</v>
      </c>
      <c r="D21" s="80">
        <v>573.57984776658577</v>
      </c>
      <c r="E21" s="80">
        <v>750.93103671113693</v>
      </c>
      <c r="F21" s="22" t="s">
        <v>241</v>
      </c>
      <c r="G21" s="37">
        <v>41.158752618075965</v>
      </c>
      <c r="H21" s="33">
        <v>30.920052305729371</v>
      </c>
    </row>
    <row r="22" spans="1:8" x14ac:dyDescent="0.2">
      <c r="A22" s="34"/>
      <c r="B22" s="25" t="s">
        <v>241</v>
      </c>
      <c r="C22" s="82" t="s">
        <v>241</v>
      </c>
      <c r="D22" s="82" t="s">
        <v>241</v>
      </c>
      <c r="E22" s="82" t="s">
        <v>241</v>
      </c>
      <c r="F22" s="27"/>
      <c r="G22" s="28" t="s">
        <v>241</v>
      </c>
      <c r="H22" s="29" t="s">
        <v>241</v>
      </c>
    </row>
    <row r="23" spans="1:8" x14ac:dyDescent="0.2">
      <c r="A23" s="39" t="s">
        <v>193</v>
      </c>
      <c r="B23" s="31" t="s">
        <v>3</v>
      </c>
      <c r="C23" s="80">
        <v>991.88485422989686</v>
      </c>
      <c r="D23" s="80">
        <v>1042.4939548825182</v>
      </c>
      <c r="E23" s="80">
        <v>1135.0357251820456</v>
      </c>
      <c r="F23" s="22" t="s">
        <v>241</v>
      </c>
      <c r="G23" s="23">
        <v>14.432206555194512</v>
      </c>
      <c r="H23" s="24">
        <v>8.8769598966121634</v>
      </c>
    </row>
    <row r="24" spans="1:8" x14ac:dyDescent="0.2">
      <c r="A24" s="34"/>
      <c r="B24" s="25" t="s">
        <v>241</v>
      </c>
      <c r="C24" s="82" t="s">
        <v>241</v>
      </c>
      <c r="D24" s="82" t="s">
        <v>241</v>
      </c>
      <c r="E24" s="82" t="s">
        <v>241</v>
      </c>
      <c r="F24" s="27"/>
      <c r="G24" s="38" t="s">
        <v>241</v>
      </c>
      <c r="H24" s="24" t="s">
        <v>241</v>
      </c>
    </row>
    <row r="25" spans="1:8" x14ac:dyDescent="0.2">
      <c r="A25" s="39" t="s">
        <v>194</v>
      </c>
      <c r="B25" s="31" t="s">
        <v>3</v>
      </c>
      <c r="C25" s="80">
        <v>415.12542028118128</v>
      </c>
      <c r="D25" s="80">
        <v>442.39533603703234</v>
      </c>
      <c r="E25" s="80">
        <v>454.12308686202277</v>
      </c>
      <c r="F25" s="22" t="s">
        <v>241</v>
      </c>
      <c r="G25" s="37">
        <v>9.3941890030311299</v>
      </c>
      <c r="H25" s="33">
        <v>2.650966199157395</v>
      </c>
    </row>
    <row r="26" spans="1:8" x14ac:dyDescent="0.2">
      <c r="A26" s="34"/>
      <c r="B26" s="25" t="s">
        <v>241</v>
      </c>
      <c r="C26" s="82" t="s">
        <v>241</v>
      </c>
      <c r="D26" s="82" t="s">
        <v>241</v>
      </c>
      <c r="E26" s="82" t="s">
        <v>241</v>
      </c>
      <c r="F26" s="27"/>
      <c r="G26" s="38" t="s">
        <v>241</v>
      </c>
      <c r="H26" s="24" t="s">
        <v>241</v>
      </c>
    </row>
    <row r="27" spans="1:8" x14ac:dyDescent="0.2">
      <c r="A27" s="39" t="s">
        <v>195</v>
      </c>
      <c r="B27" s="31" t="s">
        <v>3</v>
      </c>
      <c r="C27" s="80">
        <v>982.35582708179095</v>
      </c>
      <c r="D27" s="80">
        <v>1097.9182333987906</v>
      </c>
      <c r="E27" s="80">
        <v>1333.7987954130613</v>
      </c>
      <c r="F27" s="22" t="s">
        <v>241</v>
      </c>
      <c r="G27" s="37">
        <v>35.77552640729732</v>
      </c>
      <c r="H27" s="33">
        <v>21.484346906605495</v>
      </c>
    </row>
    <row r="28" spans="1:8" x14ac:dyDescent="0.2">
      <c r="A28" s="34"/>
      <c r="B28" s="25" t="s">
        <v>241</v>
      </c>
      <c r="C28" s="82" t="s">
        <v>241</v>
      </c>
      <c r="D28" s="82" t="s">
        <v>241</v>
      </c>
      <c r="E28" s="82" t="s">
        <v>241</v>
      </c>
      <c r="F28" s="27"/>
      <c r="G28" s="38" t="s">
        <v>241</v>
      </c>
      <c r="H28" s="24" t="s">
        <v>241</v>
      </c>
    </row>
    <row r="29" spans="1:8" x14ac:dyDescent="0.2">
      <c r="A29" s="30" t="s">
        <v>10</v>
      </c>
      <c r="B29" s="31" t="s">
        <v>3</v>
      </c>
      <c r="C29" s="80">
        <v>2078.8919979673683</v>
      </c>
      <c r="D29" s="80">
        <v>2198.8611608924539</v>
      </c>
      <c r="E29" s="80">
        <v>2298.9281077959999</v>
      </c>
      <c r="F29" s="22" t="s">
        <v>241</v>
      </c>
      <c r="G29" s="37">
        <v>10.5842973104794</v>
      </c>
      <c r="H29" s="33">
        <v>4.5508533546034329</v>
      </c>
    </row>
    <row r="30" spans="1:8" x14ac:dyDescent="0.2">
      <c r="A30" s="30"/>
      <c r="B30" s="25" t="s">
        <v>241</v>
      </c>
      <c r="C30" s="82" t="s">
        <v>241</v>
      </c>
      <c r="D30" s="82" t="s">
        <v>241</v>
      </c>
      <c r="E30" s="82" t="s">
        <v>241</v>
      </c>
      <c r="F30" s="27"/>
      <c r="G30" s="28" t="s">
        <v>241</v>
      </c>
      <c r="H30" s="29" t="s">
        <v>241</v>
      </c>
    </row>
    <row r="31" spans="1:8" x14ac:dyDescent="0.2">
      <c r="A31" s="39" t="s">
        <v>11</v>
      </c>
      <c r="B31" s="31" t="s">
        <v>3</v>
      </c>
      <c r="C31" s="80">
        <v>468.76565664708272</v>
      </c>
      <c r="D31" s="80">
        <v>540.69659437321695</v>
      </c>
      <c r="E31" s="80">
        <v>506.53855755591928</v>
      </c>
      <c r="F31" s="22" t="s">
        <v>241</v>
      </c>
      <c r="G31" s="23">
        <v>8.0579497182052364</v>
      </c>
      <c r="H31" s="24">
        <v>-6.3174129766609894</v>
      </c>
    </row>
    <row r="32" spans="1:8" x14ac:dyDescent="0.2">
      <c r="A32" s="34"/>
      <c r="B32" s="25" t="s">
        <v>241</v>
      </c>
      <c r="C32" s="82" t="s">
        <v>241</v>
      </c>
      <c r="D32" s="82" t="s">
        <v>241</v>
      </c>
      <c r="E32" s="82" t="s">
        <v>241</v>
      </c>
      <c r="F32" s="27"/>
      <c r="G32" s="38" t="s">
        <v>241</v>
      </c>
      <c r="H32" s="24" t="s">
        <v>241</v>
      </c>
    </row>
    <row r="33" spans="1:8" x14ac:dyDescent="0.2">
      <c r="A33" s="30" t="s">
        <v>12</v>
      </c>
      <c r="B33" s="31" t="s">
        <v>3</v>
      </c>
      <c r="C33" s="80">
        <v>963.64843128868392</v>
      </c>
      <c r="D33" s="80">
        <v>1093.9684121220591</v>
      </c>
      <c r="E33" s="80">
        <v>1202.7935045741633</v>
      </c>
      <c r="F33" s="22" t="s">
        <v>241</v>
      </c>
      <c r="G33" s="37">
        <v>24.816630787814532</v>
      </c>
      <c r="H33" s="33">
        <v>9.9477362642498264</v>
      </c>
    </row>
    <row r="34" spans="1:8" x14ac:dyDescent="0.2">
      <c r="A34" s="30"/>
      <c r="B34" s="25" t="s">
        <v>241</v>
      </c>
      <c r="C34" s="82" t="s">
        <v>241</v>
      </c>
      <c r="D34" s="82" t="s">
        <v>241</v>
      </c>
      <c r="E34" s="82" t="s">
        <v>241</v>
      </c>
      <c r="F34" s="27"/>
      <c r="G34" s="28" t="s">
        <v>241</v>
      </c>
      <c r="H34" s="29" t="s">
        <v>241</v>
      </c>
    </row>
    <row r="35" spans="1:8" x14ac:dyDescent="0.2">
      <c r="A35" s="39" t="s">
        <v>13</v>
      </c>
      <c r="B35" s="31" t="s">
        <v>3</v>
      </c>
      <c r="C35" s="80">
        <v>211.04554373478513</v>
      </c>
      <c r="D35" s="80">
        <v>178.36200313241494</v>
      </c>
      <c r="E35" s="80">
        <v>271.74329495989718</v>
      </c>
      <c r="F35" s="22" t="s">
        <v>241</v>
      </c>
      <c r="G35" s="23">
        <v>28.760498871935027</v>
      </c>
      <c r="H35" s="24">
        <v>52.35492436029466</v>
      </c>
    </row>
    <row r="36" spans="1:8" x14ac:dyDescent="0.2">
      <c r="A36" s="34"/>
      <c r="B36" s="25" t="s">
        <v>241</v>
      </c>
      <c r="C36" s="82" t="s">
        <v>241</v>
      </c>
      <c r="D36" s="82" t="s">
        <v>241</v>
      </c>
      <c r="E36" s="82" t="s">
        <v>241</v>
      </c>
      <c r="F36" s="27"/>
      <c r="G36" s="28" t="s">
        <v>241</v>
      </c>
      <c r="H36" s="29" t="s">
        <v>241</v>
      </c>
    </row>
    <row r="37" spans="1:8" x14ac:dyDescent="0.2">
      <c r="A37" s="30" t="s">
        <v>14</v>
      </c>
      <c r="B37" s="31" t="s">
        <v>3</v>
      </c>
      <c r="C37" s="85">
        <v>973.92633625162387</v>
      </c>
      <c r="D37" s="85">
        <v>836.59018884125203</v>
      </c>
      <c r="E37" s="83">
        <v>1036.4614203232363</v>
      </c>
      <c r="F37" s="22" t="s">
        <v>241</v>
      </c>
      <c r="G37" s="23">
        <v>6.4209254585200881</v>
      </c>
      <c r="H37" s="24">
        <v>23.891175649432711</v>
      </c>
    </row>
    <row r="38" spans="1:8" ht="13.5" thickBot="1" x14ac:dyDescent="0.25">
      <c r="A38" s="41"/>
      <c r="B38" s="42" t="s">
        <v>241</v>
      </c>
      <c r="C38" s="86" t="s">
        <v>241</v>
      </c>
      <c r="D38" s="86" t="s">
        <v>241</v>
      </c>
      <c r="E38" s="86" t="s">
        <v>241</v>
      </c>
      <c r="F38" s="44"/>
      <c r="G38" s="45" t="s">
        <v>241</v>
      </c>
      <c r="H38" s="46" t="s">
        <v>241</v>
      </c>
    </row>
    <row r="39" spans="1:8" x14ac:dyDescent="0.2">
      <c r="A39" s="47"/>
      <c r="B39" s="48"/>
      <c r="C39" s="49"/>
      <c r="D39" s="49"/>
      <c r="E39" s="49"/>
      <c r="F39" s="49"/>
      <c r="G39" s="50"/>
      <c r="H39" s="51"/>
    </row>
    <row r="40" spans="1:8" x14ac:dyDescent="0.2">
      <c r="A40" s="47"/>
      <c r="B40" s="48"/>
      <c r="C40" s="49"/>
      <c r="D40" s="49"/>
      <c r="E40" s="49"/>
      <c r="F40" s="49"/>
      <c r="G40" s="50"/>
      <c r="H40" s="51"/>
    </row>
    <row r="41" spans="1:8" x14ac:dyDescent="0.2">
      <c r="A41" s="47"/>
      <c r="B41" s="48"/>
      <c r="C41" s="49"/>
      <c r="D41" s="49"/>
      <c r="E41" s="49"/>
      <c r="F41" s="49"/>
      <c r="G41" s="50"/>
      <c r="H41" s="51"/>
    </row>
    <row r="42" spans="1:8" x14ac:dyDescent="0.2">
      <c r="A42" s="47"/>
      <c r="B42" s="48"/>
      <c r="C42" s="49"/>
      <c r="D42" s="49"/>
      <c r="E42" s="49"/>
      <c r="F42" s="49"/>
      <c r="G42" s="50"/>
      <c r="H42" s="51"/>
    </row>
    <row r="43" spans="1:8" x14ac:dyDescent="0.2">
      <c r="A43" s="47"/>
      <c r="B43" s="48"/>
      <c r="C43" s="49"/>
      <c r="D43" s="49"/>
      <c r="E43" s="49"/>
      <c r="F43" s="49"/>
      <c r="G43" s="50"/>
      <c r="H43" s="51"/>
    </row>
    <row r="44" spans="1:8" x14ac:dyDescent="0.2">
      <c r="A44" s="47"/>
      <c r="B44" s="48"/>
      <c r="C44" s="49"/>
      <c r="D44" s="49"/>
      <c r="E44" s="49"/>
      <c r="F44" s="49"/>
      <c r="G44" s="50"/>
      <c r="H44" s="51"/>
    </row>
    <row r="45" spans="1:8" x14ac:dyDescent="0.2">
      <c r="A45" s="47"/>
      <c r="B45" s="48"/>
      <c r="C45" s="49"/>
      <c r="D45" s="49"/>
      <c r="E45" s="49"/>
      <c r="F45" s="49"/>
      <c r="G45" s="50"/>
      <c r="H45" s="51"/>
    </row>
    <row r="46" spans="1:8" x14ac:dyDescent="0.2">
      <c r="A46" s="47"/>
      <c r="B46" s="48"/>
      <c r="C46" s="49"/>
      <c r="D46" s="49"/>
      <c r="E46" s="49"/>
      <c r="F46" s="49"/>
      <c r="G46" s="50"/>
      <c r="H46" s="51"/>
    </row>
    <row r="47" spans="1:8" x14ac:dyDescent="0.2">
      <c r="A47" s="47"/>
      <c r="B47" s="48"/>
      <c r="C47" s="49"/>
      <c r="D47" s="49"/>
      <c r="E47" s="49"/>
      <c r="F47" s="49"/>
      <c r="G47" s="50"/>
      <c r="H47" s="51"/>
    </row>
    <row r="48" spans="1:8" x14ac:dyDescent="0.2">
      <c r="A48" s="47"/>
      <c r="B48" s="48"/>
      <c r="C48" s="49"/>
      <c r="D48" s="49"/>
      <c r="E48" s="49"/>
      <c r="F48" s="49"/>
      <c r="G48" s="50"/>
      <c r="H48" s="51"/>
    </row>
    <row r="49" spans="1:8" x14ac:dyDescent="0.2">
      <c r="A49" s="47"/>
      <c r="B49" s="48"/>
      <c r="C49" s="49"/>
      <c r="D49" s="49"/>
      <c r="E49" s="97"/>
      <c r="F49" s="49"/>
      <c r="G49" s="50"/>
      <c r="H49" s="51"/>
    </row>
    <row r="50" spans="1:8" x14ac:dyDescent="0.2">
      <c r="A50" s="47"/>
      <c r="B50" s="48"/>
      <c r="C50" s="49"/>
      <c r="D50" s="49"/>
      <c r="E50" s="49"/>
      <c r="F50" s="49"/>
      <c r="G50" s="50"/>
      <c r="H50" s="51"/>
    </row>
    <row r="51" spans="1:8" x14ac:dyDescent="0.2">
      <c r="A51" s="47"/>
      <c r="B51" s="48"/>
      <c r="C51" s="49"/>
      <c r="D51" s="49"/>
      <c r="E51" s="49"/>
      <c r="F51" s="49"/>
      <c r="G51" s="50"/>
      <c r="H51" s="51"/>
    </row>
    <row r="52" spans="1:8" x14ac:dyDescent="0.2">
      <c r="A52" s="47"/>
      <c r="B52" s="48"/>
      <c r="C52" s="49"/>
      <c r="D52" s="49"/>
      <c r="E52" s="49"/>
      <c r="F52" s="49"/>
      <c r="G52" s="50"/>
      <c r="H52" s="51"/>
    </row>
    <row r="53" spans="1:8" x14ac:dyDescent="0.2">
      <c r="A53" s="47"/>
      <c r="B53" s="48"/>
      <c r="C53" s="49"/>
      <c r="D53" s="49"/>
      <c r="E53" s="49"/>
      <c r="F53" s="49"/>
      <c r="G53" s="50"/>
      <c r="H53" s="51"/>
    </row>
    <row r="54" spans="1:8" x14ac:dyDescent="0.2">
      <c r="A54" s="47"/>
      <c r="B54" s="48"/>
      <c r="C54" s="49"/>
      <c r="D54" s="49"/>
      <c r="E54" s="49"/>
      <c r="F54" s="49"/>
      <c r="G54" s="50"/>
      <c r="H54" s="51"/>
    </row>
    <row r="55" spans="1:8" x14ac:dyDescent="0.2">
      <c r="A55" s="47"/>
      <c r="B55" s="48"/>
      <c r="C55" s="49"/>
      <c r="D55" s="49"/>
      <c r="E55" s="49"/>
      <c r="F55" s="49"/>
      <c r="G55" s="50"/>
      <c r="H55" s="51"/>
    </row>
    <row r="56" spans="1:8" x14ac:dyDescent="0.2">
      <c r="A56" s="47"/>
      <c r="B56" s="48"/>
      <c r="C56" s="49"/>
      <c r="D56" s="49"/>
      <c r="E56" s="49"/>
      <c r="F56" s="49"/>
      <c r="G56" s="50"/>
      <c r="H56" s="51"/>
    </row>
    <row r="57" spans="1:8" x14ac:dyDescent="0.2">
      <c r="A57" s="47"/>
      <c r="B57" s="48"/>
      <c r="C57" s="49"/>
      <c r="D57" s="49"/>
      <c r="E57" s="49"/>
      <c r="F57" s="49"/>
      <c r="G57" s="50"/>
      <c r="H57" s="51"/>
    </row>
    <row r="58" spans="1:8" x14ac:dyDescent="0.2">
      <c r="A58" s="47"/>
      <c r="B58" s="48"/>
      <c r="C58" s="49"/>
      <c r="D58" s="49"/>
      <c r="E58" s="49"/>
      <c r="F58" s="49"/>
      <c r="G58" s="50"/>
      <c r="H58" s="51"/>
    </row>
    <row r="59" spans="1:8" x14ac:dyDescent="0.2">
      <c r="A59" s="47"/>
      <c r="B59" s="48"/>
      <c r="C59" s="49"/>
      <c r="D59" s="49"/>
      <c r="E59" s="49"/>
      <c r="F59" s="49"/>
      <c r="G59" s="50"/>
      <c r="H59" s="51"/>
    </row>
    <row r="60" spans="1:8" x14ac:dyDescent="0.2">
      <c r="A60" s="52"/>
      <c r="B60" s="52"/>
      <c r="C60" s="52"/>
      <c r="D60" s="52"/>
      <c r="E60" s="52"/>
      <c r="F60" s="52"/>
      <c r="G60" s="52"/>
      <c r="H60" s="52"/>
    </row>
    <row r="61" spans="1:8" ht="12.75" customHeight="1" x14ac:dyDescent="0.2">
      <c r="A61" s="54" t="s">
        <v>235</v>
      </c>
      <c r="H61" s="194">
        <v>10</v>
      </c>
    </row>
    <row r="62" spans="1:8" ht="12.75" customHeight="1" x14ac:dyDescent="0.2">
      <c r="A62" s="54" t="s">
        <v>242</v>
      </c>
      <c r="H62" s="195"/>
    </row>
    <row r="67" ht="12.75" customHeight="1" x14ac:dyDescent="0.2"/>
    <row r="68" ht="12.75" customHeight="1" x14ac:dyDescent="0.2"/>
  </sheetData>
  <mergeCells count="4">
    <mergeCell ref="G5:H5"/>
    <mergeCell ref="A7:A8"/>
    <mergeCell ref="C5:F5"/>
    <mergeCell ref="H61:H62"/>
  </mergeCells>
  <phoneticPr fontId="0" type="noConversion"/>
  <hyperlinks>
    <hyperlink ref="A2" location="Innhold!A24" display="Tilbake til innholdsfortegnelsen" xr:uid="{00000000-0004-0000-0500-000000000000}"/>
  </hyperlinks>
  <pageMargins left="0.78740157480314965" right="0.78740157480314965" top="0.98425196850393704" bottom="0.19685039370078741" header="3.937007874015748E-2" footer="3.937007874015748E-2"/>
  <pageSetup paperSize="9" scale="99" orientation="portrait"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68"/>
  <sheetViews>
    <sheetView showGridLines="0" showRowColHeaders="0" zoomScaleNormal="100" zoomScaleSheetLayoutView="70" workbookViewId="0"/>
  </sheetViews>
  <sheetFormatPr defaultColWidth="11.42578125" defaultRowHeight="12.75" x14ac:dyDescent="0.2"/>
  <cols>
    <col min="1" max="1" width="26.42578125" style="1" customWidth="1"/>
    <col min="2" max="2" width="8.140625" style="1" customWidth="1"/>
    <col min="3" max="4" width="10.42578125" style="1" customWidth="1"/>
    <col min="5" max="5" width="9.85546875" style="1" customWidth="1"/>
    <col min="6" max="6" width="1.5703125" style="1" customWidth="1"/>
    <col min="7" max="7" width="7.5703125" style="1" customWidth="1"/>
    <col min="8" max="8" width="8.85546875" style="1" customWidth="1"/>
    <col min="9" max="16384" width="11.42578125" style="1"/>
  </cols>
  <sheetData>
    <row r="1" spans="1:8" ht="5.25" customHeight="1" x14ac:dyDescent="0.2"/>
    <row r="2" spans="1:8" x14ac:dyDescent="0.2">
      <c r="A2" s="92" t="s">
        <v>0</v>
      </c>
      <c r="B2" s="2"/>
      <c r="C2" s="2"/>
      <c r="D2" s="2"/>
      <c r="E2" s="2"/>
      <c r="F2" s="2"/>
      <c r="G2" s="2"/>
    </row>
    <row r="3" spans="1:8" ht="6" customHeight="1" x14ac:dyDescent="0.2">
      <c r="A3" s="3"/>
      <c r="B3" s="2"/>
      <c r="C3" s="2"/>
      <c r="D3" s="2"/>
      <c r="E3" s="2"/>
      <c r="F3" s="2"/>
      <c r="G3" s="2"/>
    </row>
    <row r="4" spans="1:8" ht="16.5" thickBot="1" x14ac:dyDescent="0.3">
      <c r="A4" s="4" t="s">
        <v>146</v>
      </c>
      <c r="B4" s="5"/>
      <c r="C4" s="5"/>
      <c r="D4" s="5"/>
      <c r="E4" s="5"/>
      <c r="F4" s="5"/>
      <c r="G4" s="5"/>
      <c r="H4" s="6"/>
    </row>
    <row r="5" spans="1:8" x14ac:dyDescent="0.2">
      <c r="A5" s="7"/>
      <c r="B5" s="8"/>
      <c r="C5" s="9"/>
      <c r="D5" s="8"/>
      <c r="E5" s="10"/>
      <c r="F5" s="11"/>
      <c r="G5" s="197" t="s">
        <v>1</v>
      </c>
      <c r="H5" s="198"/>
    </row>
    <row r="6" spans="1:8" x14ac:dyDescent="0.2">
      <c r="A6" s="12"/>
      <c r="B6" s="13"/>
      <c r="C6" s="14" t="s">
        <v>236</v>
      </c>
      <c r="D6" s="15" t="s">
        <v>237</v>
      </c>
      <c r="E6" s="15" t="s">
        <v>238</v>
      </c>
      <c r="F6" s="16"/>
      <c r="G6" s="17" t="s">
        <v>239</v>
      </c>
      <c r="H6" s="18" t="s">
        <v>240</v>
      </c>
    </row>
    <row r="7" spans="1:8" x14ac:dyDescent="0.2">
      <c r="A7" s="199" t="s">
        <v>26</v>
      </c>
      <c r="B7" s="19" t="s">
        <v>3</v>
      </c>
      <c r="C7" s="20">
        <v>848267.68337105052</v>
      </c>
      <c r="D7" s="20">
        <v>908662.80747384159</v>
      </c>
      <c r="E7" s="21">
        <v>881354.73572496267</v>
      </c>
      <c r="F7" s="22" t="s">
        <v>241</v>
      </c>
      <c r="G7" s="23">
        <v>3.9005437791078919</v>
      </c>
      <c r="H7" s="24">
        <v>-3.0053031250170363</v>
      </c>
    </row>
    <row r="8" spans="1:8" x14ac:dyDescent="0.2">
      <c r="A8" s="200"/>
      <c r="B8" s="25" t="s">
        <v>241</v>
      </c>
      <c r="C8" s="26" t="s">
        <v>241</v>
      </c>
      <c r="D8" s="26" t="s">
        <v>241</v>
      </c>
      <c r="E8" s="26" t="s">
        <v>241</v>
      </c>
      <c r="F8" s="27"/>
      <c r="G8" s="28" t="s">
        <v>241</v>
      </c>
      <c r="H8" s="29" t="s">
        <v>241</v>
      </c>
    </row>
    <row r="9" spans="1:8" x14ac:dyDescent="0.2">
      <c r="A9" s="30" t="s">
        <v>28</v>
      </c>
      <c r="B9" s="31" t="s">
        <v>3</v>
      </c>
      <c r="C9" s="20">
        <v>779419.45431275456</v>
      </c>
      <c r="D9" s="20">
        <v>832195.44597907329</v>
      </c>
      <c r="E9" s="21">
        <v>806793.38857997011</v>
      </c>
      <c r="F9" s="22" t="s">
        <v>241</v>
      </c>
      <c r="G9" s="32">
        <v>3.5120927654227216</v>
      </c>
      <c r="H9" s="33">
        <v>-3.0524148530058142</v>
      </c>
    </row>
    <row r="10" spans="1:8" x14ac:dyDescent="0.2">
      <c r="A10" s="34"/>
      <c r="B10" s="25" t="s">
        <v>241</v>
      </c>
      <c r="C10" s="26" t="s">
        <v>241</v>
      </c>
      <c r="D10" s="26" t="s">
        <v>241</v>
      </c>
      <c r="E10" s="26" t="s">
        <v>241</v>
      </c>
      <c r="F10" s="27"/>
      <c r="G10" s="35" t="s">
        <v>241</v>
      </c>
      <c r="H10" s="29" t="s">
        <v>241</v>
      </c>
    </row>
    <row r="11" spans="1:8" x14ac:dyDescent="0.2">
      <c r="A11" s="30" t="s">
        <v>29</v>
      </c>
      <c r="B11" s="31" t="s">
        <v>3</v>
      </c>
      <c r="C11" s="20">
        <v>34984.614529147984</v>
      </c>
      <c r="D11" s="20">
        <v>35271.180747384155</v>
      </c>
      <c r="E11" s="21">
        <v>33630.173572496264</v>
      </c>
      <c r="F11" s="22" t="s">
        <v>241</v>
      </c>
      <c r="G11" s="37">
        <v>-3.8715331721698618</v>
      </c>
      <c r="H11" s="33">
        <v>-4.6525439186199975</v>
      </c>
    </row>
    <row r="12" spans="1:8" x14ac:dyDescent="0.2">
      <c r="A12" s="34"/>
      <c r="B12" s="25" t="s">
        <v>241</v>
      </c>
      <c r="C12" s="26" t="s">
        <v>241</v>
      </c>
      <c r="D12" s="26" t="s">
        <v>241</v>
      </c>
      <c r="E12" s="26" t="s">
        <v>241</v>
      </c>
      <c r="F12" s="27"/>
      <c r="G12" s="28" t="s">
        <v>241</v>
      </c>
      <c r="H12" s="29" t="s">
        <v>241</v>
      </c>
    </row>
    <row r="13" spans="1:8" x14ac:dyDescent="0.2">
      <c r="A13" s="30" t="s">
        <v>27</v>
      </c>
      <c r="B13" s="31" t="s">
        <v>3</v>
      </c>
      <c r="C13" s="20">
        <v>9150.1843587443946</v>
      </c>
      <c r="D13" s="20">
        <v>9937.7542242152467</v>
      </c>
      <c r="E13" s="21">
        <v>10399.352071748879</v>
      </c>
      <c r="F13" s="22" t="s">
        <v>241</v>
      </c>
      <c r="G13" s="23">
        <v>13.651831089181442</v>
      </c>
      <c r="H13" s="24">
        <v>4.6448909594570154</v>
      </c>
    </row>
    <row r="14" spans="1:8" x14ac:dyDescent="0.2">
      <c r="A14" s="34"/>
      <c r="B14" s="25" t="s">
        <v>241</v>
      </c>
      <c r="C14" s="26" t="s">
        <v>241</v>
      </c>
      <c r="D14" s="26" t="s">
        <v>241</v>
      </c>
      <c r="E14" s="26" t="s">
        <v>241</v>
      </c>
      <c r="F14" s="27"/>
      <c r="G14" s="38" t="s">
        <v>241</v>
      </c>
      <c r="H14" s="24" t="s">
        <v>241</v>
      </c>
    </row>
    <row r="15" spans="1:8" x14ac:dyDescent="0.2">
      <c r="A15" s="30" t="s">
        <v>30</v>
      </c>
      <c r="B15" s="31" t="s">
        <v>3</v>
      </c>
      <c r="C15" s="20">
        <v>11925.245811659193</v>
      </c>
      <c r="D15" s="20">
        <v>14555.672298953661</v>
      </c>
      <c r="E15" s="21">
        <v>14500.469428998505</v>
      </c>
      <c r="F15" s="22" t="s">
        <v>241</v>
      </c>
      <c r="G15" s="37">
        <v>21.594721467473164</v>
      </c>
      <c r="H15" s="33">
        <v>-0.37925331665459794</v>
      </c>
    </row>
    <row r="16" spans="1:8" x14ac:dyDescent="0.2">
      <c r="A16" s="34"/>
      <c r="B16" s="25" t="s">
        <v>241</v>
      </c>
      <c r="C16" s="26" t="s">
        <v>241</v>
      </c>
      <c r="D16" s="26" t="s">
        <v>241</v>
      </c>
      <c r="E16" s="26" t="s">
        <v>241</v>
      </c>
      <c r="F16" s="27"/>
      <c r="G16" s="28" t="s">
        <v>241</v>
      </c>
      <c r="H16" s="29" t="s">
        <v>241</v>
      </c>
    </row>
    <row r="17" spans="1:9" x14ac:dyDescent="0.2">
      <c r="A17" s="30" t="s">
        <v>31</v>
      </c>
      <c r="B17" s="31" t="s">
        <v>3</v>
      </c>
      <c r="C17" s="20">
        <v>12788.184358744395</v>
      </c>
      <c r="D17" s="20">
        <v>16702.754224215249</v>
      </c>
      <c r="E17" s="21">
        <v>16031.352071748879</v>
      </c>
      <c r="F17" s="22" t="s">
        <v>241</v>
      </c>
      <c r="G17" s="37">
        <v>25.360658104579542</v>
      </c>
      <c r="H17" s="33">
        <v>-4.019709225517957</v>
      </c>
    </row>
    <row r="18" spans="1:9" ht="13.5" thickBot="1" x14ac:dyDescent="0.25">
      <c r="A18" s="56"/>
      <c r="B18" s="42" t="s">
        <v>241</v>
      </c>
      <c r="C18" s="43" t="s">
        <v>241</v>
      </c>
      <c r="D18" s="43" t="s">
        <v>241</v>
      </c>
      <c r="E18" s="43" t="s">
        <v>241</v>
      </c>
      <c r="F18" s="44"/>
      <c r="G18" s="57" t="s">
        <v>241</v>
      </c>
      <c r="H18" s="46" t="s">
        <v>241</v>
      </c>
    </row>
    <row r="19" spans="1:9" x14ac:dyDescent="0.2">
      <c r="A19" s="58"/>
      <c r="B19" s="58"/>
      <c r="C19" s="21"/>
      <c r="D19" s="21"/>
      <c r="E19" s="21"/>
      <c r="F19" s="59"/>
      <c r="G19" s="38"/>
      <c r="H19" s="60"/>
      <c r="I19" s="61"/>
    </row>
    <row r="20" spans="1:9" x14ac:dyDescent="0.2">
      <c r="A20" s="58"/>
      <c r="B20" s="62"/>
      <c r="C20" s="21"/>
      <c r="D20" s="21"/>
      <c r="E20" s="21"/>
      <c r="F20" s="63"/>
      <c r="G20" s="38"/>
      <c r="H20" s="60"/>
      <c r="I20" s="61"/>
    </row>
    <row r="21" spans="1:9" x14ac:dyDescent="0.2">
      <c r="A21" s="58"/>
      <c r="B21" s="58"/>
      <c r="C21" s="21"/>
      <c r="D21" s="21"/>
      <c r="E21" s="21"/>
      <c r="F21" s="59"/>
      <c r="G21" s="38"/>
      <c r="H21" s="60"/>
      <c r="I21" s="61"/>
    </row>
    <row r="22" spans="1:9" x14ac:dyDescent="0.2">
      <c r="A22" s="58"/>
      <c r="B22" s="62"/>
      <c r="C22" s="21"/>
      <c r="D22" s="21"/>
      <c r="E22" s="21"/>
      <c r="F22" s="63"/>
      <c r="G22" s="38"/>
      <c r="H22" s="60"/>
      <c r="I22" s="61"/>
    </row>
    <row r="23" spans="1:9" x14ac:dyDescent="0.2">
      <c r="A23" s="58"/>
      <c r="B23" s="58"/>
      <c r="C23" s="21"/>
      <c r="D23" s="21"/>
      <c r="E23" s="21"/>
      <c r="F23" s="59"/>
      <c r="G23" s="38"/>
      <c r="H23" s="60"/>
      <c r="I23" s="61"/>
    </row>
    <row r="24" spans="1:9" x14ac:dyDescent="0.2">
      <c r="A24" s="58"/>
      <c r="B24" s="62"/>
      <c r="C24" s="21"/>
      <c r="D24" s="21"/>
      <c r="E24" s="21"/>
      <c r="F24" s="63"/>
      <c r="G24" s="38"/>
      <c r="H24" s="60"/>
      <c r="I24" s="61"/>
    </row>
    <row r="25" spans="1:9" x14ac:dyDescent="0.2">
      <c r="A25" s="58"/>
      <c r="B25" s="58"/>
      <c r="C25" s="21"/>
      <c r="D25" s="21"/>
      <c r="E25" s="21"/>
      <c r="F25" s="59"/>
      <c r="G25" s="38"/>
      <c r="H25" s="60"/>
      <c r="I25" s="61"/>
    </row>
    <row r="26" spans="1:9" x14ac:dyDescent="0.2">
      <c r="A26" s="58"/>
      <c r="B26" s="62"/>
      <c r="C26" s="21"/>
      <c r="D26" s="21"/>
      <c r="E26" s="21"/>
      <c r="F26" s="63"/>
      <c r="G26" s="38"/>
      <c r="H26" s="60"/>
      <c r="I26" s="61"/>
    </row>
    <row r="27" spans="1:9" x14ac:dyDescent="0.2">
      <c r="A27" s="58"/>
      <c r="B27" s="58"/>
      <c r="C27" s="21"/>
      <c r="D27" s="21"/>
      <c r="E27" s="21"/>
      <c r="F27" s="59"/>
      <c r="G27" s="38"/>
      <c r="H27" s="60"/>
      <c r="I27" s="61"/>
    </row>
    <row r="28" spans="1:9" x14ac:dyDescent="0.2">
      <c r="A28" s="58"/>
      <c r="B28" s="62"/>
      <c r="C28" s="21"/>
      <c r="D28" s="21"/>
      <c r="E28" s="21"/>
      <c r="F28" s="63"/>
      <c r="G28" s="38"/>
      <c r="H28" s="60"/>
      <c r="I28" s="61"/>
    </row>
    <row r="29" spans="1:9" x14ac:dyDescent="0.2">
      <c r="A29" s="58"/>
      <c r="B29" s="58"/>
      <c r="C29" s="64"/>
      <c r="D29" s="64"/>
      <c r="E29" s="21"/>
      <c r="F29" s="59"/>
      <c r="G29" s="38"/>
      <c r="H29" s="60"/>
      <c r="I29" s="61"/>
    </row>
    <row r="30" spans="1:9" x14ac:dyDescent="0.2">
      <c r="A30" s="65"/>
      <c r="B30" s="62"/>
      <c r="C30" s="21"/>
      <c r="D30" s="21"/>
      <c r="E30" s="21"/>
      <c r="F30" s="63"/>
      <c r="G30" s="38"/>
      <c r="H30" s="60"/>
      <c r="I30" s="61"/>
    </row>
    <row r="31" spans="1:9" x14ac:dyDescent="0.2">
      <c r="A31" s="47"/>
      <c r="B31" s="48"/>
      <c r="C31" s="49"/>
      <c r="D31" s="55"/>
      <c r="E31" s="49"/>
      <c r="F31" s="49"/>
      <c r="G31" s="50"/>
      <c r="H31" s="51"/>
      <c r="I31" s="61"/>
    </row>
    <row r="32" spans="1:9" ht="16.5" thickBot="1" x14ac:dyDescent="0.3">
      <c r="A32" s="4" t="s">
        <v>32</v>
      </c>
      <c r="B32" s="5"/>
      <c r="C32" s="5"/>
      <c r="D32" s="5"/>
      <c r="E32" s="5"/>
      <c r="F32" s="5"/>
      <c r="G32" s="5"/>
      <c r="H32" s="6"/>
    </row>
    <row r="33" spans="1:9" x14ac:dyDescent="0.2">
      <c r="A33" s="7"/>
      <c r="B33" s="8"/>
      <c r="C33" s="203" t="s">
        <v>16</v>
      </c>
      <c r="D33" s="197"/>
      <c r="E33" s="197"/>
      <c r="F33" s="204"/>
      <c r="G33" s="197" t="s">
        <v>1</v>
      </c>
      <c r="H33" s="198"/>
    </row>
    <row r="34" spans="1:9" x14ac:dyDescent="0.2">
      <c r="A34" s="12"/>
      <c r="B34" s="13"/>
      <c r="C34" s="14" t="s">
        <v>236</v>
      </c>
      <c r="D34" s="15" t="s">
        <v>237</v>
      </c>
      <c r="E34" s="15" t="s">
        <v>238</v>
      </c>
      <c r="F34" s="16"/>
      <c r="G34" s="17" t="s">
        <v>239</v>
      </c>
      <c r="H34" s="18" t="s">
        <v>240</v>
      </c>
    </row>
    <row r="35" spans="1:9" ht="12.75" customHeight="1" x14ac:dyDescent="0.2">
      <c r="A35" s="199" t="s">
        <v>26</v>
      </c>
      <c r="B35" s="19" t="s">
        <v>3</v>
      </c>
      <c r="C35" s="80">
        <v>13878.920128694614</v>
      </c>
      <c r="D35" s="80">
        <v>15161.339619238015</v>
      </c>
      <c r="E35" s="83">
        <v>15832.677050750517</v>
      </c>
      <c r="F35" s="22" t="s">
        <v>241</v>
      </c>
      <c r="G35" s="23">
        <v>14.077153726221951</v>
      </c>
      <c r="H35" s="24">
        <v>4.427955895537437</v>
      </c>
    </row>
    <row r="36" spans="1:9" ht="12.75" customHeight="1" x14ac:dyDescent="0.2">
      <c r="A36" s="200"/>
      <c r="B36" s="25" t="s">
        <v>241</v>
      </c>
      <c r="C36" s="82" t="s">
        <v>241</v>
      </c>
      <c r="D36" s="82" t="s">
        <v>241</v>
      </c>
      <c r="E36" s="82" t="s">
        <v>241</v>
      </c>
      <c r="F36" s="27"/>
      <c r="G36" s="28" t="s">
        <v>241</v>
      </c>
      <c r="H36" s="29" t="s">
        <v>241</v>
      </c>
    </row>
    <row r="37" spans="1:9" x14ac:dyDescent="0.2">
      <c r="A37" s="30" t="s">
        <v>28</v>
      </c>
      <c r="B37" s="31" t="s">
        <v>3</v>
      </c>
      <c r="C37" s="80">
        <v>11593.812590679698</v>
      </c>
      <c r="D37" s="80">
        <v>12618.122877269707</v>
      </c>
      <c r="E37" s="83">
        <v>13112.65006826836</v>
      </c>
      <c r="F37" s="22" t="s">
        <v>241</v>
      </c>
      <c r="G37" s="32">
        <v>13.100414257253561</v>
      </c>
      <c r="H37" s="33">
        <v>3.9191819243533814</v>
      </c>
    </row>
    <row r="38" spans="1:9" x14ac:dyDescent="0.2">
      <c r="A38" s="34"/>
      <c r="B38" s="25" t="s">
        <v>241</v>
      </c>
      <c r="C38" s="82" t="s">
        <v>241</v>
      </c>
      <c r="D38" s="82" t="s">
        <v>241</v>
      </c>
      <c r="E38" s="82" t="s">
        <v>241</v>
      </c>
      <c r="F38" s="27"/>
      <c r="G38" s="35" t="s">
        <v>241</v>
      </c>
      <c r="H38" s="29" t="s">
        <v>241</v>
      </c>
    </row>
    <row r="39" spans="1:9" x14ac:dyDescent="0.2">
      <c r="A39" s="30" t="s">
        <v>29</v>
      </c>
      <c r="B39" s="31" t="s">
        <v>3</v>
      </c>
      <c r="C39" s="80">
        <v>1063.2701054936867</v>
      </c>
      <c r="D39" s="80">
        <v>1048.4222371036769</v>
      </c>
      <c r="E39" s="83">
        <v>1087.6094540315007</v>
      </c>
      <c r="F39" s="22" t="s">
        <v>241</v>
      </c>
      <c r="G39" s="37">
        <v>2.2891030615887615</v>
      </c>
      <c r="H39" s="33">
        <v>3.7377323315919568</v>
      </c>
    </row>
    <row r="40" spans="1:9" x14ac:dyDescent="0.2">
      <c r="A40" s="34"/>
      <c r="B40" s="25" t="s">
        <v>241</v>
      </c>
      <c r="C40" s="82" t="s">
        <v>241</v>
      </c>
      <c r="D40" s="82" t="s">
        <v>241</v>
      </c>
      <c r="E40" s="82" t="s">
        <v>241</v>
      </c>
      <c r="F40" s="27"/>
      <c r="G40" s="28" t="s">
        <v>241</v>
      </c>
      <c r="H40" s="29" t="s">
        <v>241</v>
      </c>
    </row>
    <row r="41" spans="1:9" x14ac:dyDescent="0.2">
      <c r="A41" s="30" t="s">
        <v>27</v>
      </c>
      <c r="B41" s="31" t="s">
        <v>3</v>
      </c>
      <c r="C41" s="80">
        <v>269.44769335165705</v>
      </c>
      <c r="D41" s="80">
        <v>292.60341805499155</v>
      </c>
      <c r="E41" s="83">
        <v>313.01303950799792</v>
      </c>
      <c r="F41" s="22" t="s">
        <v>241</v>
      </c>
      <c r="G41" s="23">
        <v>16.168387123464285</v>
      </c>
      <c r="H41" s="24">
        <v>6.9751821727422936</v>
      </c>
    </row>
    <row r="42" spans="1:9" x14ac:dyDescent="0.2">
      <c r="A42" s="34"/>
      <c r="B42" s="25" t="s">
        <v>241</v>
      </c>
      <c r="C42" s="82" t="s">
        <v>241</v>
      </c>
      <c r="D42" s="82" t="s">
        <v>241</v>
      </c>
      <c r="E42" s="82" t="s">
        <v>241</v>
      </c>
      <c r="F42" s="27"/>
      <c r="G42" s="38" t="s">
        <v>241</v>
      </c>
      <c r="H42" s="24" t="s">
        <v>241</v>
      </c>
    </row>
    <row r="43" spans="1:9" x14ac:dyDescent="0.2">
      <c r="A43" s="30" t="s">
        <v>30</v>
      </c>
      <c r="B43" s="31" t="s">
        <v>3</v>
      </c>
      <c r="C43" s="80">
        <v>587.55197540449115</v>
      </c>
      <c r="D43" s="80">
        <v>748.49025650467752</v>
      </c>
      <c r="E43" s="83">
        <v>784.1713110857296</v>
      </c>
      <c r="F43" s="22" t="s">
        <v>241</v>
      </c>
      <c r="G43" s="37">
        <v>33.464160433786105</v>
      </c>
      <c r="H43" s="33">
        <v>4.7670700147355944</v>
      </c>
    </row>
    <row r="44" spans="1:9" x14ac:dyDescent="0.2">
      <c r="A44" s="34"/>
      <c r="B44" s="25" t="s">
        <v>241</v>
      </c>
      <c r="C44" s="82" t="s">
        <v>241</v>
      </c>
      <c r="D44" s="82" t="s">
        <v>241</v>
      </c>
      <c r="E44" s="82" t="s">
        <v>241</v>
      </c>
      <c r="F44" s="27"/>
      <c r="G44" s="28" t="s">
        <v>241</v>
      </c>
      <c r="H44" s="29" t="s">
        <v>241</v>
      </c>
    </row>
    <row r="45" spans="1:9" x14ac:dyDescent="0.2">
      <c r="A45" s="30" t="s">
        <v>31</v>
      </c>
      <c r="B45" s="31" t="s">
        <v>3</v>
      </c>
      <c r="C45" s="80">
        <v>364.83776376508092</v>
      </c>
      <c r="D45" s="80">
        <v>453.70083030496136</v>
      </c>
      <c r="E45" s="83">
        <v>535.23317785692677</v>
      </c>
      <c r="F45" s="22" t="s">
        <v>241</v>
      </c>
      <c r="G45" s="37">
        <v>46.704434413089842</v>
      </c>
      <c r="H45" s="33">
        <v>17.970508781560369</v>
      </c>
    </row>
    <row r="46" spans="1:9" ht="13.5" thickBot="1" x14ac:dyDescent="0.25">
      <c r="A46" s="56"/>
      <c r="B46" s="42" t="s">
        <v>241</v>
      </c>
      <c r="C46" s="86" t="s">
        <v>241</v>
      </c>
      <c r="D46" s="86" t="s">
        <v>241</v>
      </c>
      <c r="E46" s="86" t="s">
        <v>241</v>
      </c>
      <c r="F46" s="44"/>
      <c r="G46" s="57" t="s">
        <v>241</v>
      </c>
      <c r="H46" s="46" t="s">
        <v>241</v>
      </c>
    </row>
    <row r="47" spans="1:9" x14ac:dyDescent="0.2">
      <c r="A47" s="58"/>
      <c r="B47" s="58"/>
      <c r="C47" s="21"/>
      <c r="D47" s="21"/>
      <c r="E47" s="21"/>
      <c r="F47" s="59"/>
      <c r="G47" s="38"/>
      <c r="H47" s="60"/>
      <c r="I47" s="61"/>
    </row>
    <row r="48" spans="1:9" x14ac:dyDescent="0.2">
      <c r="A48" s="58"/>
      <c r="B48" s="62"/>
      <c r="C48" s="21"/>
      <c r="D48" s="21"/>
      <c r="E48" s="21"/>
      <c r="F48" s="63"/>
      <c r="G48" s="38"/>
      <c r="H48" s="60"/>
      <c r="I48" s="61"/>
    </row>
    <row r="49" spans="1:9" x14ac:dyDescent="0.2">
      <c r="A49" s="58"/>
      <c r="B49" s="58"/>
      <c r="C49" s="21"/>
      <c r="D49" s="21"/>
      <c r="E49" s="96"/>
      <c r="F49" s="59"/>
      <c r="G49" s="38"/>
      <c r="H49" s="60"/>
      <c r="I49" s="61"/>
    </row>
    <row r="50" spans="1:9" x14ac:dyDescent="0.2">
      <c r="A50" s="58"/>
      <c r="B50" s="62"/>
      <c r="C50" s="21"/>
      <c r="D50" s="21"/>
      <c r="E50" s="21"/>
      <c r="F50" s="63"/>
      <c r="G50" s="38"/>
      <c r="H50" s="60"/>
      <c r="I50" s="61"/>
    </row>
    <row r="51" spans="1:9" x14ac:dyDescent="0.2">
      <c r="A51" s="58"/>
      <c r="B51" s="58"/>
      <c r="C51" s="21"/>
      <c r="D51" s="21"/>
      <c r="E51" s="21"/>
      <c r="F51" s="59"/>
      <c r="G51" s="38"/>
      <c r="H51" s="60"/>
      <c r="I51" s="61"/>
    </row>
    <row r="52" spans="1:9" x14ac:dyDescent="0.2">
      <c r="A52" s="58"/>
      <c r="B52" s="62"/>
      <c r="C52" s="21"/>
      <c r="D52" s="21"/>
      <c r="E52" s="21"/>
      <c r="F52" s="63"/>
      <c r="G52" s="38"/>
      <c r="H52" s="60"/>
      <c r="I52" s="61"/>
    </row>
    <row r="53" spans="1:9" x14ac:dyDescent="0.2">
      <c r="A53" s="58"/>
      <c r="B53" s="58"/>
      <c r="C53" s="21"/>
      <c r="D53" s="21"/>
      <c r="E53" s="21"/>
      <c r="F53" s="59"/>
      <c r="G53" s="38"/>
      <c r="H53" s="60"/>
      <c r="I53" s="61"/>
    </row>
    <row r="54" spans="1:9" x14ac:dyDescent="0.2">
      <c r="A54" s="58"/>
      <c r="B54" s="62"/>
      <c r="C54" s="21"/>
      <c r="D54" s="21"/>
      <c r="E54" s="21"/>
      <c r="F54" s="63"/>
      <c r="G54" s="38"/>
      <c r="H54" s="60"/>
      <c r="I54" s="61"/>
    </row>
    <row r="55" spans="1:9" x14ac:dyDescent="0.2">
      <c r="A55" s="58"/>
      <c r="B55" s="58"/>
      <c r="C55" s="21"/>
      <c r="D55" s="21"/>
      <c r="E55" s="21"/>
      <c r="F55" s="59"/>
      <c r="G55" s="38"/>
      <c r="H55" s="60"/>
      <c r="I55" s="61"/>
    </row>
    <row r="56" spans="1:9" x14ac:dyDescent="0.2">
      <c r="A56" s="58"/>
      <c r="B56" s="62"/>
      <c r="C56" s="21"/>
      <c r="D56" s="21"/>
      <c r="E56" s="21"/>
      <c r="F56" s="63"/>
      <c r="G56" s="38"/>
      <c r="H56" s="60"/>
      <c r="I56" s="61"/>
    </row>
    <row r="57" spans="1:9" x14ac:dyDescent="0.2">
      <c r="A57" s="58"/>
      <c r="B57" s="58"/>
      <c r="C57" s="64"/>
      <c r="D57" s="64"/>
      <c r="E57" s="21"/>
      <c r="F57" s="59"/>
      <c r="G57" s="38"/>
      <c r="H57" s="60"/>
      <c r="I57" s="61"/>
    </row>
    <row r="58" spans="1:9" x14ac:dyDescent="0.2">
      <c r="A58" s="58"/>
      <c r="B58" s="58"/>
      <c r="C58" s="64"/>
      <c r="D58" s="64"/>
      <c r="E58" s="21"/>
      <c r="F58" s="59"/>
      <c r="G58" s="38"/>
      <c r="H58" s="60"/>
      <c r="I58" s="61"/>
    </row>
    <row r="59" spans="1:9" x14ac:dyDescent="0.2">
      <c r="A59" s="65"/>
      <c r="B59" s="62"/>
      <c r="C59" s="21"/>
      <c r="D59" s="21"/>
      <c r="E59" s="21"/>
      <c r="F59" s="63"/>
      <c r="G59" s="38"/>
      <c r="H59" s="60"/>
      <c r="I59" s="61"/>
    </row>
    <row r="60" spans="1:9" x14ac:dyDescent="0.2">
      <c r="A60" s="52"/>
      <c r="B60" s="52"/>
      <c r="C60" s="52"/>
      <c r="D60" s="52"/>
      <c r="E60" s="52"/>
      <c r="F60" s="52"/>
      <c r="G60" s="52"/>
      <c r="H60" s="52"/>
    </row>
    <row r="61" spans="1:9" ht="12.75" customHeight="1" x14ac:dyDescent="0.2">
      <c r="A61" s="54" t="s">
        <v>235</v>
      </c>
      <c r="G61" s="53"/>
      <c r="H61" s="202">
        <v>11</v>
      </c>
    </row>
    <row r="62" spans="1:9" ht="12.75" customHeight="1" x14ac:dyDescent="0.2">
      <c r="A62" s="54" t="s">
        <v>242</v>
      </c>
      <c r="G62" s="53"/>
      <c r="H62" s="195"/>
    </row>
    <row r="67" ht="12.75" customHeight="1" x14ac:dyDescent="0.2"/>
    <row r="68" ht="12.75" customHeight="1" x14ac:dyDescent="0.2"/>
  </sheetData>
  <mergeCells count="6">
    <mergeCell ref="H61:H62"/>
    <mergeCell ref="A35:A36"/>
    <mergeCell ref="A7:A8"/>
    <mergeCell ref="G5:H5"/>
    <mergeCell ref="G33:H33"/>
    <mergeCell ref="C33:F33"/>
  </mergeCells>
  <phoneticPr fontId="0" type="noConversion"/>
  <hyperlinks>
    <hyperlink ref="A2" location="Innhold!A26" display="Tilbake til innholdsfortegnelsen" xr:uid="{00000000-0004-0000-0600-000000000000}"/>
  </hyperlinks>
  <pageMargins left="0.78740157480314965" right="0.78740157480314965" top="0.98425196850393704" bottom="0.19685039370078741" header="3.937007874015748E-2" footer="3.937007874015748E-2"/>
  <pageSetup paperSize="9" scale="99" orientation="portrait"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I68"/>
  <sheetViews>
    <sheetView showGridLines="0" showRowColHeaders="0" zoomScaleNormal="100" zoomScaleSheetLayoutView="70" workbookViewId="0"/>
  </sheetViews>
  <sheetFormatPr defaultColWidth="11.42578125" defaultRowHeight="12.75" x14ac:dyDescent="0.2"/>
  <cols>
    <col min="1" max="1" width="26.42578125" style="1" customWidth="1"/>
    <col min="2" max="2" width="8.140625" style="1" customWidth="1"/>
    <col min="3" max="4" width="10.42578125" style="1" customWidth="1"/>
    <col min="5" max="5" width="9.85546875" style="1" customWidth="1"/>
    <col min="6" max="6" width="1.5703125" style="1" customWidth="1"/>
    <col min="7" max="7" width="7.5703125" style="1" customWidth="1"/>
    <col min="8" max="8" width="8.85546875" style="1" customWidth="1"/>
    <col min="9" max="16384" width="11.42578125" style="1"/>
  </cols>
  <sheetData>
    <row r="1" spans="1:8" ht="5.25" customHeight="1" x14ac:dyDescent="0.2"/>
    <row r="2" spans="1:8" x14ac:dyDescent="0.2">
      <c r="A2" s="92" t="s">
        <v>0</v>
      </c>
      <c r="B2" s="2"/>
      <c r="C2" s="2"/>
      <c r="D2" s="2"/>
      <c r="E2" s="2"/>
      <c r="F2" s="2"/>
      <c r="G2" s="2"/>
    </row>
    <row r="3" spans="1:8" ht="6" customHeight="1" x14ac:dyDescent="0.2">
      <c r="A3" s="3"/>
      <c r="B3" s="2"/>
      <c r="C3" s="2"/>
      <c r="D3" s="2"/>
      <c r="E3" s="2"/>
      <c r="F3" s="2"/>
      <c r="G3" s="2"/>
    </row>
    <row r="4" spans="1:8" ht="16.5" thickBot="1" x14ac:dyDescent="0.3">
      <c r="A4" s="4" t="s">
        <v>147</v>
      </c>
      <c r="B4" s="5"/>
      <c r="C4" s="5"/>
      <c r="D4" s="5"/>
      <c r="E4" s="5"/>
      <c r="F4" s="5"/>
      <c r="G4" s="5"/>
      <c r="H4" s="6"/>
    </row>
    <row r="5" spans="1:8" x14ac:dyDescent="0.2">
      <c r="A5" s="7"/>
      <c r="B5" s="8"/>
      <c r="C5" s="9"/>
      <c r="D5" s="8"/>
      <c r="E5" s="10"/>
      <c r="F5" s="11"/>
      <c r="G5" s="197" t="s">
        <v>1</v>
      </c>
      <c r="H5" s="198"/>
    </row>
    <row r="6" spans="1:8" x14ac:dyDescent="0.2">
      <c r="A6" s="12"/>
      <c r="B6" s="13"/>
      <c r="C6" s="14" t="s">
        <v>236</v>
      </c>
      <c r="D6" s="15" t="s">
        <v>237</v>
      </c>
      <c r="E6" s="15" t="s">
        <v>238</v>
      </c>
      <c r="F6" s="16"/>
      <c r="G6" s="17" t="s">
        <v>239</v>
      </c>
      <c r="H6" s="18" t="s">
        <v>240</v>
      </c>
    </row>
    <row r="7" spans="1:8" ht="12.75" customHeight="1" x14ac:dyDescent="0.2">
      <c r="A7" s="199" t="s">
        <v>26</v>
      </c>
      <c r="B7" s="19" t="s">
        <v>3</v>
      </c>
      <c r="C7" s="20">
        <v>848267.68337105052</v>
      </c>
      <c r="D7" s="20">
        <v>908662.80747384159</v>
      </c>
      <c r="E7" s="21">
        <v>881354.73572496255</v>
      </c>
      <c r="F7" s="22" t="s">
        <v>241</v>
      </c>
      <c r="G7" s="23">
        <v>3.9005437791078919</v>
      </c>
      <c r="H7" s="24">
        <v>-3.0053031250170505</v>
      </c>
    </row>
    <row r="8" spans="1:8" ht="12.75" customHeight="1" x14ac:dyDescent="0.2">
      <c r="A8" s="200"/>
      <c r="B8" s="25" t="s">
        <v>241</v>
      </c>
      <c r="C8" s="26" t="s">
        <v>241</v>
      </c>
      <c r="D8" s="26" t="s">
        <v>241</v>
      </c>
      <c r="E8" s="26" t="s">
        <v>241</v>
      </c>
      <c r="F8" s="27"/>
      <c r="G8" s="28" t="s">
        <v>241</v>
      </c>
      <c r="H8" s="29" t="s">
        <v>241</v>
      </c>
    </row>
    <row r="9" spans="1:8" x14ac:dyDescent="0.2">
      <c r="A9" s="30" t="s">
        <v>34</v>
      </c>
      <c r="B9" s="31" t="s">
        <v>3</v>
      </c>
      <c r="C9" s="20">
        <v>9972.7763999999988</v>
      </c>
      <c r="D9" s="20">
        <v>10416.3024</v>
      </c>
      <c r="E9" s="21">
        <v>10149.056399999999</v>
      </c>
      <c r="F9" s="22" t="s">
        <v>241</v>
      </c>
      <c r="G9" s="32">
        <v>1.767612076412334</v>
      </c>
      <c r="H9" s="33">
        <v>-2.565651319800395</v>
      </c>
    </row>
    <row r="10" spans="1:8" x14ac:dyDescent="0.2">
      <c r="A10" s="34"/>
      <c r="B10" s="25" t="s">
        <v>241</v>
      </c>
      <c r="C10" s="26" t="s">
        <v>241</v>
      </c>
      <c r="D10" s="26" t="s">
        <v>241</v>
      </c>
      <c r="E10" s="26" t="s">
        <v>241</v>
      </c>
      <c r="F10" s="27"/>
      <c r="G10" s="35" t="s">
        <v>241</v>
      </c>
      <c r="H10" s="29" t="s">
        <v>241</v>
      </c>
    </row>
    <row r="11" spans="1:8" x14ac:dyDescent="0.2">
      <c r="A11" s="30" t="s">
        <v>35</v>
      </c>
      <c r="B11" s="31" t="s">
        <v>3</v>
      </c>
      <c r="C11" s="20">
        <v>3488.0621120000001</v>
      </c>
      <c r="D11" s="20">
        <v>3667.3041920000001</v>
      </c>
      <c r="E11" s="21">
        <v>3469.444512</v>
      </c>
      <c r="F11" s="22" t="s">
        <v>241</v>
      </c>
      <c r="G11" s="37">
        <v>-0.53375196318752671</v>
      </c>
      <c r="H11" s="33">
        <v>-5.395235018453576</v>
      </c>
    </row>
    <row r="12" spans="1:8" x14ac:dyDescent="0.2">
      <c r="A12" s="34"/>
      <c r="B12" s="25" t="s">
        <v>241</v>
      </c>
      <c r="C12" s="26" t="s">
        <v>241</v>
      </c>
      <c r="D12" s="26" t="s">
        <v>241</v>
      </c>
      <c r="E12" s="26" t="s">
        <v>241</v>
      </c>
      <c r="F12" s="27"/>
      <c r="G12" s="28" t="s">
        <v>241</v>
      </c>
      <c r="H12" s="29" t="s">
        <v>241</v>
      </c>
    </row>
    <row r="13" spans="1:8" x14ac:dyDescent="0.2">
      <c r="A13" s="30" t="s">
        <v>36</v>
      </c>
      <c r="B13" s="31" t="s">
        <v>3</v>
      </c>
      <c r="C13" s="20">
        <v>165320.38095999998</v>
      </c>
      <c r="D13" s="20">
        <v>166654.99402666665</v>
      </c>
      <c r="E13" s="21">
        <v>163221.03962666666</v>
      </c>
      <c r="F13" s="22" t="s">
        <v>241</v>
      </c>
      <c r="G13" s="23">
        <v>-1.2698623854739708</v>
      </c>
      <c r="H13" s="24">
        <v>-2.0605169500354208</v>
      </c>
    </row>
    <row r="14" spans="1:8" x14ac:dyDescent="0.2">
      <c r="A14" s="34"/>
      <c r="B14" s="25" t="s">
        <v>241</v>
      </c>
      <c r="C14" s="26" t="s">
        <v>241</v>
      </c>
      <c r="D14" s="26" t="s">
        <v>241</v>
      </c>
      <c r="E14" s="26" t="s">
        <v>241</v>
      </c>
      <c r="F14" s="27"/>
      <c r="G14" s="38" t="s">
        <v>241</v>
      </c>
      <c r="H14" s="24" t="s">
        <v>241</v>
      </c>
    </row>
    <row r="15" spans="1:8" x14ac:dyDescent="0.2">
      <c r="A15" s="30" t="s">
        <v>18</v>
      </c>
      <c r="B15" s="31" t="s">
        <v>3</v>
      </c>
      <c r="C15" s="20">
        <v>3320.3300799999997</v>
      </c>
      <c r="D15" s="20">
        <v>3467.2172799999998</v>
      </c>
      <c r="E15" s="21">
        <v>3303.7460799999999</v>
      </c>
      <c r="F15" s="22" t="s">
        <v>241</v>
      </c>
      <c r="G15" s="37">
        <v>-0.49946841429692768</v>
      </c>
      <c r="H15" s="33">
        <v>-4.7147665346199403</v>
      </c>
    </row>
    <row r="16" spans="1:8" x14ac:dyDescent="0.2">
      <c r="A16" s="34"/>
      <c r="B16" s="25" t="s">
        <v>241</v>
      </c>
      <c r="C16" s="26" t="s">
        <v>241</v>
      </c>
      <c r="D16" s="26" t="s">
        <v>241</v>
      </c>
      <c r="E16" s="26" t="s">
        <v>241</v>
      </c>
      <c r="F16" s="27"/>
      <c r="G16" s="28" t="s">
        <v>241</v>
      </c>
      <c r="H16" s="29" t="s">
        <v>241</v>
      </c>
    </row>
    <row r="17" spans="1:9" x14ac:dyDescent="0.2">
      <c r="A17" s="30" t="s">
        <v>37</v>
      </c>
      <c r="B17" s="31" t="s">
        <v>3</v>
      </c>
      <c r="C17" s="20">
        <v>3147.0931679999999</v>
      </c>
      <c r="D17" s="20">
        <v>2949.9562880000003</v>
      </c>
      <c r="E17" s="21">
        <v>2790.166768</v>
      </c>
      <c r="F17" s="22" t="s">
        <v>241</v>
      </c>
      <c r="G17" s="37">
        <v>-11.341462770446967</v>
      </c>
      <c r="H17" s="33">
        <v>-5.4166741605630335</v>
      </c>
    </row>
    <row r="18" spans="1:9" x14ac:dyDescent="0.2">
      <c r="A18" s="34"/>
      <c r="B18" s="25" t="s">
        <v>241</v>
      </c>
      <c r="C18" s="26" t="s">
        <v>241</v>
      </c>
      <c r="D18" s="26" t="s">
        <v>241</v>
      </c>
      <c r="E18" s="26" t="s">
        <v>241</v>
      </c>
      <c r="F18" s="27"/>
      <c r="G18" s="28" t="s">
        <v>241</v>
      </c>
      <c r="H18" s="29" t="s">
        <v>241</v>
      </c>
    </row>
    <row r="19" spans="1:9" x14ac:dyDescent="0.2">
      <c r="A19" s="30" t="s">
        <v>38</v>
      </c>
      <c r="B19" s="31" t="s">
        <v>3</v>
      </c>
      <c r="C19" s="20">
        <v>4884.1035200000006</v>
      </c>
      <c r="D19" s="20">
        <v>4901.1736533333333</v>
      </c>
      <c r="E19" s="21">
        <v>5614.7408533333328</v>
      </c>
      <c r="F19" s="22" t="s">
        <v>241</v>
      </c>
      <c r="G19" s="23">
        <v>14.95949728218153</v>
      </c>
      <c r="H19" s="24">
        <v>14.559108704803705</v>
      </c>
    </row>
    <row r="20" spans="1:9" x14ac:dyDescent="0.2">
      <c r="A20" s="30"/>
      <c r="B20" s="25" t="s">
        <v>241</v>
      </c>
      <c r="C20" s="26" t="s">
        <v>241</v>
      </c>
      <c r="D20" s="26" t="s">
        <v>241</v>
      </c>
      <c r="E20" s="26" t="s">
        <v>241</v>
      </c>
      <c r="F20" s="27"/>
      <c r="G20" s="38" t="s">
        <v>241</v>
      </c>
      <c r="H20" s="24" t="s">
        <v>241</v>
      </c>
    </row>
    <row r="21" spans="1:9" x14ac:dyDescent="0.2">
      <c r="A21" s="39" t="s">
        <v>39</v>
      </c>
      <c r="B21" s="31" t="s">
        <v>3</v>
      </c>
      <c r="C21" s="20">
        <v>256979.17392</v>
      </c>
      <c r="D21" s="20">
        <v>255583.64671999999</v>
      </c>
      <c r="E21" s="21">
        <v>246464.55791999999</v>
      </c>
      <c r="F21" s="22" t="s">
        <v>241</v>
      </c>
      <c r="G21" s="37">
        <v>-4.0916218383024727</v>
      </c>
      <c r="H21" s="33">
        <v>-3.5679468999791908</v>
      </c>
    </row>
    <row r="22" spans="1:9" x14ac:dyDescent="0.2">
      <c r="A22" s="34"/>
      <c r="B22" s="25" t="s">
        <v>241</v>
      </c>
      <c r="C22" s="26" t="s">
        <v>241</v>
      </c>
      <c r="D22" s="26" t="s">
        <v>241</v>
      </c>
      <c r="E22" s="26" t="s">
        <v>241</v>
      </c>
      <c r="F22" s="27"/>
      <c r="G22" s="28" t="s">
        <v>241</v>
      </c>
      <c r="H22" s="29" t="s">
        <v>241</v>
      </c>
    </row>
    <row r="23" spans="1:9" x14ac:dyDescent="0.2">
      <c r="A23" s="39" t="s">
        <v>40</v>
      </c>
      <c r="B23" s="31" t="s">
        <v>3</v>
      </c>
      <c r="C23" s="20">
        <v>182046.6436795707</v>
      </c>
      <c r="D23" s="20">
        <v>194930.2096</v>
      </c>
      <c r="E23" s="21">
        <v>192266.22560000001</v>
      </c>
      <c r="F23" s="22" t="s">
        <v>241</v>
      </c>
      <c r="G23" s="23">
        <v>5.6137161959532165</v>
      </c>
      <c r="H23" s="24">
        <v>-1.3666347589050218</v>
      </c>
    </row>
    <row r="24" spans="1:9" x14ac:dyDescent="0.2">
      <c r="A24" s="34"/>
      <c r="B24" s="25" t="s">
        <v>241</v>
      </c>
      <c r="C24" s="26" t="s">
        <v>241</v>
      </c>
      <c r="D24" s="26" t="s">
        <v>241</v>
      </c>
      <c r="E24" s="26" t="s">
        <v>241</v>
      </c>
      <c r="F24" s="27"/>
      <c r="G24" s="38" t="s">
        <v>241</v>
      </c>
      <c r="H24" s="24" t="s">
        <v>241</v>
      </c>
    </row>
    <row r="25" spans="1:9" x14ac:dyDescent="0.2">
      <c r="A25" s="30" t="s">
        <v>41</v>
      </c>
      <c r="B25" s="31" t="s">
        <v>3</v>
      </c>
      <c r="C25" s="20">
        <v>276481.21739999996</v>
      </c>
      <c r="D25" s="20">
        <v>321381.55839999998</v>
      </c>
      <c r="E25" s="21">
        <v>333427.1974</v>
      </c>
      <c r="F25" s="22" t="s">
        <v>241</v>
      </c>
      <c r="G25" s="37">
        <v>20.596690269058413</v>
      </c>
      <c r="H25" s="33">
        <v>3.7480803378916079</v>
      </c>
    </row>
    <row r="26" spans="1:9" x14ac:dyDescent="0.2">
      <c r="A26" s="34"/>
      <c r="B26" s="25" t="s">
        <v>241</v>
      </c>
      <c r="C26" s="26" t="s">
        <v>241</v>
      </c>
      <c r="D26" s="26" t="s">
        <v>241</v>
      </c>
      <c r="E26" s="26" t="s">
        <v>241</v>
      </c>
      <c r="F26" s="27"/>
      <c r="G26" s="28" t="s">
        <v>241</v>
      </c>
      <c r="H26" s="29" t="s">
        <v>241</v>
      </c>
    </row>
    <row r="27" spans="1:9" x14ac:dyDescent="0.2">
      <c r="A27" s="30" t="s">
        <v>24</v>
      </c>
      <c r="B27" s="31" t="s">
        <v>3</v>
      </c>
      <c r="C27" s="20">
        <v>160991.0704</v>
      </c>
      <c r="D27" s="20">
        <v>183511.47306666666</v>
      </c>
      <c r="E27" s="21">
        <v>176584.81706666667</v>
      </c>
      <c r="F27" s="22" t="s">
        <v>241</v>
      </c>
      <c r="G27" s="23">
        <v>9.6860941590873892</v>
      </c>
      <c r="H27" s="24">
        <v>-3.7745084186009734</v>
      </c>
    </row>
    <row r="28" spans="1:9" ht="13.5" thickBot="1" x14ac:dyDescent="0.25">
      <c r="A28" s="56"/>
      <c r="B28" s="42" t="s">
        <v>241</v>
      </c>
      <c r="C28" s="43" t="s">
        <v>241</v>
      </c>
      <c r="D28" s="43" t="s">
        <v>241</v>
      </c>
      <c r="E28" s="43" t="s">
        <v>241</v>
      </c>
      <c r="F28" s="44"/>
      <c r="G28" s="57" t="s">
        <v>241</v>
      </c>
      <c r="H28" s="46" t="s">
        <v>241</v>
      </c>
    </row>
    <row r="29" spans="1:9" x14ac:dyDescent="0.2">
      <c r="A29" s="58"/>
      <c r="B29" s="58"/>
      <c r="C29" s="64"/>
      <c r="D29" s="64"/>
      <c r="E29" s="21"/>
      <c r="F29" s="59"/>
      <c r="G29" s="38"/>
      <c r="H29" s="60"/>
      <c r="I29" s="61"/>
    </row>
    <row r="30" spans="1:9" x14ac:dyDescent="0.2">
      <c r="A30" s="65"/>
      <c r="B30" s="62"/>
      <c r="C30" s="21"/>
      <c r="D30" s="21"/>
      <c r="E30" s="21"/>
      <c r="F30" s="63"/>
      <c r="G30" s="38"/>
      <c r="H30" s="60"/>
      <c r="I30" s="61"/>
    </row>
    <row r="31" spans="1:9" x14ac:dyDescent="0.2">
      <c r="A31" s="47"/>
      <c r="B31" s="48"/>
      <c r="C31" s="49"/>
      <c r="D31" s="55"/>
      <c r="E31" s="49"/>
      <c r="F31" s="49"/>
      <c r="G31" s="50"/>
      <c r="H31" s="51"/>
      <c r="I31" s="61"/>
    </row>
    <row r="32" spans="1:9" ht="16.5" thickBot="1" x14ac:dyDescent="0.3">
      <c r="A32" s="4" t="s">
        <v>33</v>
      </c>
      <c r="B32" s="5"/>
      <c r="C32" s="5"/>
      <c r="D32" s="5"/>
      <c r="E32" s="5"/>
      <c r="F32" s="5"/>
      <c r="G32" s="5"/>
      <c r="H32" s="6"/>
    </row>
    <row r="33" spans="1:8" x14ac:dyDescent="0.2">
      <c r="A33" s="7"/>
      <c r="B33" s="8"/>
      <c r="C33" s="203" t="s">
        <v>16</v>
      </c>
      <c r="D33" s="197"/>
      <c r="E33" s="197"/>
      <c r="F33" s="204"/>
      <c r="G33" s="197" t="s">
        <v>1</v>
      </c>
      <c r="H33" s="198"/>
    </row>
    <row r="34" spans="1:8" x14ac:dyDescent="0.2">
      <c r="A34" s="12"/>
      <c r="B34" s="13"/>
      <c r="C34" s="14" t="s">
        <v>236</v>
      </c>
      <c r="D34" s="15" t="s">
        <v>237</v>
      </c>
      <c r="E34" s="15" t="s">
        <v>238</v>
      </c>
      <c r="F34" s="16"/>
      <c r="G34" s="17" t="s">
        <v>239</v>
      </c>
      <c r="H34" s="18" t="s">
        <v>240</v>
      </c>
    </row>
    <row r="35" spans="1:8" ht="12.75" customHeight="1" x14ac:dyDescent="0.2">
      <c r="A35" s="199" t="s">
        <v>26</v>
      </c>
      <c r="B35" s="19" t="s">
        <v>3</v>
      </c>
      <c r="C35" s="80">
        <v>13878.920128694614</v>
      </c>
      <c r="D35" s="80">
        <v>15161.339619238015</v>
      </c>
      <c r="E35" s="83">
        <v>15832.677050750515</v>
      </c>
      <c r="F35" s="22" t="s">
        <v>241</v>
      </c>
      <c r="G35" s="23">
        <v>14.077153726221951</v>
      </c>
      <c r="H35" s="24">
        <v>4.4279558955374227</v>
      </c>
    </row>
    <row r="36" spans="1:8" ht="12.75" customHeight="1" x14ac:dyDescent="0.2">
      <c r="A36" s="200"/>
      <c r="B36" s="25" t="s">
        <v>241</v>
      </c>
      <c r="C36" s="82" t="s">
        <v>241</v>
      </c>
      <c r="D36" s="82" t="s">
        <v>241</v>
      </c>
      <c r="E36" s="82" t="s">
        <v>241</v>
      </c>
      <c r="F36" s="27"/>
      <c r="G36" s="28" t="s">
        <v>241</v>
      </c>
      <c r="H36" s="29" t="s">
        <v>241</v>
      </c>
    </row>
    <row r="37" spans="1:8" x14ac:dyDescent="0.2">
      <c r="A37" s="30" t="s">
        <v>34</v>
      </c>
      <c r="B37" s="31" t="s">
        <v>3</v>
      </c>
      <c r="C37" s="84">
        <v>1227.2357933286009</v>
      </c>
      <c r="D37" s="84">
        <v>1157.1966798513122</v>
      </c>
      <c r="E37" s="83">
        <v>1290.8265800279776</v>
      </c>
      <c r="F37" s="22" t="s">
        <v>241</v>
      </c>
      <c r="G37" s="32">
        <v>5.1816274464176786</v>
      </c>
      <c r="H37" s="33">
        <v>11.547725853641012</v>
      </c>
    </row>
    <row r="38" spans="1:8" x14ac:dyDescent="0.2">
      <c r="A38" s="34"/>
      <c r="B38" s="25" t="s">
        <v>241</v>
      </c>
      <c r="C38" s="82" t="s">
        <v>241</v>
      </c>
      <c r="D38" s="82" t="s">
        <v>241</v>
      </c>
      <c r="E38" s="82" t="s">
        <v>241</v>
      </c>
      <c r="F38" s="27"/>
      <c r="G38" s="35" t="s">
        <v>241</v>
      </c>
      <c r="H38" s="29" t="s">
        <v>241</v>
      </c>
    </row>
    <row r="39" spans="1:8" x14ac:dyDescent="0.2">
      <c r="A39" s="30" t="s">
        <v>35</v>
      </c>
      <c r="B39" s="31" t="s">
        <v>3</v>
      </c>
      <c r="C39" s="84">
        <v>38.949811254098549</v>
      </c>
      <c r="D39" s="84">
        <v>43.881944022192918</v>
      </c>
      <c r="E39" s="83">
        <v>50.117116598413006</v>
      </c>
      <c r="F39" s="22" t="s">
        <v>241</v>
      </c>
      <c r="G39" s="37">
        <v>28.671012733442609</v>
      </c>
      <c r="H39" s="33">
        <v>14.208970717128437</v>
      </c>
    </row>
    <row r="40" spans="1:8" x14ac:dyDescent="0.2">
      <c r="A40" s="34"/>
      <c r="B40" s="25" t="s">
        <v>241</v>
      </c>
      <c r="C40" s="82" t="s">
        <v>241</v>
      </c>
      <c r="D40" s="82" t="s">
        <v>241</v>
      </c>
      <c r="E40" s="82" t="s">
        <v>241</v>
      </c>
      <c r="F40" s="27"/>
      <c r="G40" s="28" t="s">
        <v>241</v>
      </c>
      <c r="H40" s="29" t="s">
        <v>241</v>
      </c>
    </row>
    <row r="41" spans="1:8" x14ac:dyDescent="0.2">
      <c r="A41" s="30" t="s">
        <v>36</v>
      </c>
      <c r="B41" s="31" t="s">
        <v>3</v>
      </c>
      <c r="C41" s="84">
        <v>2731.9712473838736</v>
      </c>
      <c r="D41" s="84">
        <v>2877.4410523838951</v>
      </c>
      <c r="E41" s="83">
        <v>2902.8218499061209</v>
      </c>
      <c r="F41" s="22" t="s">
        <v>241</v>
      </c>
      <c r="G41" s="23">
        <v>6.2537481932085797</v>
      </c>
      <c r="H41" s="24">
        <v>0.8820614240280662</v>
      </c>
    </row>
    <row r="42" spans="1:8" x14ac:dyDescent="0.2">
      <c r="A42" s="34"/>
      <c r="B42" s="25" t="s">
        <v>241</v>
      </c>
      <c r="C42" s="82" t="s">
        <v>241</v>
      </c>
      <c r="D42" s="82" t="s">
        <v>241</v>
      </c>
      <c r="E42" s="82" t="s">
        <v>241</v>
      </c>
      <c r="F42" s="27"/>
      <c r="G42" s="38" t="s">
        <v>241</v>
      </c>
      <c r="H42" s="24" t="s">
        <v>241</v>
      </c>
    </row>
    <row r="43" spans="1:8" x14ac:dyDescent="0.2">
      <c r="A43" s="30" t="s">
        <v>18</v>
      </c>
      <c r="B43" s="31" t="s">
        <v>3</v>
      </c>
      <c r="C43" s="84">
        <v>225.16202558953506</v>
      </c>
      <c r="D43" s="84">
        <v>278.09246904358503</v>
      </c>
      <c r="E43" s="83">
        <v>266.32922584417429</v>
      </c>
      <c r="F43" s="22" t="s">
        <v>241</v>
      </c>
      <c r="G43" s="37">
        <v>18.283367342629091</v>
      </c>
      <c r="H43" s="33">
        <v>-4.2299754609921223</v>
      </c>
    </row>
    <row r="44" spans="1:8" x14ac:dyDescent="0.2">
      <c r="A44" s="34"/>
      <c r="B44" s="25" t="s">
        <v>241</v>
      </c>
      <c r="C44" s="82" t="s">
        <v>241</v>
      </c>
      <c r="D44" s="82" t="s">
        <v>241</v>
      </c>
      <c r="E44" s="82" t="s">
        <v>241</v>
      </c>
      <c r="F44" s="27"/>
      <c r="G44" s="28" t="s">
        <v>241</v>
      </c>
      <c r="H44" s="29" t="s">
        <v>241</v>
      </c>
    </row>
    <row r="45" spans="1:8" x14ac:dyDescent="0.2">
      <c r="A45" s="30" t="s">
        <v>37</v>
      </c>
      <c r="B45" s="31" t="s">
        <v>3</v>
      </c>
      <c r="C45" s="84">
        <v>128.70785007181718</v>
      </c>
      <c r="D45" s="84">
        <v>121.77996405712668</v>
      </c>
      <c r="E45" s="83">
        <v>134.5963927207346</v>
      </c>
      <c r="F45" s="22" t="s">
        <v>241</v>
      </c>
      <c r="G45" s="37">
        <v>4.5751231534298</v>
      </c>
      <c r="H45" s="33">
        <v>10.524250653905412</v>
      </c>
    </row>
    <row r="46" spans="1:8" x14ac:dyDescent="0.2">
      <c r="A46" s="34"/>
      <c r="B46" s="25" t="s">
        <v>241</v>
      </c>
      <c r="C46" s="82" t="s">
        <v>241</v>
      </c>
      <c r="D46" s="82" t="s">
        <v>241</v>
      </c>
      <c r="E46" s="82" t="s">
        <v>241</v>
      </c>
      <c r="F46" s="27"/>
      <c r="G46" s="28" t="s">
        <v>241</v>
      </c>
      <c r="H46" s="29" t="s">
        <v>241</v>
      </c>
    </row>
    <row r="47" spans="1:8" x14ac:dyDescent="0.2">
      <c r="A47" s="30" t="s">
        <v>38</v>
      </c>
      <c r="B47" s="31" t="s">
        <v>3</v>
      </c>
      <c r="C47" s="84">
        <v>88.781088354513912</v>
      </c>
      <c r="D47" s="84">
        <v>96.395796485767363</v>
      </c>
      <c r="E47" s="83">
        <v>126.50901799240218</v>
      </c>
      <c r="F47" s="22" t="s">
        <v>241</v>
      </c>
      <c r="G47" s="23">
        <v>42.49545746413466</v>
      </c>
      <c r="H47" s="24">
        <v>31.239143826236216</v>
      </c>
    </row>
    <row r="48" spans="1:8" x14ac:dyDescent="0.2">
      <c r="A48" s="30"/>
      <c r="B48" s="25" t="s">
        <v>241</v>
      </c>
      <c r="C48" s="82" t="s">
        <v>241</v>
      </c>
      <c r="D48" s="82" t="s">
        <v>241</v>
      </c>
      <c r="E48" s="82" t="s">
        <v>241</v>
      </c>
      <c r="F48" s="27"/>
      <c r="G48" s="38" t="s">
        <v>241</v>
      </c>
      <c r="H48" s="24" t="s">
        <v>241</v>
      </c>
    </row>
    <row r="49" spans="1:9" x14ac:dyDescent="0.2">
      <c r="A49" s="39" t="s">
        <v>39</v>
      </c>
      <c r="B49" s="31" t="s">
        <v>3</v>
      </c>
      <c r="C49" s="84">
        <v>1584.2496189421049</v>
      </c>
      <c r="D49" s="84">
        <v>1617.9421538693198</v>
      </c>
      <c r="E49" s="83">
        <v>1593.2205910805935</v>
      </c>
      <c r="F49" s="22" t="s">
        <v>241</v>
      </c>
      <c r="G49" s="37">
        <v>0.56626001554471372</v>
      </c>
      <c r="H49" s="33">
        <v>-1.5279633285778687</v>
      </c>
    </row>
    <row r="50" spans="1:9" x14ac:dyDescent="0.2">
      <c r="A50" s="34"/>
      <c r="B50" s="25" t="s">
        <v>241</v>
      </c>
      <c r="C50" s="82" t="s">
        <v>241</v>
      </c>
      <c r="D50" s="82" t="s">
        <v>241</v>
      </c>
      <c r="E50" s="82" t="s">
        <v>241</v>
      </c>
      <c r="F50" s="27"/>
      <c r="G50" s="28" t="s">
        <v>241</v>
      </c>
      <c r="H50" s="29" t="s">
        <v>241</v>
      </c>
    </row>
    <row r="51" spans="1:9" x14ac:dyDescent="0.2">
      <c r="A51" s="39" t="s">
        <v>40</v>
      </c>
      <c r="B51" s="31" t="s">
        <v>3</v>
      </c>
      <c r="C51" s="84">
        <v>713.86243103917968</v>
      </c>
      <c r="D51" s="84">
        <v>810.08675183774267</v>
      </c>
      <c r="E51" s="83">
        <v>863.94073953695613</v>
      </c>
      <c r="F51" s="22" t="s">
        <v>241</v>
      </c>
      <c r="G51" s="23">
        <v>21.023421596694106</v>
      </c>
      <c r="H51" s="24">
        <v>6.6479284566796935</v>
      </c>
    </row>
    <row r="52" spans="1:9" x14ac:dyDescent="0.2">
      <c r="A52" s="34"/>
      <c r="B52" s="25" t="s">
        <v>241</v>
      </c>
      <c r="C52" s="82" t="s">
        <v>241</v>
      </c>
      <c r="D52" s="82" t="s">
        <v>241</v>
      </c>
      <c r="E52" s="82" t="s">
        <v>241</v>
      </c>
      <c r="F52" s="27"/>
      <c r="G52" s="38" t="s">
        <v>241</v>
      </c>
      <c r="H52" s="24" t="s">
        <v>241</v>
      </c>
    </row>
    <row r="53" spans="1:9" x14ac:dyDescent="0.2">
      <c r="A53" s="30" t="s">
        <v>41</v>
      </c>
      <c r="B53" s="31" t="s">
        <v>3</v>
      </c>
      <c r="C53" s="84">
        <v>6408.9540404294748</v>
      </c>
      <c r="D53" s="84">
        <v>7311.0329433679644</v>
      </c>
      <c r="E53" s="83">
        <v>7804.6326024530817</v>
      </c>
      <c r="F53" s="22" t="s">
        <v>241</v>
      </c>
      <c r="G53" s="37">
        <v>21.777009996003642</v>
      </c>
      <c r="H53" s="33">
        <v>6.7514353020782636</v>
      </c>
    </row>
    <row r="54" spans="1:9" x14ac:dyDescent="0.2">
      <c r="A54" s="34"/>
      <c r="B54" s="25" t="s">
        <v>241</v>
      </c>
      <c r="C54" s="82" t="s">
        <v>241</v>
      </c>
      <c r="D54" s="82" t="s">
        <v>241</v>
      </c>
      <c r="E54" s="82" t="s">
        <v>241</v>
      </c>
      <c r="F54" s="27"/>
      <c r="G54" s="28" t="s">
        <v>241</v>
      </c>
      <c r="H54" s="29" t="s">
        <v>241</v>
      </c>
    </row>
    <row r="55" spans="1:9" x14ac:dyDescent="0.2">
      <c r="A55" s="30" t="s">
        <v>24</v>
      </c>
      <c r="B55" s="31" t="s">
        <v>3</v>
      </c>
      <c r="C55" s="84">
        <v>731.04622230141717</v>
      </c>
      <c r="D55" s="84">
        <v>847.48986431911192</v>
      </c>
      <c r="E55" s="83">
        <v>799.68293459006009</v>
      </c>
      <c r="F55" s="22" t="s">
        <v>241</v>
      </c>
      <c r="G55" s="23">
        <v>9.38883345468453</v>
      </c>
      <c r="H55" s="24">
        <v>-5.6410031248528014</v>
      </c>
    </row>
    <row r="56" spans="1:9" ht="13.5" thickBot="1" x14ac:dyDescent="0.25">
      <c r="A56" s="56"/>
      <c r="B56" s="42" t="s">
        <v>241</v>
      </c>
      <c r="C56" s="86" t="s">
        <v>241</v>
      </c>
      <c r="D56" s="86" t="s">
        <v>241</v>
      </c>
      <c r="E56" s="86" t="s">
        <v>241</v>
      </c>
      <c r="F56" s="44"/>
      <c r="G56" s="57" t="s">
        <v>241</v>
      </c>
      <c r="H56" s="46" t="s">
        <v>241</v>
      </c>
    </row>
    <row r="57" spans="1:9" x14ac:dyDescent="0.2">
      <c r="A57" s="58"/>
      <c r="B57" s="58"/>
      <c r="C57" s="64"/>
      <c r="D57" s="64"/>
      <c r="E57" s="21"/>
      <c r="F57" s="59"/>
      <c r="G57" s="38"/>
      <c r="H57" s="60"/>
      <c r="I57" s="61"/>
    </row>
    <row r="58" spans="1:9" x14ac:dyDescent="0.2">
      <c r="A58" s="65"/>
      <c r="B58" s="62"/>
      <c r="C58" s="21"/>
      <c r="D58" s="21"/>
      <c r="E58" s="21"/>
      <c r="F58" s="63"/>
      <c r="G58" s="38"/>
      <c r="H58" s="60"/>
      <c r="I58" s="61"/>
    </row>
    <row r="59" spans="1:9" x14ac:dyDescent="0.2">
      <c r="A59" s="47"/>
      <c r="B59" s="48"/>
      <c r="C59" s="49"/>
      <c r="D59" s="49"/>
      <c r="E59" s="49"/>
      <c r="F59" s="49"/>
      <c r="G59" s="50"/>
      <c r="H59" s="51"/>
      <c r="I59" s="61"/>
    </row>
    <row r="60" spans="1:9" x14ac:dyDescent="0.2">
      <c r="A60" s="52"/>
      <c r="B60" s="52"/>
      <c r="C60" s="52"/>
      <c r="D60" s="52"/>
      <c r="E60" s="52"/>
      <c r="F60" s="52"/>
      <c r="G60" s="52"/>
      <c r="H60" s="52"/>
    </row>
    <row r="61" spans="1:9" ht="12.75" customHeight="1" x14ac:dyDescent="0.2">
      <c r="A61" s="54" t="s">
        <v>235</v>
      </c>
      <c r="H61" s="194">
        <v>12</v>
      </c>
    </row>
    <row r="62" spans="1:9" ht="12.75" customHeight="1" x14ac:dyDescent="0.2">
      <c r="A62" s="54" t="s">
        <v>242</v>
      </c>
      <c r="H62" s="195"/>
    </row>
    <row r="67" ht="12.75" customHeight="1" x14ac:dyDescent="0.2"/>
    <row r="68" ht="12.75" customHeight="1" x14ac:dyDescent="0.2"/>
  </sheetData>
  <mergeCells count="6">
    <mergeCell ref="H61:H62"/>
    <mergeCell ref="A35:A36"/>
    <mergeCell ref="A7:A8"/>
    <mergeCell ref="G5:H5"/>
    <mergeCell ref="G33:H33"/>
    <mergeCell ref="C33:F33"/>
  </mergeCells>
  <phoneticPr fontId="0" type="noConversion"/>
  <hyperlinks>
    <hyperlink ref="A2" location="Innhold!A28" display="Tilbake til innholdsfortegnelsen" xr:uid="{00000000-0004-0000-0700-000000000000}"/>
  </hyperlinks>
  <pageMargins left="0.78740157480314965" right="0.78740157480314965" top="0.98425196850393704" bottom="0.19685039370078741" header="3.937007874015748E-2" footer="3.937007874015748E-2"/>
  <pageSetup paperSize="9" scale="99" orientation="portrait"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H68"/>
  <sheetViews>
    <sheetView showGridLines="0" showRowColHeaders="0" zoomScaleNormal="100" zoomScaleSheetLayoutView="70" workbookViewId="0"/>
  </sheetViews>
  <sheetFormatPr defaultColWidth="11.42578125" defaultRowHeight="12.75" x14ac:dyDescent="0.2"/>
  <cols>
    <col min="1" max="1" width="26.42578125" style="1" customWidth="1"/>
    <col min="2" max="2" width="8.140625" style="1" customWidth="1"/>
    <col min="3" max="4" width="10.42578125" style="1" customWidth="1"/>
    <col min="5" max="5" width="9.85546875" style="1" customWidth="1"/>
    <col min="6" max="6" width="1.5703125" style="1" customWidth="1"/>
    <col min="7" max="7" width="7.5703125" style="1" customWidth="1"/>
    <col min="8" max="8" width="8.85546875" style="1" customWidth="1"/>
    <col min="9" max="16384" width="11.42578125" style="1"/>
  </cols>
  <sheetData>
    <row r="1" spans="1:8" ht="5.25" customHeight="1" x14ac:dyDescent="0.2"/>
    <row r="2" spans="1:8" x14ac:dyDescent="0.2">
      <c r="A2" s="92" t="s">
        <v>0</v>
      </c>
      <c r="B2" s="2"/>
      <c r="C2" s="2"/>
      <c r="D2" s="2"/>
      <c r="E2" s="2"/>
      <c r="F2" s="2"/>
      <c r="G2" s="2"/>
    </row>
    <row r="3" spans="1:8" ht="6" customHeight="1" x14ac:dyDescent="0.2">
      <c r="A3" s="3"/>
      <c r="B3" s="2"/>
      <c r="C3" s="2"/>
      <c r="D3" s="2"/>
      <c r="E3" s="2"/>
      <c r="F3" s="2"/>
      <c r="G3" s="2"/>
    </row>
    <row r="4" spans="1:8" ht="16.5" thickBot="1" x14ac:dyDescent="0.3">
      <c r="A4" s="4" t="s">
        <v>148</v>
      </c>
      <c r="B4" s="5"/>
      <c r="C4" s="5"/>
      <c r="D4" s="5"/>
      <c r="E4" s="5"/>
      <c r="F4" s="5"/>
      <c r="G4" s="5"/>
      <c r="H4" s="6"/>
    </row>
    <row r="5" spans="1:8" x14ac:dyDescent="0.2">
      <c r="A5" s="7"/>
      <c r="B5" s="8"/>
      <c r="C5" s="9"/>
      <c r="D5" s="8"/>
      <c r="E5" s="10"/>
      <c r="F5" s="11"/>
      <c r="G5" s="197" t="s">
        <v>1</v>
      </c>
      <c r="H5" s="198"/>
    </row>
    <row r="6" spans="1:8" x14ac:dyDescent="0.2">
      <c r="A6" s="12"/>
      <c r="B6" s="13"/>
      <c r="C6" s="14" t="s">
        <v>236</v>
      </c>
      <c r="D6" s="15" t="s">
        <v>237</v>
      </c>
      <c r="E6" s="15" t="s">
        <v>238</v>
      </c>
      <c r="F6" s="16"/>
      <c r="G6" s="17" t="s">
        <v>239</v>
      </c>
      <c r="H6" s="18" t="s">
        <v>240</v>
      </c>
    </row>
    <row r="7" spans="1:8" x14ac:dyDescent="0.2">
      <c r="A7" s="199" t="s">
        <v>17</v>
      </c>
      <c r="B7" s="19" t="s">
        <v>3</v>
      </c>
      <c r="C7" s="20">
        <v>312410.11965267966</v>
      </c>
      <c r="D7" s="20">
        <v>401911.93909904256</v>
      </c>
      <c r="E7" s="21">
        <v>436422.0568025253</v>
      </c>
      <c r="F7" s="22" t="s">
        <v>241</v>
      </c>
      <c r="G7" s="23">
        <v>39.695236917330107</v>
      </c>
      <c r="H7" s="24">
        <v>8.5864873237762964</v>
      </c>
    </row>
    <row r="8" spans="1:8" x14ac:dyDescent="0.2">
      <c r="A8" s="200"/>
      <c r="B8" s="25" t="s">
        <v>241</v>
      </c>
      <c r="C8" s="26" t="s">
        <v>241</v>
      </c>
      <c r="D8" s="26" t="s">
        <v>241</v>
      </c>
      <c r="E8" s="26" t="s">
        <v>241</v>
      </c>
      <c r="F8" s="27"/>
      <c r="G8" s="28" t="s">
        <v>241</v>
      </c>
      <c r="H8" s="29" t="s">
        <v>241</v>
      </c>
    </row>
    <row r="9" spans="1:8" x14ac:dyDescent="0.2">
      <c r="A9" s="30" t="s">
        <v>18</v>
      </c>
      <c r="B9" s="31" t="s">
        <v>3</v>
      </c>
      <c r="C9" s="20">
        <v>22734.102206588694</v>
      </c>
      <c r="D9" s="20">
        <v>24841.406678260872</v>
      </c>
      <c r="E9" s="21">
        <v>31193.199773913046</v>
      </c>
      <c r="F9" s="22" t="s">
        <v>241</v>
      </c>
      <c r="G9" s="32">
        <v>37.208848145640758</v>
      </c>
      <c r="H9" s="33">
        <v>25.569377684278777</v>
      </c>
    </row>
    <row r="10" spans="1:8" x14ac:dyDescent="0.2">
      <c r="A10" s="34"/>
      <c r="B10" s="25" t="s">
        <v>241</v>
      </c>
      <c r="C10" s="26" t="s">
        <v>241</v>
      </c>
      <c r="D10" s="26" t="s">
        <v>241</v>
      </c>
      <c r="E10" s="26" t="s">
        <v>241</v>
      </c>
      <c r="F10" s="27"/>
      <c r="G10" s="35" t="s">
        <v>241</v>
      </c>
      <c r="H10" s="29" t="s">
        <v>241</v>
      </c>
    </row>
    <row r="11" spans="1:8" x14ac:dyDescent="0.2">
      <c r="A11" s="30" t="s">
        <v>19</v>
      </c>
      <c r="B11" s="31" t="s">
        <v>3</v>
      </c>
      <c r="C11" s="20">
        <v>60163.007355295653</v>
      </c>
      <c r="D11" s="20">
        <v>69858.022260869562</v>
      </c>
      <c r="E11" s="21">
        <v>70509.665913043485</v>
      </c>
      <c r="F11" s="22" t="s">
        <v>241</v>
      </c>
      <c r="G11" s="37">
        <v>17.197708380242901</v>
      </c>
      <c r="H11" s="33">
        <v>0.93281148117891632</v>
      </c>
    </row>
    <row r="12" spans="1:8" x14ac:dyDescent="0.2">
      <c r="A12" s="34"/>
      <c r="B12" s="25" t="s">
        <v>241</v>
      </c>
      <c r="C12" s="26" t="s">
        <v>241</v>
      </c>
      <c r="D12" s="26" t="s">
        <v>241</v>
      </c>
      <c r="E12" s="26" t="s">
        <v>241</v>
      </c>
      <c r="F12" s="27"/>
      <c r="G12" s="28" t="s">
        <v>241</v>
      </c>
      <c r="H12" s="29" t="s">
        <v>241</v>
      </c>
    </row>
    <row r="13" spans="1:8" x14ac:dyDescent="0.2">
      <c r="A13" s="30" t="s">
        <v>20</v>
      </c>
      <c r="B13" s="31" t="s">
        <v>3</v>
      </c>
      <c r="C13" s="20">
        <v>26862.717788236027</v>
      </c>
      <c r="D13" s="20">
        <v>29684.962981366458</v>
      </c>
      <c r="E13" s="21">
        <v>34331.50757763975</v>
      </c>
      <c r="F13" s="22" t="s">
        <v>241</v>
      </c>
      <c r="G13" s="23">
        <v>27.803552299814299</v>
      </c>
      <c r="H13" s="24">
        <v>15.652856293571844</v>
      </c>
    </row>
    <row r="14" spans="1:8" x14ac:dyDescent="0.2">
      <c r="A14" s="34"/>
      <c r="B14" s="25" t="s">
        <v>241</v>
      </c>
      <c r="C14" s="26" t="s">
        <v>241</v>
      </c>
      <c r="D14" s="26" t="s">
        <v>241</v>
      </c>
      <c r="E14" s="26" t="s">
        <v>241</v>
      </c>
      <c r="F14" s="27"/>
      <c r="G14" s="38" t="s">
        <v>241</v>
      </c>
      <c r="H14" s="24" t="s">
        <v>241</v>
      </c>
    </row>
    <row r="15" spans="1:8" x14ac:dyDescent="0.2">
      <c r="A15" s="30" t="s">
        <v>21</v>
      </c>
      <c r="B15" s="31" t="s">
        <v>3</v>
      </c>
      <c r="C15" s="20">
        <v>4938.2510215688408</v>
      </c>
      <c r="D15" s="20">
        <v>4864.7808695652175</v>
      </c>
      <c r="E15" s="21">
        <v>5193.3147101449276</v>
      </c>
      <c r="F15" s="22" t="s">
        <v>241</v>
      </c>
      <c r="G15" s="37">
        <v>5.1650612223243115</v>
      </c>
      <c r="H15" s="33">
        <v>6.7533122125822018</v>
      </c>
    </row>
    <row r="16" spans="1:8" x14ac:dyDescent="0.2">
      <c r="A16" s="34"/>
      <c r="B16" s="25" t="s">
        <v>241</v>
      </c>
      <c r="C16" s="26" t="s">
        <v>241</v>
      </c>
      <c r="D16" s="26" t="s">
        <v>241</v>
      </c>
      <c r="E16" s="26" t="s">
        <v>241</v>
      </c>
      <c r="F16" s="27"/>
      <c r="G16" s="28" t="s">
        <v>241</v>
      </c>
      <c r="H16" s="29" t="s">
        <v>241</v>
      </c>
    </row>
    <row r="17" spans="1:8" x14ac:dyDescent="0.2">
      <c r="A17" s="30" t="s">
        <v>22</v>
      </c>
      <c r="B17" s="31" t="s">
        <v>3</v>
      </c>
      <c r="C17" s="20">
        <v>6123.2510215688408</v>
      </c>
      <c r="D17" s="20">
        <v>8089.7808695652175</v>
      </c>
      <c r="E17" s="21">
        <v>7586.3147101449276</v>
      </c>
      <c r="F17" s="22" t="s">
        <v>241</v>
      </c>
      <c r="G17" s="37">
        <v>23.893576850312343</v>
      </c>
      <c r="H17" s="33">
        <v>-6.2234832752317573</v>
      </c>
    </row>
    <row r="18" spans="1:8" x14ac:dyDescent="0.2">
      <c r="A18" s="34"/>
      <c r="B18" s="25" t="s">
        <v>241</v>
      </c>
      <c r="C18" s="26" t="s">
        <v>241</v>
      </c>
      <c r="D18" s="26" t="s">
        <v>241</v>
      </c>
      <c r="E18" s="26" t="s">
        <v>241</v>
      </c>
      <c r="F18" s="27"/>
      <c r="G18" s="28" t="s">
        <v>241</v>
      </c>
      <c r="H18" s="29" t="s">
        <v>241</v>
      </c>
    </row>
    <row r="19" spans="1:8" x14ac:dyDescent="0.2">
      <c r="A19" s="30" t="s">
        <v>190</v>
      </c>
      <c r="B19" s="31" t="s">
        <v>3</v>
      </c>
      <c r="C19" s="20">
        <v>123601.29447059006</v>
      </c>
      <c r="D19" s="20">
        <v>173973.40745341615</v>
      </c>
      <c r="E19" s="21">
        <v>248706.26894409937</v>
      </c>
      <c r="F19" s="22" t="s">
        <v>241</v>
      </c>
      <c r="G19" s="23">
        <v>101.21655684057339</v>
      </c>
      <c r="H19" s="24">
        <v>42.956485467868987</v>
      </c>
    </row>
    <row r="20" spans="1:8" x14ac:dyDescent="0.2">
      <c r="A20" s="30"/>
      <c r="B20" s="25" t="s">
        <v>241</v>
      </c>
      <c r="C20" s="26" t="s">
        <v>241</v>
      </c>
      <c r="D20" s="26" t="s">
        <v>241</v>
      </c>
      <c r="E20" s="26" t="s">
        <v>241</v>
      </c>
      <c r="F20" s="27"/>
      <c r="G20" s="38" t="s">
        <v>241</v>
      </c>
      <c r="H20" s="24" t="s">
        <v>241</v>
      </c>
    </row>
    <row r="21" spans="1:8" x14ac:dyDescent="0.2">
      <c r="A21" s="39" t="s">
        <v>12</v>
      </c>
      <c r="B21" s="31" t="s">
        <v>3</v>
      </c>
      <c r="C21" s="20">
        <v>1834.7506129413043</v>
      </c>
      <c r="D21" s="20">
        <v>1964.6685217391305</v>
      </c>
      <c r="E21" s="21">
        <v>1977.3888260869564</v>
      </c>
      <c r="F21" s="22" t="s">
        <v>241</v>
      </c>
      <c r="G21" s="37">
        <v>7.7742561926161642</v>
      </c>
      <c r="H21" s="33">
        <v>0.64745295234669697</v>
      </c>
    </row>
    <row r="22" spans="1:8" x14ac:dyDescent="0.2">
      <c r="A22" s="34"/>
      <c r="B22" s="25" t="s">
        <v>241</v>
      </c>
      <c r="C22" s="26" t="s">
        <v>241</v>
      </c>
      <c r="D22" s="26" t="s">
        <v>241</v>
      </c>
      <c r="E22" s="26" t="s">
        <v>241</v>
      </c>
      <c r="F22" s="27"/>
      <c r="G22" s="28" t="s">
        <v>241</v>
      </c>
      <c r="H22" s="29" t="s">
        <v>241</v>
      </c>
    </row>
    <row r="23" spans="1:8" x14ac:dyDescent="0.2">
      <c r="A23" s="39" t="s">
        <v>23</v>
      </c>
      <c r="B23" s="31" t="s">
        <v>3</v>
      </c>
      <c r="C23" s="20">
        <v>12935.251021568842</v>
      </c>
      <c r="D23" s="20">
        <v>13348.780869565217</v>
      </c>
      <c r="E23" s="21">
        <v>13174.314710144929</v>
      </c>
      <c r="F23" s="22" t="s">
        <v>241</v>
      </c>
      <c r="G23" s="23">
        <v>1.8481565466140495</v>
      </c>
      <c r="H23" s="24">
        <v>-1.3069819717998854</v>
      </c>
    </row>
    <row r="24" spans="1:8" x14ac:dyDescent="0.2">
      <c r="A24" s="34"/>
      <c r="B24" s="25" t="s">
        <v>241</v>
      </c>
      <c r="C24" s="26" t="s">
        <v>241</v>
      </c>
      <c r="D24" s="26" t="s">
        <v>241</v>
      </c>
      <c r="E24" s="26" t="s">
        <v>241</v>
      </c>
      <c r="F24" s="27"/>
      <c r="G24" s="28" t="s">
        <v>241</v>
      </c>
      <c r="H24" s="29" t="s">
        <v>241</v>
      </c>
    </row>
    <row r="25" spans="1:8" x14ac:dyDescent="0.2">
      <c r="A25" s="30" t="s">
        <v>24</v>
      </c>
      <c r="B25" s="31" t="s">
        <v>3</v>
      </c>
      <c r="C25" s="20">
        <v>59331.502043137683</v>
      </c>
      <c r="D25" s="20">
        <v>86794.56173913044</v>
      </c>
      <c r="E25" s="21">
        <v>34043.629420289857</v>
      </c>
      <c r="F25" s="22" t="s">
        <v>241</v>
      </c>
      <c r="G25" s="23">
        <v>-42.621325521915786</v>
      </c>
      <c r="H25" s="24">
        <v>-60.776771334347742</v>
      </c>
    </row>
    <row r="26" spans="1:8" ht="13.5" thickBot="1" x14ac:dyDescent="0.25">
      <c r="A26" s="41"/>
      <c r="B26" s="42" t="s">
        <v>241</v>
      </c>
      <c r="C26" s="43" t="s">
        <v>241</v>
      </c>
      <c r="D26" s="43" t="s">
        <v>241</v>
      </c>
      <c r="E26" s="43" t="s">
        <v>241</v>
      </c>
      <c r="F26" s="44"/>
      <c r="G26" s="45" t="s">
        <v>241</v>
      </c>
      <c r="H26" s="46" t="s">
        <v>241</v>
      </c>
    </row>
    <row r="31" spans="1:8" x14ac:dyDescent="0.2">
      <c r="A31" s="47"/>
      <c r="B31" s="48"/>
      <c r="C31" s="49"/>
      <c r="D31" s="55"/>
      <c r="E31" s="49"/>
      <c r="F31" s="49"/>
      <c r="G31" s="50"/>
      <c r="H31" s="51"/>
    </row>
    <row r="32" spans="1:8" ht="16.5" thickBot="1" x14ac:dyDescent="0.3">
      <c r="A32" s="4" t="s">
        <v>25</v>
      </c>
      <c r="B32" s="5"/>
      <c r="C32" s="5"/>
      <c r="D32" s="5"/>
      <c r="E32" s="5"/>
      <c r="F32" s="5"/>
      <c r="G32" s="5"/>
      <c r="H32" s="6"/>
    </row>
    <row r="33" spans="1:8" x14ac:dyDescent="0.2">
      <c r="A33" s="7"/>
      <c r="B33" s="8"/>
      <c r="C33" s="203" t="s">
        <v>16</v>
      </c>
      <c r="D33" s="197"/>
      <c r="E33" s="197"/>
      <c r="F33" s="204"/>
      <c r="G33" s="197" t="s">
        <v>1</v>
      </c>
      <c r="H33" s="198"/>
    </row>
    <row r="34" spans="1:8" x14ac:dyDescent="0.2">
      <c r="A34" s="12"/>
      <c r="B34" s="13"/>
      <c r="C34" s="14" t="s">
        <v>236</v>
      </c>
      <c r="D34" s="15" t="s">
        <v>237</v>
      </c>
      <c r="E34" s="15" t="s">
        <v>238</v>
      </c>
      <c r="F34" s="16"/>
      <c r="G34" s="17" t="s">
        <v>239</v>
      </c>
      <c r="H34" s="18" t="s">
        <v>240</v>
      </c>
    </row>
    <row r="35" spans="1:8" x14ac:dyDescent="0.2">
      <c r="A35" s="199" t="s">
        <v>17</v>
      </c>
      <c r="B35" s="19" t="s">
        <v>3</v>
      </c>
      <c r="C35" s="80">
        <v>7171.790369567203</v>
      </c>
      <c r="D35" s="80">
        <v>8904.3769745772461</v>
      </c>
      <c r="E35" s="83">
        <v>8866.896608576435</v>
      </c>
      <c r="F35" s="22" t="s">
        <v>241</v>
      </c>
      <c r="G35" s="23">
        <v>23.635747165760051</v>
      </c>
      <c r="H35" s="24">
        <v>-0.42092070122166092</v>
      </c>
    </row>
    <row r="36" spans="1:8" x14ac:dyDescent="0.2">
      <c r="A36" s="200"/>
      <c r="B36" s="25" t="s">
        <v>241</v>
      </c>
      <c r="C36" s="82" t="s">
        <v>241</v>
      </c>
      <c r="D36" s="82" t="s">
        <v>241</v>
      </c>
      <c r="E36" s="82" t="s">
        <v>241</v>
      </c>
      <c r="F36" s="27"/>
      <c r="G36" s="28" t="s">
        <v>241</v>
      </c>
      <c r="H36" s="29" t="s">
        <v>241</v>
      </c>
    </row>
    <row r="37" spans="1:8" x14ac:dyDescent="0.2">
      <c r="A37" s="30" t="s">
        <v>18</v>
      </c>
      <c r="B37" s="31" t="s">
        <v>3</v>
      </c>
      <c r="C37" s="80">
        <v>2543.9606140869664</v>
      </c>
      <c r="D37" s="80">
        <v>3037.3151262980323</v>
      </c>
      <c r="E37" s="83">
        <v>2867.3178072613059</v>
      </c>
      <c r="F37" s="22" t="s">
        <v>241</v>
      </c>
      <c r="G37" s="32">
        <v>12.710778279497575</v>
      </c>
      <c r="H37" s="33">
        <v>-5.5969602088646013</v>
      </c>
    </row>
    <row r="38" spans="1:8" x14ac:dyDescent="0.2">
      <c r="A38" s="34"/>
      <c r="B38" s="25" t="s">
        <v>241</v>
      </c>
      <c r="C38" s="82" t="s">
        <v>241</v>
      </c>
      <c r="D38" s="82" t="s">
        <v>241</v>
      </c>
      <c r="E38" s="82" t="s">
        <v>241</v>
      </c>
      <c r="F38" s="27"/>
      <c r="G38" s="35" t="s">
        <v>241</v>
      </c>
      <c r="H38" s="29" t="s">
        <v>241</v>
      </c>
    </row>
    <row r="39" spans="1:8" x14ac:dyDescent="0.2">
      <c r="A39" s="30" t="s">
        <v>19</v>
      </c>
      <c r="B39" s="31" t="s">
        <v>3</v>
      </c>
      <c r="C39" s="80">
        <v>2463.2625002424429</v>
      </c>
      <c r="D39" s="80">
        <v>2934.8006806299086</v>
      </c>
      <c r="E39" s="83">
        <v>3233.0145650993327</v>
      </c>
      <c r="F39" s="22" t="s">
        <v>241</v>
      </c>
      <c r="G39" s="37">
        <v>31.249290921334136</v>
      </c>
      <c r="H39" s="33">
        <v>10.161299417629181</v>
      </c>
    </row>
    <row r="40" spans="1:8" x14ac:dyDescent="0.2">
      <c r="A40" s="34"/>
      <c r="B40" s="25" t="s">
        <v>241</v>
      </c>
      <c r="C40" s="82" t="s">
        <v>241</v>
      </c>
      <c r="D40" s="82" t="s">
        <v>241</v>
      </c>
      <c r="E40" s="82" t="s">
        <v>241</v>
      </c>
      <c r="F40" s="27"/>
      <c r="G40" s="28" t="s">
        <v>241</v>
      </c>
      <c r="H40" s="29" t="s">
        <v>241</v>
      </c>
    </row>
    <row r="41" spans="1:8" x14ac:dyDescent="0.2">
      <c r="A41" s="30" t="s">
        <v>20</v>
      </c>
      <c r="B41" s="31" t="s">
        <v>3</v>
      </c>
      <c r="C41" s="80">
        <v>364.95528732458081</v>
      </c>
      <c r="D41" s="80">
        <v>375.52211592854422</v>
      </c>
      <c r="E41" s="83">
        <v>398.0162313263765</v>
      </c>
      <c r="F41" s="22" t="s">
        <v>241</v>
      </c>
      <c r="G41" s="23">
        <v>9.0589025971261634</v>
      </c>
      <c r="H41" s="24">
        <v>5.9900907146870992</v>
      </c>
    </row>
    <row r="42" spans="1:8" x14ac:dyDescent="0.2">
      <c r="A42" s="34"/>
      <c r="B42" s="25" t="s">
        <v>241</v>
      </c>
      <c r="C42" s="82" t="s">
        <v>241</v>
      </c>
      <c r="D42" s="82" t="s">
        <v>241</v>
      </c>
      <c r="E42" s="82" t="s">
        <v>241</v>
      </c>
      <c r="F42" s="27"/>
      <c r="G42" s="38" t="s">
        <v>241</v>
      </c>
      <c r="H42" s="24" t="s">
        <v>241</v>
      </c>
    </row>
    <row r="43" spans="1:8" x14ac:dyDescent="0.2">
      <c r="A43" s="30" t="s">
        <v>21</v>
      </c>
      <c r="B43" s="31" t="s">
        <v>3</v>
      </c>
      <c r="C43" s="80">
        <v>41.787927755822381</v>
      </c>
      <c r="D43" s="80">
        <v>45.958752576502974</v>
      </c>
      <c r="E43" s="83">
        <v>50.789542562724669</v>
      </c>
      <c r="F43" s="22" t="s">
        <v>241</v>
      </c>
      <c r="G43" s="37">
        <v>21.541184955380047</v>
      </c>
      <c r="H43" s="33">
        <v>10.511142525420709</v>
      </c>
    </row>
    <row r="44" spans="1:8" x14ac:dyDescent="0.2">
      <c r="A44" s="34"/>
      <c r="B44" s="25" t="s">
        <v>241</v>
      </c>
      <c r="C44" s="82" t="s">
        <v>241</v>
      </c>
      <c r="D44" s="82" t="s">
        <v>241</v>
      </c>
      <c r="E44" s="82" t="s">
        <v>241</v>
      </c>
      <c r="F44" s="27"/>
      <c r="G44" s="28" t="s">
        <v>241</v>
      </c>
      <c r="H44" s="29" t="s">
        <v>241</v>
      </c>
    </row>
    <row r="45" spans="1:8" x14ac:dyDescent="0.2">
      <c r="A45" s="30" t="s">
        <v>22</v>
      </c>
      <c r="B45" s="31" t="s">
        <v>3</v>
      </c>
      <c r="C45" s="80">
        <v>29.436083674779386</v>
      </c>
      <c r="D45" s="80">
        <v>40.378602719497835</v>
      </c>
      <c r="E45" s="83">
        <v>35.716650817172891</v>
      </c>
      <c r="F45" s="22" t="s">
        <v>241</v>
      </c>
      <c r="G45" s="37">
        <v>21.336286483567264</v>
      </c>
      <c r="H45" s="33">
        <v>-11.545599868104901</v>
      </c>
    </row>
    <row r="46" spans="1:8" x14ac:dyDescent="0.2">
      <c r="A46" s="34"/>
      <c r="B46" s="25" t="s">
        <v>241</v>
      </c>
      <c r="C46" s="82" t="s">
        <v>241</v>
      </c>
      <c r="D46" s="82" t="s">
        <v>241</v>
      </c>
      <c r="E46" s="82" t="s">
        <v>241</v>
      </c>
      <c r="F46" s="27"/>
      <c r="G46" s="28" t="s">
        <v>241</v>
      </c>
      <c r="H46" s="29" t="s">
        <v>241</v>
      </c>
    </row>
    <row r="47" spans="1:8" x14ac:dyDescent="0.2">
      <c r="A47" s="30" t="s">
        <v>190</v>
      </c>
      <c r="B47" s="31" t="s">
        <v>3</v>
      </c>
      <c r="C47" s="80">
        <v>820.1524830819003</v>
      </c>
      <c r="D47" s="80">
        <v>1259.2014506981182</v>
      </c>
      <c r="E47" s="83">
        <v>1278.8408761161497</v>
      </c>
      <c r="F47" s="22" t="s">
        <v>241</v>
      </c>
      <c r="G47" s="23">
        <v>55.927208963707386</v>
      </c>
      <c r="H47" s="24">
        <v>1.559673029851055</v>
      </c>
    </row>
    <row r="48" spans="1:8" x14ac:dyDescent="0.2">
      <c r="A48" s="30"/>
      <c r="B48" s="25" t="s">
        <v>241</v>
      </c>
      <c r="C48" s="82" t="s">
        <v>241</v>
      </c>
      <c r="D48" s="82" t="s">
        <v>241</v>
      </c>
      <c r="E48" s="82" t="s">
        <v>241</v>
      </c>
      <c r="F48" s="27"/>
      <c r="G48" s="38" t="s">
        <v>241</v>
      </c>
      <c r="H48" s="24" t="s">
        <v>241</v>
      </c>
    </row>
    <row r="49" spans="1:8" x14ac:dyDescent="0.2">
      <c r="A49" s="39" t="s">
        <v>12</v>
      </c>
      <c r="B49" s="31" t="s">
        <v>3</v>
      </c>
      <c r="C49" s="80">
        <v>20.946257253498221</v>
      </c>
      <c r="D49" s="80">
        <v>22.759661424554807</v>
      </c>
      <c r="E49" s="83">
        <v>35.35507725681515</v>
      </c>
      <c r="F49" s="22" t="s">
        <v>241</v>
      </c>
      <c r="G49" s="37">
        <v>68.78947312131632</v>
      </c>
      <c r="H49" s="33">
        <v>55.340963107085059</v>
      </c>
    </row>
    <row r="50" spans="1:8" x14ac:dyDescent="0.2">
      <c r="A50" s="34"/>
      <c r="B50" s="25" t="s">
        <v>241</v>
      </c>
      <c r="C50" s="82" t="s">
        <v>241</v>
      </c>
      <c r="D50" s="82" t="s">
        <v>241</v>
      </c>
      <c r="E50" s="82" t="s">
        <v>241</v>
      </c>
      <c r="F50" s="27"/>
      <c r="G50" s="28" t="s">
        <v>241</v>
      </c>
      <c r="H50" s="29" t="s">
        <v>241</v>
      </c>
    </row>
    <row r="51" spans="1:8" x14ac:dyDescent="0.2">
      <c r="A51" s="39" t="s">
        <v>23</v>
      </c>
      <c r="B51" s="31" t="s">
        <v>3</v>
      </c>
      <c r="C51" s="80">
        <v>307.54379769015583</v>
      </c>
      <c r="D51" s="80">
        <v>332.94284501083894</v>
      </c>
      <c r="E51" s="83">
        <v>315.1599379711983</v>
      </c>
      <c r="F51" s="22" t="s">
        <v>241</v>
      </c>
      <c r="G51" s="23">
        <v>2.4764408641124902</v>
      </c>
      <c r="H51" s="24">
        <v>-5.3411290574698143</v>
      </c>
    </row>
    <row r="52" spans="1:8" x14ac:dyDescent="0.2">
      <c r="A52" s="34"/>
      <c r="B52" s="25" t="s">
        <v>241</v>
      </c>
      <c r="C52" s="82" t="s">
        <v>241</v>
      </c>
      <c r="D52" s="82" t="s">
        <v>241</v>
      </c>
      <c r="E52" s="82" t="s">
        <v>241</v>
      </c>
      <c r="F52" s="27"/>
      <c r="G52" s="28" t="s">
        <v>241</v>
      </c>
      <c r="H52" s="29" t="s">
        <v>241</v>
      </c>
    </row>
    <row r="53" spans="1:8" x14ac:dyDescent="0.2">
      <c r="A53" s="30" t="s">
        <v>24</v>
      </c>
      <c r="B53" s="31" t="s">
        <v>3</v>
      </c>
      <c r="C53" s="80">
        <v>579.74541845705608</v>
      </c>
      <c r="D53" s="80">
        <v>855.49773929124785</v>
      </c>
      <c r="E53" s="83">
        <v>652.68592016535774</v>
      </c>
      <c r="F53" s="22" t="s">
        <v>241</v>
      </c>
      <c r="G53" s="23">
        <v>12.581471001948884</v>
      </c>
      <c r="H53" s="24">
        <v>-23.706879610682918</v>
      </c>
    </row>
    <row r="54" spans="1:8" ht="13.5" thickBot="1" x14ac:dyDescent="0.25">
      <c r="A54" s="41"/>
      <c r="B54" s="42" t="s">
        <v>241</v>
      </c>
      <c r="C54" s="86" t="s">
        <v>241</v>
      </c>
      <c r="D54" s="86" t="s">
        <v>241</v>
      </c>
      <c r="E54" s="86" t="s">
        <v>241</v>
      </c>
      <c r="F54" s="44"/>
      <c r="G54" s="45" t="s">
        <v>241</v>
      </c>
      <c r="H54" s="46" t="s">
        <v>241</v>
      </c>
    </row>
    <row r="59" spans="1:8" x14ac:dyDescent="0.2">
      <c r="A59" s="47"/>
      <c r="B59" s="48"/>
      <c r="C59" s="49"/>
      <c r="D59" s="49"/>
      <c r="E59" s="49"/>
      <c r="F59" s="49"/>
      <c r="G59" s="50"/>
      <c r="H59" s="51"/>
    </row>
    <row r="60" spans="1:8" x14ac:dyDescent="0.2">
      <c r="A60" s="52"/>
      <c r="B60" s="52"/>
      <c r="C60" s="52"/>
      <c r="D60" s="52"/>
      <c r="E60" s="52"/>
      <c r="F60" s="52"/>
      <c r="G60" s="52"/>
      <c r="H60" s="52"/>
    </row>
    <row r="61" spans="1:8" ht="12.75" customHeight="1" x14ac:dyDescent="0.2">
      <c r="A61" s="54" t="s">
        <v>235</v>
      </c>
      <c r="G61" s="53"/>
      <c r="H61" s="202">
        <v>13</v>
      </c>
    </row>
    <row r="62" spans="1:8" ht="12.75" customHeight="1" x14ac:dyDescent="0.2">
      <c r="A62" s="54" t="s">
        <v>242</v>
      </c>
      <c r="G62" s="53"/>
      <c r="H62" s="195"/>
    </row>
    <row r="67" ht="12.75" customHeight="1" x14ac:dyDescent="0.2"/>
    <row r="68" ht="12.75" customHeight="1" x14ac:dyDescent="0.2"/>
  </sheetData>
  <mergeCells count="6">
    <mergeCell ref="H61:H62"/>
    <mergeCell ref="A35:A36"/>
    <mergeCell ref="A7:A8"/>
    <mergeCell ref="G5:H5"/>
    <mergeCell ref="G33:H33"/>
    <mergeCell ref="C33:F33"/>
  </mergeCells>
  <phoneticPr fontId="0" type="noConversion"/>
  <hyperlinks>
    <hyperlink ref="A2" location="Innhold!A31" display="Tilbake til innholdsfortegnelsen" xr:uid="{00000000-0004-0000-0800-000000000000}"/>
  </hyperlinks>
  <pageMargins left="0.78740157480314965" right="0.78740157480314965" top="0.98425196850393704" bottom="0.19685039370078741" header="3.937007874015748E-2" footer="3.937007874015748E-2"/>
  <pageSetup paperSize="9" scale="99"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23</vt:i4>
      </vt:variant>
      <vt:variant>
        <vt:lpstr>Named Ranges</vt:lpstr>
      </vt:variant>
      <vt:variant>
        <vt:i4>11</vt:i4>
      </vt:variant>
    </vt:vector>
  </HeadingPairs>
  <TitlesOfParts>
    <vt:vector size="34" baseType="lpstr">
      <vt:lpstr>Forside</vt:lpstr>
      <vt:lpstr>Innhold</vt:lpstr>
      <vt:lpstr>Tab1</vt:lpstr>
      <vt:lpstr>Tab2</vt:lpstr>
      <vt:lpstr>Tab3</vt:lpstr>
      <vt:lpstr>Tab4</vt:lpstr>
      <vt:lpstr>Tab5</vt:lpstr>
      <vt:lpstr>Tab6</vt:lpstr>
      <vt:lpstr>Tab7</vt:lpstr>
      <vt:lpstr>Tab8</vt:lpstr>
      <vt:lpstr>Tab9</vt:lpstr>
      <vt:lpstr>Tab10</vt:lpstr>
      <vt:lpstr>Tab11</vt:lpstr>
      <vt:lpstr>Tab12</vt:lpstr>
      <vt:lpstr>Tab13</vt:lpstr>
      <vt:lpstr>Tab14</vt:lpstr>
      <vt:lpstr>Tab15</vt:lpstr>
      <vt:lpstr>Tab16</vt:lpstr>
      <vt:lpstr>Tab17</vt:lpstr>
      <vt:lpstr>Tab18</vt:lpstr>
      <vt:lpstr>Tab19</vt:lpstr>
      <vt:lpstr>Tab20</vt:lpstr>
      <vt:lpstr>Tab21</vt:lpstr>
      <vt:lpstr>aar</vt:lpstr>
      <vt:lpstr>aar_1</vt:lpstr>
      <vt:lpstr>aar_2</vt:lpstr>
      <vt:lpstr>aaret_i_alt</vt:lpstr>
      <vt:lpstr>hittil_i_aar</vt:lpstr>
      <vt:lpstr>'Tab1'!Print_Area</vt:lpstr>
      <vt:lpstr>'Tab2'!Print_Area</vt:lpstr>
      <vt:lpstr>'Tab3'!Print_Area</vt:lpstr>
      <vt:lpstr>Print_Area</vt:lpstr>
      <vt:lpstr>pros_1</vt:lpstr>
      <vt:lpstr>pros_2</vt:lpstr>
    </vt:vector>
  </TitlesOfParts>
  <Company>FNH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Harald Moseby (kontakt infoavd)</dc:creator>
  <cp:lastModifiedBy>Stein Erik Petersbakken</cp:lastModifiedBy>
  <cp:lastPrinted>2014-09-12T11:46:46Z</cp:lastPrinted>
  <dcterms:created xsi:type="dcterms:W3CDTF">2002-02-09T09:48:14Z</dcterms:created>
  <dcterms:modified xsi:type="dcterms:W3CDTF">2020-05-20T06:30:06Z</dcterms:modified>
</cp:coreProperties>
</file>