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8_{13F111C0-2F31-4513-9A39-4B575484648A}" xr6:coauthVersionLast="36" xr6:coauthVersionMax="36" xr10:uidLastSave="{00000000-0000-0000-0000-000000000000}"/>
  <bookViews>
    <workbookView xWindow="7665" yWindow="-15" windowWidth="7350" windowHeight="5295"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214" i="19" l="1"/>
  <c r="T213" i="19"/>
  <c r="T212" i="19"/>
  <c r="T211" i="19"/>
  <c r="T210" i="19"/>
  <c r="T209" i="19"/>
  <c r="T208" i="19"/>
  <c r="T207" i="19"/>
  <c r="T206" i="19"/>
  <c r="T205" i="19"/>
  <c r="T204" i="19"/>
  <c r="T203" i="19"/>
  <c r="Q214" i="19"/>
  <c r="Q213" i="19"/>
  <c r="Q212" i="19"/>
  <c r="Q211" i="19"/>
  <c r="N214" i="19"/>
  <c r="N213" i="19"/>
  <c r="N212" i="19"/>
  <c r="N211" i="19"/>
  <c r="D214" i="19" l="1"/>
  <c r="D213" i="19"/>
  <c r="D212" i="19"/>
  <c r="D211" i="19"/>
  <c r="C214" i="19"/>
  <c r="C213" i="19"/>
  <c r="C212" i="19"/>
  <c r="C211" i="19"/>
  <c r="B124" i="21" l="1"/>
  <c r="Y130" i="19" l="1"/>
  <c r="W130" i="19"/>
  <c r="Y133" i="19"/>
  <c r="Y131" i="19"/>
  <c r="W131" i="19"/>
  <c r="Y125" i="19"/>
  <c r="W125" i="19"/>
  <c r="S217" i="19"/>
  <c r="R217" i="19"/>
  <c r="P217" i="19"/>
  <c r="O217" i="19"/>
  <c r="M217" i="19"/>
  <c r="L217" i="19"/>
  <c r="S216" i="19"/>
  <c r="S215" i="19" s="1"/>
  <c r="R216" i="19"/>
  <c r="R215" i="19" s="1"/>
  <c r="P216" i="19"/>
  <c r="P215" i="19" s="1"/>
  <c r="O216" i="19"/>
  <c r="O215" i="19" s="1"/>
  <c r="M216" i="19"/>
  <c r="M215" i="19" s="1"/>
  <c r="L216" i="19"/>
  <c r="L215" i="19" s="1"/>
  <c r="E216" i="19"/>
  <c r="Q210" i="19"/>
  <c r="N210" i="19"/>
  <c r="D210" i="19"/>
  <c r="C210" i="19"/>
  <c r="Q209" i="19"/>
  <c r="N209" i="19"/>
  <c r="D209" i="19"/>
  <c r="C209" i="19"/>
  <c r="Q208" i="19"/>
  <c r="N208" i="19"/>
  <c r="D208" i="19"/>
  <c r="C208" i="19"/>
  <c r="Q207" i="19"/>
  <c r="N207" i="19"/>
  <c r="D207" i="19"/>
  <c r="C207" i="19"/>
  <c r="Q206" i="19"/>
  <c r="N206" i="19"/>
  <c r="D206" i="19"/>
  <c r="C206" i="19"/>
  <c r="Q205" i="19"/>
  <c r="N205" i="19"/>
  <c r="D205" i="19"/>
  <c r="C205" i="19"/>
  <c r="Q204" i="19"/>
  <c r="N204" i="19"/>
  <c r="D204" i="19"/>
  <c r="C204"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X133" i="19"/>
  <c r="W133" i="19"/>
  <c r="T133" i="19"/>
  <c r="Q133" i="19"/>
  <c r="N133" i="19"/>
  <c r="Y132" i="19"/>
  <c r="X132" i="19"/>
  <c r="W132" i="19"/>
  <c r="T132" i="19"/>
  <c r="Q132" i="19"/>
  <c r="N132" i="19"/>
  <c r="D132" i="19"/>
  <c r="D133" i="19" s="1"/>
  <c r="C132" i="19"/>
  <c r="C133" i="19" s="1"/>
  <c r="X131" i="19"/>
  <c r="T131" i="19"/>
  <c r="Q131" i="19"/>
  <c r="N131" i="19"/>
  <c r="X130" i="19"/>
  <c r="T130" i="19"/>
  <c r="Q130" i="19"/>
  <c r="N130" i="19"/>
  <c r="Y129" i="19"/>
  <c r="X129" i="19"/>
  <c r="W129" i="19"/>
  <c r="T129" i="19"/>
  <c r="Q129" i="19"/>
  <c r="N129" i="19"/>
  <c r="X128" i="19"/>
  <c r="T128" i="19"/>
  <c r="Q128" i="19"/>
  <c r="N128" i="19"/>
  <c r="D128" i="19"/>
  <c r="C128" i="19"/>
  <c r="C129" i="19" s="1"/>
  <c r="T127" i="19"/>
  <c r="Q127" i="19"/>
  <c r="N127" i="19"/>
  <c r="T126" i="19"/>
  <c r="Q126" i="19"/>
  <c r="N126" i="19"/>
  <c r="X125" i="19"/>
  <c r="T125" i="19"/>
  <c r="Q125" i="19"/>
  <c r="N125" i="19"/>
  <c r="Y124" i="19"/>
  <c r="X124" i="19"/>
  <c r="W124" i="19"/>
  <c r="T124" i="19"/>
  <c r="Q124" i="19"/>
  <c r="N124" i="19"/>
  <c r="D124" i="19"/>
  <c r="C124" i="19"/>
  <c r="C125" i="19" s="1"/>
  <c r="C126" i="19" s="1"/>
  <c r="Y123" i="19"/>
  <c r="X123" i="19"/>
  <c r="W123" i="19"/>
  <c r="T123" i="19"/>
  <c r="Q123" i="19"/>
  <c r="N123" i="19"/>
  <c r="Y122" i="19"/>
  <c r="X122" i="19"/>
  <c r="W122" i="19"/>
  <c r="T122" i="19"/>
  <c r="Q122" i="19"/>
  <c r="N122" i="19"/>
  <c r="X121" i="19"/>
  <c r="T121" i="19"/>
  <c r="Q121" i="19"/>
  <c r="N121" i="19"/>
  <c r="T120" i="19"/>
  <c r="Q120" i="19"/>
  <c r="N120" i="19"/>
  <c r="D120" i="19"/>
  <c r="C120" i="19"/>
  <c r="T119" i="19"/>
  <c r="Q119" i="19"/>
  <c r="N119" i="19"/>
  <c r="T118" i="19"/>
  <c r="Q118" i="19"/>
  <c r="N118" i="19"/>
  <c r="Y117" i="19"/>
  <c r="X117" i="19"/>
  <c r="W117" i="19"/>
  <c r="T117" i="19"/>
  <c r="Q117" i="19"/>
  <c r="N117" i="19"/>
  <c r="D117" i="19"/>
  <c r="D118" i="19" s="1"/>
  <c r="T116" i="19"/>
  <c r="Q116" i="19"/>
  <c r="N116" i="19"/>
  <c r="D116" i="19"/>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Y92" i="19"/>
  <c r="X92" i="19"/>
  <c r="N92" i="19"/>
  <c r="Y91" i="19"/>
  <c r="X91" i="19"/>
  <c r="W91" i="19"/>
  <c r="N91" i="19"/>
  <c r="Y90" i="19"/>
  <c r="X90" i="19"/>
  <c r="W90" i="19"/>
  <c r="N90" i="19"/>
  <c r="Y89" i="19"/>
  <c r="X89" i="19"/>
  <c r="W89" i="19"/>
  <c r="N89" i="19"/>
  <c r="Y88" i="19"/>
  <c r="X88" i="19"/>
  <c r="W88" i="19"/>
  <c r="N88" i="19"/>
  <c r="Y87" i="19"/>
  <c r="X87" i="19"/>
  <c r="W87" i="19"/>
  <c r="N87" i="19"/>
  <c r="Y86" i="19"/>
  <c r="X86" i="19"/>
  <c r="W86" i="19"/>
  <c r="N86" i="19"/>
  <c r="Y85" i="19"/>
  <c r="X85" i="19"/>
  <c r="W85" i="19"/>
  <c r="N85" i="19"/>
  <c r="Y84" i="19"/>
  <c r="X84" i="19"/>
  <c r="W84" i="19"/>
  <c r="N84" i="19"/>
  <c r="Y83" i="19"/>
  <c r="X83"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Z70" i="19"/>
  <c r="Y70" i="19"/>
  <c r="X70" i="19"/>
  <c r="W62" i="19"/>
  <c r="AD61" i="19"/>
  <c r="P61" i="19"/>
  <c r="A61" i="19"/>
  <c r="AD32" i="19"/>
  <c r="B20" i="21" s="1"/>
  <c r="W32" i="19"/>
  <c r="B18" i="21" s="1"/>
  <c r="I32" i="19"/>
  <c r="A32" i="19"/>
  <c r="B12" i="21" s="1"/>
  <c r="AD6" i="19"/>
  <c r="B19" i="21" s="1"/>
  <c r="W6" i="19"/>
  <c r="B17" i="21" s="1"/>
  <c r="I6" i="19"/>
  <c r="B13" i="21" s="1"/>
  <c r="A6" i="19"/>
  <c r="B11" i="21" s="1"/>
  <c r="B123" i="21"/>
  <c r="I61" i="19" s="1"/>
  <c r="B61" i="21"/>
  <c r="H26" i="21"/>
  <c r="H24" i="21"/>
  <c r="B15" i="21"/>
  <c r="B14" i="21"/>
  <c r="X115" i="19" l="1"/>
  <c r="Y104" i="19"/>
  <c r="Z78" i="19"/>
  <c r="W115" i="19"/>
  <c r="Y93" i="19"/>
  <c r="Y95" i="19"/>
  <c r="Y115" i="19"/>
  <c r="X93" i="19"/>
  <c r="X95" i="19" s="1"/>
  <c r="Y78" i="19"/>
  <c r="W104" i="19"/>
  <c r="X104" i="19"/>
  <c r="W92" i="19"/>
  <c r="W93" i="19" s="1"/>
  <c r="W95" i="19" s="1"/>
  <c r="H28" i="21"/>
  <c r="H29" i="21" s="1"/>
  <c r="H31" i="21" s="1"/>
  <c r="H27" i="21"/>
  <c r="X78" i="19"/>
  <c r="H53" i="24"/>
  <c r="A53" i="24"/>
  <c r="C130" i="19"/>
  <c r="B62" i="21"/>
  <c r="A51" i="23"/>
  <c r="P32" i="19"/>
  <c r="B16" i="21" s="1"/>
  <c r="A62" i="19"/>
  <c r="Y121" i="19"/>
  <c r="D125" i="19"/>
  <c r="D126" i="19" s="1"/>
  <c r="D129" i="19"/>
  <c r="D130" i="19" s="1"/>
  <c r="G216" i="19"/>
  <c r="A52" i="23"/>
  <c r="I62" i="19"/>
  <c r="C121" i="19"/>
  <c r="C122" i="19" s="1"/>
  <c r="P62" i="19"/>
  <c r="D121" i="19"/>
  <c r="D122" i="19" s="1"/>
  <c r="W82" i="19"/>
  <c r="W100" i="19" s="1"/>
  <c r="W111" i="19" s="1"/>
  <c r="AD62" i="19"/>
  <c r="C117" i="19"/>
  <c r="C118" i="19" s="1"/>
  <c r="W128" i="19"/>
  <c r="X82" i="19"/>
  <c r="X100" i="19" s="1"/>
  <c r="X111" i="19" s="1"/>
  <c r="Y82" i="19"/>
  <c r="Y100" i="19" s="1"/>
  <c r="Y111" i="19" s="1"/>
  <c r="H52" i="24"/>
  <c r="A52" i="24"/>
  <c r="W61" i="19"/>
  <c r="W121" i="19"/>
  <c r="Y128" i="19"/>
  <c r="H33" i="21" l="1"/>
  <c r="H34" i="21" s="1"/>
  <c r="H35" i="21" s="1"/>
  <c r="H36" i="21" s="1"/>
  <c r="H37" i="21" s="1"/>
  <c r="H38" i="21" s="1"/>
  <c r="H40" i="21" s="1"/>
  <c r="H32" i="21"/>
  <c r="H43" i="21" l="1"/>
  <c r="H41" i="2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<sst xmlns="http://schemas.openxmlformats.org/spreadsheetml/2006/main" count="2877" uniqueCount="244">
  <si>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</si>
  <si>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</si>
  <si>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</si>
  <si>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</si>
  <si>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</si>
  <si>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</si>
  <si>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</si>
  <si>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</si>
  <si>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</si>
  <si>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</si>
  <si>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</si>
  <si>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</si>
  <si>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</si>
  <si>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</si>
  <si>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</si>
  <si>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</si>
  <si>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</si>
  <si>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</si>
  <si>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</si>
  <si>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</si>
  <si>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</si>
  <si>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</si>
  <si>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</si>
  <si>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</si>
  <si>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</si>
  <si>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</si>
  <si>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</si>
  <si>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</si>
  <si>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</si>
  <si>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</si>
  <si>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</si>
  <si>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</si>
  <si>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</si>
  <si>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</si>
  <si>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</si>
  <si>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</si>
  <si>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</si>
  <si>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</si>
  <si>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</si>
  <si>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</si>
  <si>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</si>
  <si>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</si>
  <si>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</si>
  <si>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</si>
  <si>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</si>
  <si>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</si>
  <si>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</si>
  <si>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</si>
  <si>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</si>
  <si>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</si>
  <si>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</si>
  <si>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</si>
  <si>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</si>
  <si>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</si>
  <si>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</si>
  <si>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</si>
  <si>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</si>
  <si>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</si>
  <si>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</si>
  <si>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</si>
  <si>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</si>
  <si>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</si>
  <si>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</si>
  <si>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</si>
  <si>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</si>
  <si>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</si>
  <si>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</si>
  <si>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</si>
  <si>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</si>
  <si>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</si>
  <si>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</si>
  <si>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</si>
  <si>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</si>
  <si>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</si>
  <si>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</si>
  <si>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</si>
  <si>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</si>
  <si>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</si>
  <si>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</si>
  <si>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</si>
  <si>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</si>
  <si>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</si>
  <si>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</si>
  <si>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</si>
  <si>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</si>
  <si>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</si>
  <si>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</si>
  <si>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</si>
  <si>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</si>
  <si>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</si>
  <si>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</si>
  <si>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</si>
  <si>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</si>
  <si>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</si>
  <si>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</si>
  <si>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</si>
  <si>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</si>
  <si>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</si>
  <si>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</si>
  <si>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</si>
  <si>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</si>
  <si>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</si>
  <si>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</si>
  <si>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</si>
  <si>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</si>
  <si>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</si>
  <si>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</si>
  <si>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</si>
  <si>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</si>
  <si>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</si>
  <si>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</si>
  <si>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</si>
  <si>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</si>
  <si>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</si>
  <si>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</si>
  <si>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</si>
  <si>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</si>
  <si>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</si>
  <si>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</si>
  <si>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</si>
  <si>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</si>
  <si>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</si>
  <si>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</si>
  <si>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</si>
  <si>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</si>
  <si>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</si>
  <si>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</si>
  <si>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</si>
  <si>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</si>
  <si>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</si>
  <si>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</si>
  <si>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</si>
  <si>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</si>
  <si>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</si>
  <si>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</si>
  <si>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</si>
  <si>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</si>
  <si>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</si>
  <si>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</si>
  <si>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</si>
  <si>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</si>
  <si>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</si>
  <si>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</si>
  <si>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</si>
  <si>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</si>
  <si>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</si>
  <si>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</si>
  <si>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</si>
  <si>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</si>
  <si>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</si>
  <si>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</si>
  <si>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</si>
  <si>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</si>
  <si>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</si>
  <si>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</si>
  <si>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</si>
  <si>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</si>
  <si>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</si>
  <si>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</si>
  <si>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</si>
  <si>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</si>
  <si>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</si>
  <si>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</si>
  <si>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</si>
  <si>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</si>
  <si>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</si>
  <si>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</si>
  <si>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</si>
  <si>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</si>
  <si>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</si>
  <si>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</si>
  <si>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</si>
  <si>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</si>
  <si>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</si>
  <si>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</si>
  <si>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</si>
  <si>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</si>
  <si>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</si>
  <si>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</si>
  <si>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</si>
  <si>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</si>
  <si>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</si>
  <si>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</si>
  <si>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</si>
  <si>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</si>
  <si>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</si>
  <si>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</si>
  <si>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</si>
  <si>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</si>
  <si>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</si>
  <si>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</si>
  <si>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</si>
  <si>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</si>
  <si>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</si>
  <si>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</si>
  <si>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</si>
  <si>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</si>
  <si>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</si>
  <si>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</si>
  <si>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</si>
  <si>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</si>
  <si>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</si>
  <si>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</si>
  <si>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</si>
  <si>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</si>
  <si>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</si>
  <si>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</si>
  <si>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</si>
  <si>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</si>
  <si>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</si>
  <si>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</si>
  <si>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</si>
  <si>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</si>
  <si>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</si>
  <si>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</si>
  <si>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</si>
  <si>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</si>
  <si>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</si>
  <si>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</si>
  <si>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</si>
  <si>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</si>
  <si>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</si>
  <si>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</si>
  <si>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</si>
  <si>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</si>
  <si>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</si>
  <si>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</si>
  <si>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</si>
  <si>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</si>
  <si>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</si>
  <si>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</si>
  <si>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</si>
  <si>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</si>
  <si>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(2017)</t>
  </si>
  <si>
    <t>Fysioterapeut/kiropraktor</t>
  </si>
  <si>
    <t>2016</t>
  </si>
  <si>
    <t>2017</t>
  </si>
  <si>
    <t>2018</t>
  </si>
  <si>
    <t>16-18</t>
  </si>
  <si>
    <t>17-18</t>
  </si>
  <si>
    <t/>
  </si>
  <si>
    <t>Finans Norge / Skadestatistikk</t>
  </si>
  <si>
    <t>Skadestatistikk for landbasert forsikring 4. kvartal 2018</t>
  </si>
  <si>
    <t>punkt 4. Prinsipper, begreper og definisjoner på side 27 og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</si>
</sst>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0"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cellStyleXfs>
  <cellXfs count="216">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4"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3" fillId="0" borderId="0" xfId="4"/>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25" fillId="0" borderId="0" xfId="9" applyFont="1"/>
    <xf numFmtId="0" fontId="3" fillId="0" borderId="0" xfId="9"/>
    <xf numFmtId="0" fontId="0" fillId="0" borderId="0" xfId="9" applyFont="1"/>
    <xf numFmtId="0" fontId="26" fillId="0" borderId="0" xfId="9" applyFont="1" applyAlignment="1">
      <alignment horizontal="right"/>
    </xf>
    <xf numFmtId="0" fontId="28" fillId="0" borderId="0" xfId="9" applyFont="1" applyAlignment="1">
      <alignment horizontal="left"/>
    </xf>
    <xf numFmtId="0" fontId="31"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29" fillId="0" borderId="0" xfId="9" applyFont="1" applyAlignment="1">
      <alignment horizontal="left"/>
    </xf>
    <xf numFmtId="14" fontId="30" fillId="0" borderId="0" xfId="9" applyNumberFormat="1" applyFont="1" applyAlignment="1">
      <alignment horizontal="left"/>
    </xf>
    <xf numFmtId="0" fontId="30" fillId="0" borderId="0" xfId="9" applyFont="1" applyAlignment="1">
      <alignment horizontal="left"/>
    </xf>
    <xf numFmtId="0" fontId="32" fillId="0" borderId="0" xfId="4" applyFont="1" applyAlignment="1">
      <alignment vertical="center"/>
    </xf>
    <xf numFmtId="0" fontId="33" fillId="0" borderId="0" xfId="4" applyFont="1" applyAlignment="1">
      <alignment vertical="center"/>
    </xf>
    <xf numFmtId="0" fontId="34" fillId="0" borderId="0" xfId="4" applyFont="1"/>
    <xf numFmtId="14" fontId="27" fillId="0" borderId="0" xfId="9" applyNumberFormat="1" applyFont="1"/>
    <xf numFmtId="14" fontId="35"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13" fillId="0" borderId="0" xfId="0" applyFont="1"/>
    <xf numFmtId="0" fontId="36" fillId="0" borderId="0" xfId="0" applyFont="1"/>
    <xf numFmtId="0" fontId="37" fillId="0" borderId="0" xfId="0" applyFont="1" applyAlignment="1">
      <alignment horizontal="right"/>
    </xf>
    <xf numFmtId="0" fontId="38" fillId="0" borderId="0" xfId="0" applyFont="1"/>
    <xf numFmtId="0" fontId="39" fillId="0" borderId="0" xfId="0" applyFont="1"/>
    <xf numFmtId="0" fontId="37" fillId="0" borderId="0" xfId="0" applyFont="1"/>
    <xf numFmtId="0" fontId="37" fillId="0" borderId="0" xfId="0" quotePrefix="1" applyFont="1"/>
    <xf numFmtId="0" fontId="36" fillId="0" borderId="0" xfId="0" applyFont="1" applyAlignment="1">
      <alignment horizontal="right"/>
    </xf>
    <xf numFmtId="1" fontId="39" fillId="0" borderId="0" xfId="0" applyNumberFormat="1" applyFont="1"/>
    <xf numFmtId="167" fontId="36" fillId="0" borderId="0" xfId="0" applyNumberFormat="1" applyFont="1"/>
    <xf numFmtId="3" fontId="36" fillId="0" borderId="0" xfId="0" applyNumberFormat="1" applyFont="1"/>
    <xf numFmtId="169" fontId="39" fillId="0" borderId="0" xfId="0" applyNumberFormat="1" applyFont="1"/>
    <xf numFmtId="170" fontId="39" fillId="0" borderId="0" xfId="0" applyNumberFormat="1" applyFont="1"/>
    <xf numFmtId="167" fontId="39" fillId="0" borderId="0" xfId="0" applyNumberFormat="1" applyFont="1"/>
    <xf numFmtId="3" fontId="39" fillId="0" borderId="0" xfId="0" applyNumberFormat="1" applyFont="1"/>
    <xf numFmtId="168" fontId="39" fillId="0" borderId="0" xfId="1" applyNumberFormat="1" applyFont="1"/>
    <xf numFmtId="167" fontId="39" fillId="0" borderId="0" xfId="1" applyNumberFormat="1" applyFont="1"/>
    <xf numFmtId="170" fontId="36" fillId="0" borderId="0" xfId="0" applyNumberFormat="1" applyFont="1"/>
    <xf numFmtId="3" fontId="36" fillId="0" borderId="0" xfId="0" applyNumberFormat="1" applyFont="1" applyBorder="1"/>
    <xf numFmtId="167" fontId="36" fillId="0" borderId="0" xfId="0" applyNumberFormat="1" applyFont="1" applyBorder="1"/>
    <xf numFmtId="171" fontId="36" fillId="0" borderId="0" xfId="0" applyNumberFormat="1" applyFont="1"/>
    <xf numFmtId="1" fontId="36" fillId="0" borderId="0" xfId="0" applyNumberFormat="1" applyFont="1"/>
    <xf numFmtId="169" fontId="36" fillId="0" borderId="0" xfId="0" applyNumberFormat="1" applyFont="1"/>
    <xf numFmtId="0" fontId="36" fillId="0" borderId="0" xfId="0" applyFont="1" applyFill="1"/>
    <xf numFmtId="0" fontId="36" fillId="0" borderId="28" xfId="0" applyFont="1" applyBorder="1"/>
    <xf numFmtId="0" fontId="37" fillId="0" borderId="28" xfId="0" applyFont="1" applyBorder="1" applyAlignment="1">
      <alignment horizontal="right"/>
    </xf>
    <xf numFmtId="3" fontId="36" fillId="0" borderId="28" xfId="0" applyNumberFormat="1" applyFont="1" applyFill="1" applyBorder="1"/>
    <xf numFmtId="0" fontId="36" fillId="0" borderId="28" xfId="0" applyFont="1" applyFill="1" applyBorder="1" applyAlignment="1">
      <alignment horizontal="left" indent="1"/>
    </xf>
    <xf numFmtId="167" fontId="36" fillId="0" borderId="28" xfId="0" applyNumberFormat="1" applyFont="1" applyFill="1" applyBorder="1"/>
    <xf numFmtId="3" fontId="36" fillId="0" borderId="0" xfId="0" applyNumberFormat="1" applyFont="1" applyFill="1"/>
    <xf numFmtId="167" fontId="36" fillId="0" borderId="0" xfId="0" applyNumberFormat="1" applyFont="1" applyFill="1"/>
    <xf numFmtId="0" fontId="36" fillId="0" borderId="0" xfId="0" applyFont="1" applyFill="1" applyAlignment="1">
      <alignment horizontal="left" indent="1"/>
    </xf>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5">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'Tab2'!$B$71:$B$214</c:f>
              <c:numCache>
                <c:formatCode>General</c:formatCode>
                <c:ptCount val="14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'Tab2'!$C$71:$C$214</c:f>
              <c:numCache>
                <c:formatCode>General</c:formatCode>
                <c:ptCount val="144"/>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212.66674917787736</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'Tab2'!$B$71:$B$214</c:f>
              <c:numCache>
                <c:formatCode>General</c:formatCode>
                <c:ptCount val="14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'Tab2'!$D$71:$D$214</c:f>
              <c:numCache>
                <c:formatCode>General</c:formatCode>
                <c:ptCount val="144"/>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207.39460472346838</c:v>
                </c:pt>
                <c:pt idx="143" formatCode="0.000">
                  <c:v>195.66619934230198</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'Tab2'!$K$103:$K$214</c:f>
              <c:numCache>
                <c:formatCode>General</c:formatCode>
                <c:ptCount val="11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'Tab2'!$T$103:$T$214</c:f>
              <c:numCache>
                <c:formatCode>#\ ##0.0</c:formatCode>
                <c:ptCount val="112"/>
                <c:pt idx="0">
                  <c:v>241.51157894736841</c:v>
                </c:pt>
                <c:pt idx="1">
                  <c:v>300.4836027713626</c:v>
                </c:pt>
                <c:pt idx="2">
                  <c:v>349.2290993071594</c:v>
                </c:pt>
                <c:pt idx="3">
                  <c:v>312.78350515463916</c:v>
                </c:pt>
                <c:pt idx="4">
                  <c:v>304.47771428571423</c:v>
                </c:pt>
                <c:pt idx="5">
                  <c:v>278.20767494356659</c:v>
                </c:pt>
                <c:pt idx="6">
                  <c:v>364.59030439684329</c:v>
                </c:pt>
                <c:pt idx="7">
                  <c:v>180.82239641657333</c:v>
                </c:pt>
                <c:pt idx="8">
                  <c:v>288.46102449888645</c:v>
                </c:pt>
                <c:pt idx="9">
                  <c:v>310.80528634361235</c:v>
                </c:pt>
                <c:pt idx="10">
                  <c:v>353.36026490066223</c:v>
                </c:pt>
                <c:pt idx="11">
                  <c:v>266.81538461538463</c:v>
                </c:pt>
                <c:pt idx="12">
                  <c:v>262.27384615384614</c:v>
                </c:pt>
                <c:pt idx="13">
                  <c:v>315.80283533260632</c:v>
                </c:pt>
                <c:pt idx="14">
                  <c:v>352.25276872964184</c:v>
                </c:pt>
                <c:pt idx="15">
                  <c:v>341.74341252699782</c:v>
                </c:pt>
                <c:pt idx="16">
                  <c:v>289.35289079229119</c:v>
                </c:pt>
                <c:pt idx="17">
                  <c:v>334.72731137088203</c:v>
                </c:pt>
                <c:pt idx="18">
                  <c:v>351.51073326248655</c:v>
                </c:pt>
                <c:pt idx="19">
                  <c:v>321.88033826638502</c:v>
                </c:pt>
                <c:pt idx="20">
                  <c:v>311.18216560509558</c:v>
                </c:pt>
                <c:pt idx="21">
                  <c:v>341.60630914826493</c:v>
                </c:pt>
                <c:pt idx="22">
                  <c:v>360.42219895287957</c:v>
                </c:pt>
                <c:pt idx="23">
                  <c:v>288.14953271028054</c:v>
                </c:pt>
                <c:pt idx="24">
                  <c:v>284.88468653648511</c:v>
                </c:pt>
                <c:pt idx="25">
                  <c:v>339.31381780962118</c:v>
                </c:pt>
                <c:pt idx="26">
                  <c:v>300.33654042988752</c:v>
                </c:pt>
                <c:pt idx="27">
                  <c:v>277.64999999999981</c:v>
                </c:pt>
                <c:pt idx="28">
                  <c:v>275.57945619335351</c:v>
                </c:pt>
                <c:pt idx="29">
                  <c:v>302.30611835506517</c:v>
                </c:pt>
                <c:pt idx="30">
                  <c:v>309.98957915831664</c:v>
                </c:pt>
                <c:pt idx="31">
                  <c:v>301.6492552135054</c:v>
                </c:pt>
                <c:pt idx="32">
                  <c:v>236.97514792899406</c:v>
                </c:pt>
                <c:pt idx="33">
                  <c:v>287.5455968688845</c:v>
                </c:pt>
                <c:pt idx="34">
                  <c:v>330.46725663716819</c:v>
                </c:pt>
                <c:pt idx="35">
                  <c:v>274.09391304347815</c:v>
                </c:pt>
                <c:pt idx="36">
                  <c:v>279.39579349904398</c:v>
                </c:pt>
                <c:pt idx="37">
                  <c:v>259.10751665080875</c:v>
                </c:pt>
                <c:pt idx="38">
                  <c:v>271.79145299145296</c:v>
                </c:pt>
                <c:pt idx="39">
                  <c:v>297.13483146067415</c:v>
                </c:pt>
                <c:pt idx="40">
                  <c:v>223.44243542435422</c:v>
                </c:pt>
                <c:pt idx="41">
                  <c:v>256.27992700729925</c:v>
                </c:pt>
                <c:pt idx="42">
                  <c:v>216.41628122109157</c:v>
                </c:pt>
                <c:pt idx="43">
                  <c:v>351.0082796688132</c:v>
                </c:pt>
                <c:pt idx="44">
                  <c:v>267.24647758462947</c:v>
                </c:pt>
                <c:pt idx="45">
                  <c:v>313.3145454545454</c:v>
                </c:pt>
                <c:pt idx="46">
                  <c:v>248.46897810218979</c:v>
                </c:pt>
                <c:pt idx="47">
                  <c:v>257.9675675675677</c:v>
                </c:pt>
                <c:pt idx="48">
                  <c:v>235.69633507853402</c:v>
                </c:pt>
                <c:pt idx="49">
                  <c:v>267.07319679430094</c:v>
                </c:pt>
                <c:pt idx="50">
                  <c:v>249.0337801608579</c:v>
                </c:pt>
                <c:pt idx="51">
                  <c:v>289.56341030195398</c:v>
                </c:pt>
                <c:pt idx="52">
                  <c:v>234.50834813499108</c:v>
                </c:pt>
                <c:pt idx="53">
                  <c:v>297.28253968253966</c:v>
                </c:pt>
                <c:pt idx="54">
                  <c:v>210.03610619469012</c:v>
                </c:pt>
                <c:pt idx="55">
                  <c:v>210.91263157894747</c:v>
                </c:pt>
                <c:pt idx="56">
                  <c:v>207.31503957783639</c:v>
                </c:pt>
                <c:pt idx="57">
                  <c:v>195.39062500000009</c:v>
                </c:pt>
                <c:pt idx="58">
                  <c:v>196.20156385751511</c:v>
                </c:pt>
                <c:pt idx="59">
                  <c:v>180.68275862068973</c:v>
                </c:pt>
                <c:pt idx="60">
                  <c:v>190.63945111492279</c:v>
                </c:pt>
                <c:pt idx="61">
                  <c:v>220.46106870229005</c:v>
                </c:pt>
                <c:pt idx="62">
                  <c:v>210.26393861892586</c:v>
                </c:pt>
                <c:pt idx="63">
                  <c:v>178.73243697478986</c:v>
                </c:pt>
                <c:pt idx="64">
                  <c:v>210.28289361702127</c:v>
                </c:pt>
                <c:pt idx="65">
                  <c:v>200.87573964497039</c:v>
                </c:pt>
                <c:pt idx="66">
                  <c:v>191.57928692699485</c:v>
                </c:pt>
                <c:pt idx="67">
                  <c:v>174.48079470198684</c:v>
                </c:pt>
                <c:pt idx="68">
                  <c:v>193.85365053322394</c:v>
                </c:pt>
                <c:pt idx="69">
                  <c:v>227.93311475409837</c:v>
                </c:pt>
                <c:pt idx="70">
                  <c:v>223.37839155158403</c:v>
                </c:pt>
                <c:pt idx="71">
                  <c:v>319.10954290296729</c:v>
                </c:pt>
                <c:pt idx="72">
                  <c:v>251.74655999999999</c:v>
                </c:pt>
                <c:pt idx="73">
                  <c:v>276.29498806682579</c:v>
                </c:pt>
                <c:pt idx="74">
                  <c:v>272.83636363636356</c:v>
                </c:pt>
                <c:pt idx="75">
                  <c:v>322.24834123222757</c:v>
                </c:pt>
                <c:pt idx="76">
                  <c:v>278.80000000000007</c:v>
                </c:pt>
                <c:pt idx="77">
                  <c:v>230.84685802948022</c:v>
                </c:pt>
                <c:pt idx="78">
                  <c:v>231.79436619718302</c:v>
                </c:pt>
                <c:pt idx="79">
                  <c:v>234.55813953488371</c:v>
                </c:pt>
                <c:pt idx="80">
                  <c:v>177.41474654377882</c:v>
                </c:pt>
                <c:pt idx="81">
                  <c:v>222.86473282442742</c:v>
                </c:pt>
                <c:pt idx="82">
                  <c:v>190.83060278207103</c:v>
                </c:pt>
                <c:pt idx="83">
                  <c:v>204.83424916836907</c:v>
                </c:pt>
                <c:pt idx="84">
                  <c:v>196.95429435122469</c:v>
                </c:pt>
                <c:pt idx="85">
                  <c:v>206.44661196828196</c:v>
                </c:pt>
                <c:pt idx="86">
                  <c:v>215.7555423998146</c:v>
                </c:pt>
                <c:pt idx="87">
                  <c:v>212.92119044237475</c:v>
                </c:pt>
                <c:pt idx="88">
                  <c:v>186.27319654739844</c:v>
                </c:pt>
                <c:pt idx="89">
                  <c:v>193.61352246894305</c:v>
                </c:pt>
                <c:pt idx="90">
                  <c:v>189.63413110494392</c:v>
                </c:pt>
                <c:pt idx="91">
                  <c:v>196.47313247691815</c:v>
                </c:pt>
                <c:pt idx="92">
                  <c:v>179.51402706492749</c:v>
                </c:pt>
                <c:pt idx="93">
                  <c:v>180.662646667373</c:v>
                </c:pt>
                <c:pt idx="94">
                  <c:v>190.72919720272557</c:v>
                </c:pt>
                <c:pt idx="95">
                  <c:v>187.76027604828124</c:v>
                </c:pt>
                <c:pt idx="96">
                  <c:v>165.69776489022124</c:v>
                </c:pt>
                <c:pt idx="97">
                  <c:v>178.52914401999143</c:v>
                </c:pt>
                <c:pt idx="98">
                  <c:v>138.58047072315915</c:v>
                </c:pt>
                <c:pt idx="99">
                  <c:v>165.16036250126285</c:v>
                </c:pt>
                <c:pt idx="100">
                  <c:v>133.00855336219763</c:v>
                </c:pt>
                <c:pt idx="101">
                  <c:v>156.10486988085654</c:v>
                </c:pt>
                <c:pt idx="102">
                  <c:v>151.5128614451975</c:v>
                </c:pt>
                <c:pt idx="103">
                  <c:v>148.77184006525155</c:v>
                </c:pt>
                <c:pt idx="104">
                  <c:v>142.30662052551639</c:v>
                </c:pt>
                <c:pt idx="105">
                  <c:v>120.10891647531614</c:v>
                </c:pt>
                <c:pt idx="106">
                  <c:v>128.26069246435844</c:v>
                </c:pt>
                <c:pt idx="107">
                  <c:v>123.33153638814017</c:v>
                </c:pt>
                <c:pt idx="108">
                  <c:v>114.37274549098197</c:v>
                </c:pt>
                <c:pt idx="109">
                  <c:v>132.73993195687001</c:v>
                </c:pt>
                <c:pt idx="110">
                  <c:v>145.63389944188984</c:v>
                </c:pt>
                <c:pt idx="111">
                  <c:v>111.98007412736385</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'Tab2'!$K$103:$K$214</c:f>
              <c:numCache>
                <c:formatCode>General</c:formatCode>
                <c:ptCount val="11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'Tab2'!$R$103:$R$214</c:f>
              <c:numCache>
                <c:formatCode>#,##0</c:formatCode>
                <c:ptCount val="112"/>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218.23876054289406</c:v>
                </c:pt>
                <c:pt idx="1">
                  <c:v>1617.8431538693196</c:v>
                </c:pt>
                <c:pt idx="2">
                  <c:v>278.09146904358499</c:v>
                </c:pt>
                <c:pt idx="3">
                  <c:v>1200.3276238735052</c:v>
                </c:pt>
                <c:pt idx="4" formatCode="0.000">
                  <c:v>11845.07161190871</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7461.0390863119937</c:v>
                </c:pt>
                <c:pt idx="1">
                  <c:v>5391.9695681264966</c:v>
                </c:pt>
                <c:pt idx="2">
                  <c:v>1966.9772293059962</c:v>
                </c:pt>
                <c:pt idx="3">
                  <c:v>1986.7947992968452</c:v>
                </c:pt>
                <c:pt idx="4">
                  <c:v>507.42304330194474</c:v>
                </c:pt>
                <c:pt idx="5">
                  <c:v>2043.5081056764257</c:v>
                </c:pt>
                <c:pt idx="6">
                  <c:v>453.98179332223094</c:v>
                </c:pt>
                <c:pt idx="7">
                  <c:v>1026.4393155565767</c:v>
                </c:pt>
                <c:pt idx="8">
                  <c:v>144.28091435942434</c:v>
                </c:pt>
                <c:pt idx="9">
                  <c:v>749.46103067636318</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7171.790369567203</c:v>
                </c:pt>
                <c:pt idx="1">
                  <c:v>5239.1371201696156</c:v>
                </c:pt>
                <c:pt idx="2">
                  <c:v>1881.4521582849889</c:v>
                </c:pt>
                <c:pt idx="3">
                  <c:v>1779.0988161448022</c:v>
                </c:pt>
                <c:pt idx="4">
                  <c:v>531.9762485737474</c:v>
                </c:pt>
                <c:pt idx="5">
                  <c:v>2078.8919979673683</c:v>
                </c:pt>
                <c:pt idx="6">
                  <c:v>468.76565664708272</c:v>
                </c:pt>
                <c:pt idx="7">
                  <c:v>963.64843128868392</c:v>
                </c:pt>
                <c:pt idx="8">
                  <c:v>211.04554373478513</c:v>
                </c:pt>
                <c:pt idx="9">
                  <c:v>973.92633625162387</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2018</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8904.1419745772455</c:v>
                </c:pt>
                <c:pt idx="1">
                  <c:v>6748.7843414238068</c:v>
                </c:pt>
                <c:pt idx="2">
                  <c:v>1876.3099251303952</c:v>
                </c:pt>
                <c:pt idx="3">
                  <c:v>1723.7764637740252</c:v>
                </c:pt>
                <c:pt idx="4">
                  <c:v>573.4538477665858</c:v>
                </c:pt>
                <c:pt idx="5">
                  <c:v>2198.9291608924541</c:v>
                </c:pt>
                <c:pt idx="6">
                  <c:v>540.13259437321699</c:v>
                </c:pt>
                <c:pt idx="7">
                  <c:v>1093.9784121220591</c:v>
                </c:pt>
                <c:pt idx="8">
                  <c:v>178.36200313241494</c:v>
                </c:pt>
                <c:pt idx="9">
                  <c:v>836.57518884125193</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28310.174221494552</c:v>
                </c:pt>
                <c:pt idx="1">
                  <c:v>83401.904944902606</c:v>
                </c:pt>
                <c:pt idx="2">
                  <c:v>34730.615164605464</c:v>
                </c:pt>
                <c:pt idx="3" formatCode="_ * #\ ##0_ ;_ * \-#\ ##0_ ;_ * &quot;-&quot;??_ ;_ @_ ">
                  <c:v>228188.29312104938</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27370.062550175651</c:v>
                </c:pt>
                <c:pt idx="1">
                  <c:v>79211.786661580234</c:v>
                </c:pt>
                <c:pt idx="2">
                  <c:v>29554.493994388202</c:v>
                </c:pt>
                <c:pt idx="3" formatCode="_ * #\ ##0_ ;_ * \-#\ ##0_ ;_ * &quot;-&quot;??_ ;_ @_ ">
                  <c:v>215684.23270071615</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2018</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29882.201098550726</c:v>
                </c:pt>
                <c:pt idx="1">
                  <c:v>91055.531272727269</c:v>
                </c:pt>
                <c:pt idx="2">
                  <c:v>32661.239633540372</c:v>
                </c:pt>
                <c:pt idx="3" formatCode="_ * #\ ##0_ ;_ * \-#\ ##0_ ;_ * &quot;-&quot;??_ ;_ @_ ">
                  <c:v>296489.06376566866</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4973.2635679180148</c:v>
                </c:pt>
                <c:pt idx="1">
                  <c:v>4183.1515041444854</c:v>
                </c:pt>
                <c:pt idx="2">
                  <c:v>578.22426147792271</c:v>
                </c:pt>
                <c:pt idx="3">
                  <c:v>3118.3693208980694</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5130.9702485046837</c:v>
                </c:pt>
                <c:pt idx="1">
                  <c:v>3842.2456206754332</c:v>
                </c:pt>
                <c:pt idx="2">
                  <c:v>513.09823303465396</c:v>
                </c:pt>
                <c:pt idx="3">
                  <c:v>2924.6133875220494</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2018</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6008.4983230381968</c:v>
                </c:pt>
                <c:pt idx="1">
                  <c:v>4542.6140681448751</c:v>
                </c:pt>
                <c:pt idx="2">
                  <c:v>518.42116537980291</c:v>
                </c:pt>
                <c:pt idx="3">
                  <c:v>4583.3927594381803</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2016</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311962</c:v>
                </c:pt>
                <c:pt idx="1">
                  <c:v>110745.20394415667</c:v>
                </c:pt>
                <c:pt idx="2">
                  <c:v>135636.54006908037</c:v>
                </c:pt>
                <c:pt idx="3">
                  <c:v>40113.59909590699</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2017</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320312</c:v>
                </c:pt>
                <c:pt idx="1">
                  <c:v>110274.26144282252</c:v>
                </c:pt>
                <c:pt idx="2">
                  <c:v>154164.24328634961</c:v>
                </c:pt>
                <c:pt idx="3">
                  <c:v>39410.456254180601</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2018</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334023</c:v>
                </c:pt>
                <c:pt idx="1">
                  <c:v>131240.07753884792</c:v>
                </c:pt>
                <c:pt idx="2">
                  <c:v>177571.24782434295</c:v>
                </c:pt>
                <c:pt idx="3">
                  <c:v>47206.096671444495</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2016</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10018.849101246884</c:v>
                </c:pt>
                <c:pt idx="1">
                  <c:v>8825.3934933599994</c:v>
                </c:pt>
                <c:pt idx="2">
                  <c:v>9463</c:v>
                </c:pt>
                <c:pt idx="3">
                  <c:v>14653.806941662742</c:v>
                </c:pt>
                <c:pt idx="4">
                  <c:v>25480.007092866668</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2017</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9835.3017456359103</c:v>
                </c:pt>
                <c:pt idx="1">
                  <c:v>9480.0519999999997</c:v>
                </c:pt>
                <c:pt idx="2">
                  <c:v>10163.02716734694</c:v>
                </c:pt>
                <c:pt idx="3">
                  <c:v>14731.573261968293</c:v>
                </c:pt>
                <c:pt idx="4">
                  <c:v>23196.560000000001</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2018</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12219.194513715711</c:v>
                </c:pt>
                <c:pt idx="1">
                  <c:v>11145.096</c:v>
                </c:pt>
                <c:pt idx="2">
                  <c:v>10868.335804081633</c:v>
                </c:pt>
                <c:pt idx="3">
                  <c:v>18804.167529953433</c:v>
                </c:pt>
                <c:pt idx="4">
                  <c:v>24022.283333333333</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'Tab2'!$K$71:$K$214</c:f>
              <c:numCache>
                <c:formatCode>General</c:formatCode>
                <c:ptCount val="14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'Tab2'!$N$71:$N$214</c:f>
              <c:numCache>
                <c:formatCode>#\ ##0.0</c:formatCode>
                <c:ptCount val="144"/>
                <c:pt idx="0">
                  <c:v>221.94869888475839</c:v>
                </c:pt>
                <c:pt idx="1">
                  <c:v>185.9166361974406</c:v>
                </c:pt>
                <c:pt idx="2">
                  <c:v>170.02025316455698</c:v>
                </c:pt>
                <c:pt idx="3">
                  <c:v>208.26832740213521</c:v>
                </c:pt>
                <c:pt idx="4">
                  <c:v>223.3319371727749</c:v>
                </c:pt>
                <c:pt idx="5">
                  <c:v>211.25567010309274</c:v>
                </c:pt>
                <c:pt idx="6">
                  <c:v>209.4562180579216</c:v>
                </c:pt>
                <c:pt idx="7">
                  <c:v>234.27785234899324</c:v>
                </c:pt>
                <c:pt idx="8">
                  <c:v>253.16821192052979</c:v>
                </c:pt>
                <c:pt idx="9">
                  <c:v>276.71999999999997</c:v>
                </c:pt>
                <c:pt idx="10">
                  <c:v>245.20645161290324</c:v>
                </c:pt>
                <c:pt idx="11">
                  <c:v>278.09714285714284</c:v>
                </c:pt>
                <c:pt idx="12">
                  <c:v>257.83875</c:v>
                </c:pt>
                <c:pt idx="13">
                  <c:v>275.8984615384615</c:v>
                </c:pt>
                <c:pt idx="14">
                  <c:v>222.06089552238805</c:v>
                </c:pt>
                <c:pt idx="15">
                  <c:v>259.86218978102187</c:v>
                </c:pt>
                <c:pt idx="16">
                  <c:v>283.89446808510638</c:v>
                </c:pt>
                <c:pt idx="17">
                  <c:v>280.15139664804474</c:v>
                </c:pt>
                <c:pt idx="18">
                  <c:v>229.25975103734439</c:v>
                </c:pt>
                <c:pt idx="19">
                  <c:v>269.73097826086956</c:v>
                </c:pt>
                <c:pt idx="20">
                  <c:v>256.72978723404259</c:v>
                </c:pt>
                <c:pt idx="21">
                  <c:v>183.00860495436766</c:v>
                </c:pt>
                <c:pt idx="22">
                  <c:v>285.04051948051944</c:v>
                </c:pt>
                <c:pt idx="23">
                  <c:v>377.59897567221515</c:v>
                </c:pt>
                <c:pt idx="24">
                  <c:v>266.76501901140682</c:v>
                </c:pt>
                <c:pt idx="25">
                  <c:v>215.60996264009964</c:v>
                </c:pt>
                <c:pt idx="26">
                  <c:v>189.71910669975185</c:v>
                </c:pt>
                <c:pt idx="27">
                  <c:v>239.35135135135133</c:v>
                </c:pt>
                <c:pt idx="28">
                  <c:v>256.2823815309842</c:v>
                </c:pt>
                <c:pt idx="29">
                  <c:v>206.1798561151079</c:v>
                </c:pt>
                <c:pt idx="30">
                  <c:v>178.81290322580645</c:v>
                </c:pt>
                <c:pt idx="31">
                  <c:v>208.13160987074031</c:v>
                </c:pt>
                <c:pt idx="32">
                  <c:v>224.59368421052633</c:v>
                </c:pt>
                <c:pt idx="33">
                  <c:v>215.9459584295611</c:v>
                </c:pt>
                <c:pt idx="34">
                  <c:v>226.00184757505778</c:v>
                </c:pt>
                <c:pt idx="35">
                  <c:v>233.65773195876295</c:v>
                </c:pt>
                <c:pt idx="36">
                  <c:v>218.27931428571429</c:v>
                </c:pt>
                <c:pt idx="37">
                  <c:v>188.08171557562079</c:v>
                </c:pt>
                <c:pt idx="38">
                  <c:v>217.32311161217578</c:v>
                </c:pt>
                <c:pt idx="39">
                  <c:v>179.33482642777165</c:v>
                </c:pt>
                <c:pt idx="40">
                  <c:v>225.01603563474384</c:v>
                </c:pt>
                <c:pt idx="41">
                  <c:v>187.26343612334804</c:v>
                </c:pt>
                <c:pt idx="42">
                  <c:v>216.34966887417218</c:v>
                </c:pt>
                <c:pt idx="43">
                  <c:v>255.94813186813178</c:v>
                </c:pt>
                <c:pt idx="44">
                  <c:v>306.55384615384617</c:v>
                </c:pt>
                <c:pt idx="45">
                  <c:v>267.99781897491818</c:v>
                </c:pt>
                <c:pt idx="46">
                  <c:v>272.28273615635175</c:v>
                </c:pt>
                <c:pt idx="47">
                  <c:v>224.42850971922257</c:v>
                </c:pt>
                <c:pt idx="48">
                  <c:v>270.38929336188431</c:v>
                </c:pt>
                <c:pt idx="49">
                  <c:v>232.61509032943684</c:v>
                </c:pt>
                <c:pt idx="50">
                  <c:v>282.65164718384688</c:v>
                </c:pt>
                <c:pt idx="51">
                  <c:v>268.36363636363643</c:v>
                </c:pt>
                <c:pt idx="52">
                  <c:v>588.51974522292983</c:v>
                </c:pt>
                <c:pt idx="53">
                  <c:v>364.42145110410098</c:v>
                </c:pt>
                <c:pt idx="54">
                  <c:v>370.93193717277506</c:v>
                </c:pt>
                <c:pt idx="55">
                  <c:v>357.73457943925246</c:v>
                </c:pt>
                <c:pt idx="56">
                  <c:v>387.27934224049329</c:v>
                </c:pt>
                <c:pt idx="57">
                  <c:v>424.97318321392027</c:v>
                </c:pt>
                <c:pt idx="58">
                  <c:v>450.05158648925277</c:v>
                </c:pt>
                <c:pt idx="59">
                  <c:v>401.55</c:v>
                </c:pt>
                <c:pt idx="60">
                  <c:v>423.62537764350452</c:v>
                </c:pt>
                <c:pt idx="61">
                  <c:v>375.2918756268806</c:v>
                </c:pt>
                <c:pt idx="62">
                  <c:v>381.42324649298592</c:v>
                </c:pt>
                <c:pt idx="63">
                  <c:v>438.40278053624627</c:v>
                </c:pt>
                <c:pt idx="64">
                  <c:v>478.17159763313612</c:v>
                </c:pt>
                <c:pt idx="65">
                  <c:v>480.49432485322893</c:v>
                </c:pt>
                <c:pt idx="66">
                  <c:v>646.56637168141583</c:v>
                </c:pt>
                <c:pt idx="67">
                  <c:v>585.55130434782563</c:v>
                </c:pt>
                <c:pt idx="68">
                  <c:v>488.09598470363284</c:v>
                </c:pt>
                <c:pt idx="69">
                  <c:v>354.4647002854424</c:v>
                </c:pt>
                <c:pt idx="70">
                  <c:v>439.4358974358974</c:v>
                </c:pt>
                <c:pt idx="71">
                  <c:v>670.00449438202236</c:v>
                </c:pt>
                <c:pt idx="72">
                  <c:v>919.5044280442803</c:v>
                </c:pt>
                <c:pt idx="73">
                  <c:v>608.71532846715331</c:v>
                </c:pt>
                <c:pt idx="74">
                  <c:v>546.70712303422772</c:v>
                </c:pt>
                <c:pt idx="75">
                  <c:v>691.69678012879456</c:v>
                </c:pt>
                <c:pt idx="76">
                  <c:v>629.96706312900267</c:v>
                </c:pt>
                <c:pt idx="77">
                  <c:v>548.13272727272727</c:v>
                </c:pt>
                <c:pt idx="78">
                  <c:v>677.39781021897807</c:v>
                </c:pt>
                <c:pt idx="79">
                  <c:v>617.26054054054055</c:v>
                </c:pt>
                <c:pt idx="80">
                  <c:v>807.29214659685852</c:v>
                </c:pt>
                <c:pt idx="81">
                  <c:v>533.75209260908298</c:v>
                </c:pt>
                <c:pt idx="82">
                  <c:v>567.84450402144762</c:v>
                </c:pt>
                <c:pt idx="83">
                  <c:v>618.58294849023071</c:v>
                </c:pt>
                <c:pt idx="84">
                  <c:v>678.61918294849011</c:v>
                </c:pt>
                <c:pt idx="85">
                  <c:v>448.65714285714273</c:v>
                </c:pt>
                <c:pt idx="86">
                  <c:v>593.1430088495573</c:v>
                </c:pt>
                <c:pt idx="87">
                  <c:v>554.40631578947409</c:v>
                </c:pt>
                <c:pt idx="88">
                  <c:v>542.62796833773086</c:v>
                </c:pt>
                <c:pt idx="89">
                  <c:v>414.1</c:v>
                </c:pt>
                <c:pt idx="90">
                  <c:v>574.88340573414416</c:v>
                </c:pt>
                <c:pt idx="91">
                  <c:v>609.231724137931</c:v>
                </c:pt>
                <c:pt idx="92">
                  <c:v>740.53173241852494</c:v>
                </c:pt>
                <c:pt idx="93">
                  <c:v>543.07786259541967</c:v>
                </c:pt>
                <c:pt idx="94">
                  <c:v>624.87774936061362</c:v>
                </c:pt>
                <c:pt idx="95">
                  <c:v>651.92067226890777</c:v>
                </c:pt>
                <c:pt idx="96">
                  <c:v>816.00817021276589</c:v>
                </c:pt>
                <c:pt idx="97">
                  <c:v>641.55469146238374</c:v>
                </c:pt>
                <c:pt idx="98">
                  <c:v>819.69371816638409</c:v>
                </c:pt>
                <c:pt idx="99">
                  <c:v>693.03576158940348</c:v>
                </c:pt>
                <c:pt idx="100">
                  <c:v>716.6894175553731</c:v>
                </c:pt>
                <c:pt idx="101">
                  <c:v>663.47409836065572</c:v>
                </c:pt>
                <c:pt idx="102">
                  <c:v>866.53549959382656</c:v>
                </c:pt>
                <c:pt idx="103">
                  <c:v>832.21780272654382</c:v>
                </c:pt>
                <c:pt idx="104">
                  <c:v>873.31967999999983</c:v>
                </c:pt>
                <c:pt idx="105">
                  <c:v>708.99665871121726</c:v>
                </c:pt>
                <c:pt idx="106">
                  <c:v>936.5655502392342</c:v>
                </c:pt>
                <c:pt idx="107">
                  <c:v>885.2502369668249</c:v>
                </c:pt>
                <c:pt idx="108">
                  <c:v>1941.8805510404081</c:v>
                </c:pt>
                <c:pt idx="109">
                  <c:v>990.45553107301703</c:v>
                </c:pt>
                <c:pt idx="110">
                  <c:v>995.22033258241254</c:v>
                </c:pt>
                <c:pt idx="111">
                  <c:v>1018.1527510103033</c:v>
                </c:pt>
                <c:pt idx="112">
                  <c:v>1203.2698347104526</c:v>
                </c:pt>
                <c:pt idx="113">
                  <c:v>874.98980014124868</c:v>
                </c:pt>
                <c:pt idx="114">
                  <c:v>1043.2909786798266</c:v>
                </c:pt>
                <c:pt idx="115">
                  <c:v>879.24833356910221</c:v>
                </c:pt>
                <c:pt idx="116">
                  <c:v>974.08672415823048</c:v>
                </c:pt>
                <c:pt idx="117">
                  <c:v>712.14649161270768</c:v>
                </c:pt>
                <c:pt idx="118">
                  <c:v>981.85072268821136</c:v>
                </c:pt>
                <c:pt idx="119">
                  <c:v>924.50543422004421</c:v>
                </c:pt>
                <c:pt idx="120">
                  <c:v>1135.3893759479563</c:v>
                </c:pt>
                <c:pt idx="121">
                  <c:v>1111.7605236315067</c:v>
                </c:pt>
                <c:pt idx="122">
                  <c:v>808.96819714867354</c:v>
                </c:pt>
                <c:pt idx="123">
                  <c:v>977.13916907546172</c:v>
                </c:pt>
                <c:pt idx="124">
                  <c:v>963.72200325004462</c:v>
                </c:pt>
                <c:pt idx="125">
                  <c:v>791.40600903733139</c:v>
                </c:pt>
                <c:pt idx="126">
                  <c:v>1164.2001929008434</c:v>
                </c:pt>
                <c:pt idx="127">
                  <c:v>930.84787085064363</c:v>
                </c:pt>
                <c:pt idx="128">
                  <c:v>1021.2610439293121</c:v>
                </c:pt>
                <c:pt idx="129">
                  <c:v>782.10642065455181</c:v>
                </c:pt>
                <c:pt idx="130">
                  <c:v>1035.2863238813959</c:v>
                </c:pt>
                <c:pt idx="131">
                  <c:v>919.21561196323501</c:v>
                </c:pt>
                <c:pt idx="132">
                  <c:v>1056.7105311281123</c:v>
                </c:pt>
                <c:pt idx="133">
                  <c:v>813.38946011999974</c:v>
                </c:pt>
                <c:pt idx="134">
                  <c:v>1426.5404355132714</c:v>
                </c:pt>
                <c:pt idx="135">
                  <c:v>967.90828114809881</c:v>
                </c:pt>
                <c:pt idx="136">
                  <c:v>1037.5841428044344</c:v>
                </c:pt>
                <c:pt idx="137">
                  <c:v>769.55052037161727</c:v>
                </c:pt>
                <c:pt idx="138">
                  <c:v>908.84725050916484</c:v>
                </c:pt>
                <c:pt idx="139">
                  <c:v>1134.8490566037735</c:v>
                </c:pt>
                <c:pt idx="140">
                  <c:v>1158.5170340681364</c:v>
                </c:pt>
                <c:pt idx="141">
                  <c:v>1053.9418632674801</c:v>
                </c:pt>
                <c:pt idx="142">
                  <c:v>1174.7800993923058</c:v>
                </c:pt>
                <c:pt idx="143">
                  <c:v>1036.4999631510373</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'Tab2'!$K$71:$K$214</c:f>
              <c:numCache>
                <c:formatCode>General</c:formatCode>
                <c:ptCount val="14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'Tab2'!$L$71:$L$214</c:f>
              <c:numCache>
                <c:formatCode>#,##0</c:formatCode>
                <c:ptCount val="144"/>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'Tab2'!$K$103:$K$214</c:f>
              <c:numCache>
                <c:formatCode>General</c:formatCode>
                <c:ptCount val="11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'Tab2'!$Q$103:$Q$214</c:f>
              <c:numCache>
                <c:formatCode>#\ ##0.0</c:formatCode>
                <c:ptCount val="112"/>
                <c:pt idx="0">
                  <c:v>650.64842105263142</c:v>
                </c:pt>
                <c:pt idx="1">
                  <c:v>629.43048498845258</c:v>
                </c:pt>
                <c:pt idx="2">
                  <c:v>734.42078521939948</c:v>
                </c:pt>
                <c:pt idx="3">
                  <c:v>721.93814432989734</c:v>
                </c:pt>
                <c:pt idx="4">
                  <c:v>690.76799999999992</c:v>
                </c:pt>
                <c:pt idx="5">
                  <c:v>686.35665914221215</c:v>
                </c:pt>
                <c:pt idx="6">
                  <c:v>732.84148816234517</c:v>
                </c:pt>
                <c:pt idx="7">
                  <c:v>703.45531914893593</c:v>
                </c:pt>
                <c:pt idx="8">
                  <c:v>738.65746102449884</c:v>
                </c:pt>
                <c:pt idx="9">
                  <c:v>573.65682819383255</c:v>
                </c:pt>
                <c:pt idx="10">
                  <c:v>632.92052980132485</c:v>
                </c:pt>
                <c:pt idx="11">
                  <c:v>757.46373626373588</c:v>
                </c:pt>
                <c:pt idx="12">
                  <c:v>693.55780219780218</c:v>
                </c:pt>
                <c:pt idx="13">
                  <c:v>795.6235550708833</c:v>
                </c:pt>
                <c:pt idx="14">
                  <c:v>681.90879478827367</c:v>
                </c:pt>
                <c:pt idx="15">
                  <c:v>622.59784017278605</c:v>
                </c:pt>
                <c:pt idx="16">
                  <c:v>858.10278372591006</c:v>
                </c:pt>
                <c:pt idx="17">
                  <c:v>725.29479277364521</c:v>
                </c:pt>
                <c:pt idx="18">
                  <c:v>765.29266737513262</c:v>
                </c:pt>
                <c:pt idx="19">
                  <c:v>577.13784355179689</c:v>
                </c:pt>
                <c:pt idx="20">
                  <c:v>751.94522292993622</c:v>
                </c:pt>
                <c:pt idx="21">
                  <c:v>908.41514195583602</c:v>
                </c:pt>
                <c:pt idx="22">
                  <c:v>899.3553926701569</c:v>
                </c:pt>
                <c:pt idx="23">
                  <c:v>1020.4785046728974</c:v>
                </c:pt>
                <c:pt idx="24">
                  <c:v>949.16053442959924</c:v>
                </c:pt>
                <c:pt idx="25">
                  <c:v>1003.7404298874101</c:v>
                </c:pt>
                <c:pt idx="26">
                  <c:v>1088.1911975435007</c:v>
                </c:pt>
                <c:pt idx="27">
                  <c:v>845.99999999999989</c:v>
                </c:pt>
                <c:pt idx="28">
                  <c:v>891.24833836858011</c:v>
                </c:pt>
                <c:pt idx="29">
                  <c:v>854.06659979939809</c:v>
                </c:pt>
                <c:pt idx="30">
                  <c:v>640.09298597194413</c:v>
                </c:pt>
                <c:pt idx="31">
                  <c:v>1082.5954319761659</c:v>
                </c:pt>
                <c:pt idx="32">
                  <c:v>1003.0686390532544</c:v>
                </c:pt>
                <c:pt idx="33">
                  <c:v>1263.120939334638</c:v>
                </c:pt>
                <c:pt idx="34">
                  <c:v>822.90265486725627</c:v>
                </c:pt>
                <c:pt idx="35">
                  <c:v>1334.104347826087</c:v>
                </c:pt>
                <c:pt idx="36">
                  <c:v>1156.9525812619504</c:v>
                </c:pt>
                <c:pt idx="37">
                  <c:v>946.83082778306368</c:v>
                </c:pt>
                <c:pt idx="38">
                  <c:v>989.88717948717976</c:v>
                </c:pt>
                <c:pt idx="39">
                  <c:v>1021.5910112359547</c:v>
                </c:pt>
                <c:pt idx="40">
                  <c:v>1194.1439114391142</c:v>
                </c:pt>
                <c:pt idx="41">
                  <c:v>1243.0182481751824</c:v>
                </c:pt>
                <c:pt idx="42">
                  <c:v>1600.5246993524513</c:v>
                </c:pt>
                <c:pt idx="43">
                  <c:v>1090.7735050597978</c:v>
                </c:pt>
                <c:pt idx="44">
                  <c:v>1107.8777676120769</c:v>
                </c:pt>
                <c:pt idx="45">
                  <c:v>924.64690909090893</c:v>
                </c:pt>
                <c:pt idx="46">
                  <c:v>1206.5222627737228</c:v>
                </c:pt>
                <c:pt idx="47">
                  <c:v>1247.9513513513514</c:v>
                </c:pt>
                <c:pt idx="48">
                  <c:v>1400.2680628272253</c:v>
                </c:pt>
                <c:pt idx="49">
                  <c:v>1074.8644701691896</c:v>
                </c:pt>
                <c:pt idx="50">
                  <c:v>1134.6337801608577</c:v>
                </c:pt>
                <c:pt idx="51">
                  <c:v>999.24937833037325</c:v>
                </c:pt>
                <c:pt idx="52">
                  <c:v>963.7257548845472</c:v>
                </c:pt>
                <c:pt idx="53">
                  <c:v>921.9142857142856</c:v>
                </c:pt>
                <c:pt idx="54">
                  <c:v>852.55327433628293</c:v>
                </c:pt>
                <c:pt idx="55">
                  <c:v>918.48631578947436</c:v>
                </c:pt>
                <c:pt idx="56">
                  <c:v>928.43905013192602</c:v>
                </c:pt>
                <c:pt idx="57">
                  <c:v>955.17187499999989</c:v>
                </c:pt>
                <c:pt idx="58">
                  <c:v>1067.05438748914</c:v>
                </c:pt>
                <c:pt idx="59">
                  <c:v>1012.5868965517237</c:v>
                </c:pt>
                <c:pt idx="60">
                  <c:v>1199.0284734133793</c:v>
                </c:pt>
                <c:pt idx="61">
                  <c:v>1015.5480916030534</c:v>
                </c:pt>
                <c:pt idx="62">
                  <c:v>1076.9892583120206</c:v>
                </c:pt>
                <c:pt idx="63">
                  <c:v>1024.5176470588235</c:v>
                </c:pt>
                <c:pt idx="64">
                  <c:v>1371.9891063829784</c:v>
                </c:pt>
                <c:pt idx="65">
                  <c:v>1299.703465765004</c:v>
                </c:pt>
                <c:pt idx="66">
                  <c:v>851.51918505942319</c:v>
                </c:pt>
                <c:pt idx="67">
                  <c:v>1113.9645695364236</c:v>
                </c:pt>
                <c:pt idx="68">
                  <c:v>1166.7543888433142</c:v>
                </c:pt>
                <c:pt idx="69">
                  <c:v>1395.9088524590168</c:v>
                </c:pt>
                <c:pt idx="70">
                  <c:v>1782.350934199837</c:v>
                </c:pt>
                <c:pt idx="71">
                  <c:v>1373.0232558139535</c:v>
                </c:pt>
                <c:pt idx="72">
                  <c:v>1239.72192</c:v>
                </c:pt>
                <c:pt idx="73">
                  <c:v>1265.6964200477328</c:v>
                </c:pt>
                <c:pt idx="74">
                  <c:v>1504.3665071770331</c:v>
                </c:pt>
                <c:pt idx="75">
                  <c:v>1389.958293838863</c:v>
                </c:pt>
                <c:pt idx="76">
                  <c:v>1890.5874125874127</c:v>
                </c:pt>
                <c:pt idx="77">
                  <c:v>1582.1483320403411</c:v>
                </c:pt>
                <c:pt idx="78">
                  <c:v>1485.4704225352111</c:v>
                </c:pt>
                <c:pt idx="79">
                  <c:v>1499.7990697674429</c:v>
                </c:pt>
                <c:pt idx="80">
                  <c:v>1925.7152073732721</c:v>
                </c:pt>
                <c:pt idx="81">
                  <c:v>1727.7087022900764</c:v>
                </c:pt>
                <c:pt idx="82">
                  <c:v>1466.1904173106641</c:v>
                </c:pt>
                <c:pt idx="83">
                  <c:v>1455.4860854504245</c:v>
                </c:pt>
                <c:pt idx="84">
                  <c:v>1289.1902418896912</c:v>
                </c:pt>
                <c:pt idx="85">
                  <c:v>1163.0891952467791</c:v>
                </c:pt>
                <c:pt idx="86">
                  <c:v>1285.3245537943262</c:v>
                </c:pt>
                <c:pt idx="87">
                  <c:v>1197.5859863603714</c:v>
                </c:pt>
                <c:pt idx="88">
                  <c:v>1274.225340367952</c:v>
                </c:pt>
                <c:pt idx="89">
                  <c:v>1245.9797627336802</c:v>
                </c:pt>
                <c:pt idx="90">
                  <c:v>1455.5306241203248</c:v>
                </c:pt>
                <c:pt idx="91">
                  <c:v>1322.905135829651</c:v>
                </c:pt>
                <c:pt idx="92">
                  <c:v>1613.9429927660501</c:v>
                </c:pt>
                <c:pt idx="93">
                  <c:v>1251.1640201397388</c:v>
                </c:pt>
                <c:pt idx="94">
                  <c:v>1357.3533551016872</c:v>
                </c:pt>
                <c:pt idx="95">
                  <c:v>1184.7075595202489</c:v>
                </c:pt>
                <c:pt idx="96">
                  <c:v>1364.9118132011204</c:v>
                </c:pt>
                <c:pt idx="97">
                  <c:v>1275.8950467874574</c:v>
                </c:pt>
                <c:pt idx="98">
                  <c:v>1416.9441236133371</c:v>
                </c:pt>
                <c:pt idx="99">
                  <c:v>1484.6848053043157</c:v>
                </c:pt>
                <c:pt idx="100">
                  <c:v>1310.6889399275572</c:v>
                </c:pt>
                <c:pt idx="101">
                  <c:v>1014.1934156816633</c:v>
                </c:pt>
                <c:pt idx="102">
                  <c:v>1516.0778648725718</c:v>
                </c:pt>
                <c:pt idx="103">
                  <c:v>1229.6125920121724</c:v>
                </c:pt>
                <c:pt idx="104">
                  <c:v>1307.0734920938605</c:v>
                </c:pt>
                <c:pt idx="105">
                  <c:v>1684.1010139086432</c:v>
                </c:pt>
                <c:pt idx="106">
                  <c:v>955.94297352342141</c:v>
                </c:pt>
                <c:pt idx="107">
                  <c:v>1198.5040431266843</c:v>
                </c:pt>
                <c:pt idx="108">
                  <c:v>1244.2965931863728</c:v>
                </c:pt>
                <c:pt idx="109">
                  <c:v>1440.7307253684667</c:v>
                </c:pt>
                <c:pt idx="110">
                  <c:v>1766.210585046241</c:v>
                </c:pt>
                <c:pt idx="111">
                  <c:v>1395.3586392729851</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'Tab2'!$K$103:$K$214</c:f>
              <c:numCache>
                <c:formatCode>General</c:formatCode>
                <c:ptCount val="11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'Tab2'!$O$103:$O$214</c:f>
              <c:numCache>
                <c:formatCode>#,##0</c:formatCode>
                <c:ptCount val="112"/>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692465</xdr:colOff>
      <xdr:row>54</xdr:row>
      <xdr:rowOff>125229</xdr:rowOff>
    </xdr:to>
    <xdr:pic>
      <xdr:nvPicPr>
        <xdr:cNvPr id="7" name="Picture 6">
          <a:extLst>
            <a:ext uri="{FF2B5EF4-FFF2-40B4-BE49-F238E27FC236}">
              <a16:creationId xmlns:a16="http://schemas.microsoft.com/office/drawing/2014/main" id="{ACF9A6FE-E730-4E1A-948B-25588BB97C5E}"/>
            </a:ext>
          </a:extLst>
        </xdr:cNvPr>
        <xdr:cNvPicPr>
          <a:picLocks noChangeAspect="1"/>
        </xdr:cNvPicPr>
      </xdr:nvPicPr>
      <xdr:blipFill>
        <a:blip xmlns:r="http://schemas.openxmlformats.org/officeDocument/2006/relationships" r:embed="rId1"/>
        <a:stretch>
          <a:fillRect/>
        </a:stretch>
      </xdr:blipFill>
      <xdr:spPr>
        <a:xfrm>
          <a:off x="0" y="0"/>
          <a:ext cx="6559865" cy="11802879"/>
        </a:xfrm>
        <a:prstGeom prst="rect">
          <a:avLst/>
        </a:prstGeom>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2018 </a:t>
          </a:r>
          <a:r>
            <a:rPr lang="nb-NO" sz="1000">
              <a:effectLst/>
              <a:latin typeface="Arial"/>
              <a:ea typeface="ＭＳ 明朝"/>
              <a:cs typeface="Times New Roman"/>
            </a:rPr>
            <a:t>(28. februar 2019)</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2</xdr:col>
      <xdr:colOff>174625</xdr:colOff>
      <xdr:row>44</xdr:row>
      <xdr:rowOff>161913</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600710"/>
          <a:ext cx="2594924" cy="772095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HOVEDTREKK - Streng vinter, tørr sommer og våt høst </a:t>
          </a:r>
        </a:p>
        <a:p>
          <a:pPr rtl="0"/>
          <a:r>
            <a:rPr lang="en-US" sz="1100" b="0" i="0">
              <a:latin typeface="Times New Roman" pitchFamily="18" charset="0"/>
              <a:ea typeface="+mn-ea"/>
              <a:cs typeface="Times New Roman" pitchFamily="18" charset="0"/>
            </a:rPr>
            <a:t>Erstatningene for landbasert forsikring i 2018 ble på 42,4 milliarder kr, hele 4,8 milliarder kr mer enn i fjor 2017 (13 prosent økning). Det er bygningsskadene som har økt mest, hvor erstatningene er på 15,6 milliarder kr i 2018, noe som er 26 prosent høyere enn i 2017; mye kan tilskrives frost og snøtyngde i årets første fire måneder, deretter en tørr sommer og en våt høst. Erstatning etter vannskader ble på 4,5 milliarder kr i 2018 som er 18 prosent mer enn i 2017. Også erstatning etter brann økte mye fra 2017 – fra 5,1 milliarder kr til 6,0 milliarder kr. Den fine sommeren ga mange båt- og reiseskader og en del avlingsskader i landbruket. På motorvognforsikring er det også noe sesongvariasjon, med mange vinterskader i 2018. Det ble meldte 7 prosent flere skader og 9 prosent høyere erstatning enn i 2017. </a:t>
          </a: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Motorvogn – økte tingskader</a:t>
          </a:r>
        </a:p>
        <a:p>
          <a:pPr rtl="0"/>
          <a:r>
            <a:rPr lang="en-US" sz="1100" b="0" i="0">
              <a:latin typeface="Times New Roman" pitchFamily="18" charset="0"/>
              <a:ea typeface="+mn-ea"/>
              <a:cs typeface="Times New Roman" pitchFamily="18" charset="0"/>
            </a:rPr>
            <a:t>Antall forsikrede kjøretøy økte med 2 prosent, mens antall skader økte med 9 prosent fra 2017 til 2018, som dermed sier at skadefrekvensen økte i 2018 – skadefrekvens på drøye 22 prosent mot 21 prosent i 2017. Totale motorvognerstatninger i 2018 ble på 15,2 milliarder kr som er nesten 1,3 milliarder kr mer enn i 2017. Antall meldte skader totalt i 2018 er på 911 000 som er 63 000 flere enn i året før. Størst økning var det på kaskoskadene; 17 prosent flere skader og 14 prosent større erstatningsbeløp. </a:t>
          </a:r>
          <a:endParaRPr lang="en-US" sz="1100" b="1" i="0">
            <a:latin typeface="Times New Roman" pitchFamily="18" charset="0"/>
            <a:ea typeface="+mn-ea"/>
            <a:cs typeface="Times New Roman" pitchFamily="18" charset="0"/>
          </a:endParaRPr>
        </a:p>
        <a:p>
          <a:pPr rtl="0"/>
          <a:endParaRPr lang="en-US" sz="1100" b="1" i="0">
            <a:latin typeface="Times New Roman" pitchFamily="18" charset="0"/>
            <a:ea typeface="+mn-ea"/>
            <a:cs typeface="Times New Roman" pitchFamily="18" charset="0"/>
          </a:endParaRPr>
        </a:p>
        <a:p>
          <a:pPr rtl="0"/>
          <a:r>
            <a:rPr lang="en-US" sz="1100" b="1" i="0">
              <a:effectLst/>
              <a:latin typeface="Times New Roman" panose="02020603050405020304" pitchFamily="18" charset="0"/>
              <a:ea typeface="+mn-ea"/>
              <a:cs typeface="Times New Roman" panose="02020603050405020304" pitchFamily="18" charset="0"/>
            </a:rPr>
            <a:t>Brann-kombinert privatmarkedet - vann i september, brann i sommer </a:t>
          </a:r>
          <a:endParaRPr lang="nb-NO">
            <a:effectLst/>
            <a:latin typeface="Times New Roman" panose="02020603050405020304" pitchFamily="18" charset="0"/>
            <a:cs typeface="Times New Roman" panose="02020603050405020304" pitchFamily="18" charset="0"/>
          </a:endParaRPr>
        </a:p>
        <a:p>
          <a:pPr rtl="0"/>
          <a:r>
            <a:rPr lang="nb-NO" sz="1100">
              <a:effectLst/>
              <a:latin typeface="Times New Roman" panose="02020603050405020304" pitchFamily="18" charset="0"/>
              <a:ea typeface="+mn-ea"/>
              <a:cs typeface="Times New Roman" panose="02020603050405020304" pitchFamily="18" charset="0"/>
            </a:rPr>
            <a:t>Totalt ble det erstattet skader på private bygninger og innbo i 2018 med 8,9 milliarder kr, noe som er 24 prosent økning fra 2017. Størst erstatningsøkning er det på skadetype kasko som økte med nesten 54 prosent fra 2017 (kasko-begrepet inneholder blant annet takskader etter snøtyngde). Også skader etter vann og brann har vært betydelig. </a:t>
          </a:r>
          <a:endParaRPr lang="nb-NO">
            <a:effectLst/>
            <a:latin typeface="Times New Roman" panose="02020603050405020304" pitchFamily="18" charset="0"/>
            <a:cs typeface="Times New Roman" panose="02020603050405020304" pitchFamily="18" charset="0"/>
          </a:endParaRP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222250</xdr:colOff>
      <xdr:row>4</xdr:row>
      <xdr:rowOff>59851</xdr:rowOff>
    </xdr:from>
    <xdr:to>
      <xdr:col>6</xdr:col>
      <xdr:colOff>444499</xdr:colOff>
      <xdr:row>44</xdr:row>
      <xdr:rowOff>161925</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730500" y="599601"/>
          <a:ext cx="2635249" cy="7722074"/>
        </a:xfrm>
        <a:prstGeom prst="rect">
          <a:avLst/>
        </a:prstGeom>
        <a:solidFill>
          <a:srgbClr val="FFFFFF"/>
        </a:solidFill>
        <a:ln w="9525">
          <a:noFill/>
          <a:miter lim="800000"/>
          <a:headEnd/>
          <a:tailEnd/>
        </a:ln>
      </xdr:spPr>
      <xdr:txBody>
        <a:bodyPr vertOverflow="clip" wrap="square" lIns="27432" tIns="27432" rIns="0" bIns="0" anchor="t" upright="1"/>
        <a:lstStyle/>
        <a:p>
          <a:pPr rtl="0" eaLnBrk="1" fontAlgn="auto" latinLnBrk="0" hangingPunct="1"/>
          <a:endParaRPr lang="nb-NO" sz="1100" b="1" i="0">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1" i="0">
              <a:effectLst/>
              <a:latin typeface="Times New Roman" panose="02020603050405020304" pitchFamily="18" charset="0"/>
              <a:ea typeface="+mn-ea"/>
              <a:cs typeface="Times New Roman" panose="02020603050405020304" pitchFamily="18" charset="0"/>
            </a:rPr>
            <a:t>Brann-kombinert næring– snøtyngde, sommerbranner og september-nedbør</a:t>
          </a:r>
        </a:p>
        <a:p>
          <a:pPr rtl="0" eaLnBrk="1" fontAlgn="auto" latinLnBrk="0" hangingPunct="1"/>
          <a:r>
            <a:rPr lang="nb-NO">
              <a:effectLst/>
              <a:latin typeface="Times New Roman" panose="02020603050405020304" pitchFamily="18" charset="0"/>
              <a:cs typeface="Times New Roman" panose="02020603050405020304" pitchFamily="18" charset="0"/>
            </a:rPr>
            <a:t>På næringsrelaterte bransjer ble totale erstatninger nesten 29 prosent høyere enn i 2017 – fra 5,2 til 6,7 milliarder kr. </a:t>
          </a:r>
        </a:p>
        <a:p>
          <a:pPr rtl="0" eaLnBrk="1" fontAlgn="auto" latinLnBrk="0" hangingPunct="1"/>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 økt reiseaktivitet</a:t>
          </a:r>
        </a:p>
        <a:p>
          <a:pPr rtl="0"/>
          <a:r>
            <a:rPr lang="en-US" sz="1100" b="0" i="0">
              <a:latin typeface="Times New Roman" pitchFamily="18" charset="0"/>
              <a:ea typeface="+mn-ea"/>
              <a:cs typeface="Times New Roman" pitchFamily="18" charset="0"/>
            </a:rPr>
            <a:t>I 2018 har antall reiseskader økt med rundt 4 prosent og erstatningene med nesten 6 prosent. Totalt ble det erstattet reiseskader for 2,2 milliarder kr i 2018. Igjen er det økning på reisesykdom – antallet økte med 4 prosent og erstatningsbeløpet med drøye 6 prosent fra 2017. Reisesykdomsskadene hadde en stagnasjon i 2017.</a:t>
          </a:r>
          <a:r>
            <a:rPr lang="en-US" sz="1100" b="0" i="0" baseline="0">
              <a:latin typeface="Times New Roman" pitchFamily="18" charset="0"/>
              <a:ea typeface="+mn-ea"/>
              <a:cs typeface="Times New Roman" pitchFamily="18" charset="0"/>
            </a:rPr>
            <a:t> </a:t>
          </a:r>
          <a:r>
            <a:rPr lang="en-US" sz="1100" b="0" i="0">
              <a:latin typeface="Times New Roman" pitchFamily="18" charset="0"/>
              <a:ea typeface="+mn-ea"/>
              <a:cs typeface="Times New Roman" pitchFamily="18" charset="0"/>
            </a:rPr>
            <a:t>I gjennomsnitt ble en reisesykdomsskade erstattet med 10 500 kr, 5 700 kr for en avbestilling og 3 400 kr for tyveri.    </a:t>
          </a:r>
        </a:p>
        <a:p>
          <a:pPr rtl="0"/>
          <a:endParaRPr lang="en-US" sz="1100" b="1" i="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mye båtbruk</a:t>
          </a:r>
        </a:p>
        <a:p>
          <a:pPr rtl="0"/>
          <a:r>
            <a:rPr lang="nb-NO" sz="1100" b="0" i="0" baseline="0">
              <a:latin typeface="Times New Roman" pitchFamily="18" charset="0"/>
              <a:ea typeface="+mn-ea"/>
              <a:cs typeface="Times New Roman" pitchFamily="18" charset="0"/>
            </a:rPr>
            <a:t>Erstatningene i 2018 ble på 540 mill. kr som er 15 prosent høyere enn i 2017 og antall meldte skader økte med 24 prosent. Økningen skyldes hovedsakelig havariskadene; 54 prosent av totale båterstatninger skyldes havari og disse erstatningene økte med 25 prosent fra 2017, men da var det en dårlig sommer for båtliv i store deler av Norge. </a:t>
          </a:r>
        </a:p>
        <a:p>
          <a:pPr rtl="0"/>
          <a:endParaRPr lang="nb-NO" sz="1100" b="1"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Behandling, kritisk sykdom og barn – økt bruk</a:t>
          </a:r>
        </a:p>
        <a:p>
          <a:pPr rtl="0"/>
          <a:r>
            <a:rPr lang="nb-NO" sz="1100" b="0" i="0" baseline="0">
              <a:latin typeface="Times New Roman" pitchFamily="18" charset="0"/>
              <a:ea typeface="+mn-ea"/>
              <a:cs typeface="Times New Roman" pitchFamily="18" charset="0"/>
            </a:rPr>
            <a:t>Erstatning på barneforsikring økte med 5 prosent fra 2017 til 2018, kritisk sykdom med 7 prosent og behandlingsforsikring med 12 prosent. På barneforsikring er det prosentvis størst økning på uførhet og utvalgte sykdommer. På kritisk sykdom er den prosentvise økningen størst på hjerte-/karsykdommer og nyresvikt. På behandlingsforsikring er økningen i kroner størst på fysioterapi og til legespesialist/diagnosesetting, mens økningen i prosent er størst på psykolog/psykiater. Av totale erstatninger på 1,1 milliarder kr utgjør fysioterapi 23 prosent og legespesialist/diagnose 31 prosent. </a:t>
          </a:r>
        </a:p>
        <a:p>
          <a:pPr rtl="0"/>
          <a:endParaRPr lang="nb-NO" sz="1100" b="1"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Insr (inkl. NEMI)</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Landkreditt Forsikring (tidl.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WaterCircles Forsikring ASA</a:t>
          </a:r>
        </a:p>
        <a:p>
          <a:pPr algn="l" rtl="0">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0" zoomScaleNormal="60" workbookViewId="0"/>
  </sheetViews>
  <sheetFormatPr defaultColWidth="11.42578125" defaultRowHeight="12.75" x14ac:dyDescent="0.2"/>
  <cols>
    <col min="1" max="1" width="16.42578125" style="99" customWidth="1"/>
    <col min="2" max="4" width="11.42578125" style="99"/>
    <col min="5" max="5" width="14.140625" style="99" bestFit="1" customWidth="1"/>
    <col min="6" max="7" width="11.42578125" style="99"/>
    <col min="8" max="8" width="13.42578125" style="99" customWidth="1"/>
    <col min="9" max="9" width="11.42578125" style="99"/>
    <col min="10" max="10" width="13.42578125" style="99" bestFit="1" customWidth="1"/>
    <col min="11" max="256" width="11.42578125" style="99"/>
    <col min="257" max="257" width="16.42578125" style="99" customWidth="1"/>
    <col min="258" max="260" width="11.42578125" style="99"/>
    <col min="261" max="261" width="14.140625" style="99" bestFit="1" customWidth="1"/>
    <col min="262" max="263" width="11.42578125" style="99"/>
    <col min="264" max="264" width="13.42578125" style="99" customWidth="1"/>
    <col min="265" max="265" width="11.42578125" style="99"/>
    <col min="266" max="266" width="13.42578125" style="99" bestFit="1" customWidth="1"/>
    <col min="267" max="512" width="11.42578125" style="99"/>
    <col min="513" max="513" width="16.42578125" style="99" customWidth="1"/>
    <col min="514" max="516" width="11.42578125" style="99"/>
    <col min="517" max="517" width="14.140625" style="99" bestFit="1" customWidth="1"/>
    <col min="518" max="519" width="11.42578125" style="99"/>
    <col min="520" max="520" width="13.42578125" style="99" customWidth="1"/>
    <col min="521" max="521" width="11.42578125" style="99"/>
    <col min="522" max="522" width="13.42578125" style="99" bestFit="1" customWidth="1"/>
    <col min="523" max="768" width="11.42578125" style="99"/>
    <col min="769" max="769" width="16.42578125" style="99" customWidth="1"/>
    <col min="770" max="772" width="11.42578125" style="99"/>
    <col min="773" max="773" width="14.140625" style="99" bestFit="1" customWidth="1"/>
    <col min="774" max="775" width="11.42578125" style="99"/>
    <col min="776" max="776" width="13.42578125" style="99" customWidth="1"/>
    <col min="777" max="777" width="11.42578125" style="99"/>
    <col min="778" max="778" width="13.42578125" style="99" bestFit="1" customWidth="1"/>
    <col min="779" max="1024" width="11.42578125" style="99"/>
    <col min="1025" max="1025" width="16.42578125" style="99" customWidth="1"/>
    <col min="1026" max="1028" width="11.42578125" style="99"/>
    <col min="1029" max="1029" width="14.140625" style="99" bestFit="1" customWidth="1"/>
    <col min="1030" max="1031" width="11.42578125" style="99"/>
    <col min="1032" max="1032" width="13.42578125" style="99" customWidth="1"/>
    <col min="1033" max="1033" width="11.42578125" style="99"/>
    <col min="1034" max="1034" width="13.42578125" style="99" bestFit="1" customWidth="1"/>
    <col min="1035" max="1280" width="11.42578125" style="99"/>
    <col min="1281" max="1281" width="16.42578125" style="99" customWidth="1"/>
    <col min="1282" max="1284" width="11.42578125" style="99"/>
    <col min="1285" max="1285" width="14.140625" style="99" bestFit="1" customWidth="1"/>
    <col min="1286" max="1287" width="11.42578125" style="99"/>
    <col min="1288" max="1288" width="13.42578125" style="99" customWidth="1"/>
    <col min="1289" max="1289" width="11.42578125" style="99"/>
    <col min="1290" max="1290" width="13.42578125" style="99" bestFit="1" customWidth="1"/>
    <col min="1291" max="1536" width="11.42578125" style="99"/>
    <col min="1537" max="1537" width="16.42578125" style="99" customWidth="1"/>
    <col min="1538" max="1540" width="11.42578125" style="99"/>
    <col min="1541" max="1541" width="14.140625" style="99" bestFit="1" customWidth="1"/>
    <col min="1542" max="1543" width="11.42578125" style="99"/>
    <col min="1544" max="1544" width="13.42578125" style="99" customWidth="1"/>
    <col min="1545" max="1545" width="11.42578125" style="99"/>
    <col min="1546" max="1546" width="13.42578125" style="99" bestFit="1" customWidth="1"/>
    <col min="1547" max="1792" width="11.42578125" style="99"/>
    <col min="1793" max="1793" width="16.42578125" style="99" customWidth="1"/>
    <col min="1794" max="1796" width="11.42578125" style="99"/>
    <col min="1797" max="1797" width="14.140625" style="99" bestFit="1" customWidth="1"/>
    <col min="1798" max="1799" width="11.42578125" style="99"/>
    <col min="1800" max="1800" width="13.42578125" style="99" customWidth="1"/>
    <col min="1801" max="1801" width="11.42578125" style="99"/>
    <col min="1802" max="1802" width="13.42578125" style="99" bestFit="1" customWidth="1"/>
    <col min="1803" max="2048" width="11.42578125" style="99"/>
    <col min="2049" max="2049" width="16.42578125" style="99" customWidth="1"/>
    <col min="2050" max="2052" width="11.42578125" style="99"/>
    <col min="2053" max="2053" width="14.140625" style="99" bestFit="1" customWidth="1"/>
    <col min="2054" max="2055" width="11.42578125" style="99"/>
    <col min="2056" max="2056" width="13.42578125" style="99" customWidth="1"/>
    <col min="2057" max="2057" width="11.42578125" style="99"/>
    <col min="2058" max="2058" width="13.42578125" style="99" bestFit="1" customWidth="1"/>
    <col min="2059" max="2304" width="11.42578125" style="99"/>
    <col min="2305" max="2305" width="16.42578125" style="99" customWidth="1"/>
    <col min="2306" max="2308" width="11.42578125" style="99"/>
    <col min="2309" max="2309" width="14.140625" style="99" bestFit="1" customWidth="1"/>
    <col min="2310" max="2311" width="11.42578125" style="99"/>
    <col min="2312" max="2312" width="13.42578125" style="99" customWidth="1"/>
    <col min="2313" max="2313" width="11.42578125" style="99"/>
    <col min="2314" max="2314" width="13.42578125" style="99" bestFit="1" customWidth="1"/>
    <col min="2315" max="2560" width="11.42578125" style="99"/>
    <col min="2561" max="2561" width="16.42578125" style="99" customWidth="1"/>
    <col min="2562" max="2564" width="11.42578125" style="99"/>
    <col min="2565" max="2565" width="14.140625" style="99" bestFit="1" customWidth="1"/>
    <col min="2566" max="2567" width="11.42578125" style="99"/>
    <col min="2568" max="2568" width="13.42578125" style="99" customWidth="1"/>
    <col min="2569" max="2569" width="11.42578125" style="99"/>
    <col min="2570" max="2570" width="13.42578125" style="99" bestFit="1" customWidth="1"/>
    <col min="2571" max="2816" width="11.42578125" style="99"/>
    <col min="2817" max="2817" width="16.42578125" style="99" customWidth="1"/>
    <col min="2818" max="2820" width="11.42578125" style="99"/>
    <col min="2821" max="2821" width="14.140625" style="99" bestFit="1" customWidth="1"/>
    <col min="2822" max="2823" width="11.42578125" style="99"/>
    <col min="2824" max="2824" width="13.42578125" style="99" customWidth="1"/>
    <col min="2825" max="2825" width="11.42578125" style="99"/>
    <col min="2826" max="2826" width="13.42578125" style="99" bestFit="1" customWidth="1"/>
    <col min="2827" max="3072" width="11.42578125" style="99"/>
    <col min="3073" max="3073" width="16.42578125" style="99" customWidth="1"/>
    <col min="3074" max="3076" width="11.42578125" style="99"/>
    <col min="3077" max="3077" width="14.140625" style="99" bestFit="1" customWidth="1"/>
    <col min="3078" max="3079" width="11.42578125" style="99"/>
    <col min="3080" max="3080" width="13.42578125" style="99" customWidth="1"/>
    <col min="3081" max="3081" width="11.42578125" style="99"/>
    <col min="3082" max="3082" width="13.42578125" style="99" bestFit="1" customWidth="1"/>
    <col min="3083" max="3328" width="11.42578125" style="99"/>
    <col min="3329" max="3329" width="16.42578125" style="99" customWidth="1"/>
    <col min="3330" max="3332" width="11.42578125" style="99"/>
    <col min="3333" max="3333" width="14.140625" style="99" bestFit="1" customWidth="1"/>
    <col min="3334" max="3335" width="11.42578125" style="99"/>
    <col min="3336" max="3336" width="13.42578125" style="99" customWidth="1"/>
    <col min="3337" max="3337" width="11.42578125" style="99"/>
    <col min="3338" max="3338" width="13.42578125" style="99" bestFit="1" customWidth="1"/>
    <col min="3339" max="3584" width="11.42578125" style="99"/>
    <col min="3585" max="3585" width="16.42578125" style="99" customWidth="1"/>
    <col min="3586" max="3588" width="11.42578125" style="99"/>
    <col min="3589" max="3589" width="14.140625" style="99" bestFit="1" customWidth="1"/>
    <col min="3590" max="3591" width="11.42578125" style="99"/>
    <col min="3592" max="3592" width="13.42578125" style="99" customWidth="1"/>
    <col min="3593" max="3593" width="11.42578125" style="99"/>
    <col min="3594" max="3594" width="13.42578125" style="99" bestFit="1" customWidth="1"/>
    <col min="3595" max="3840" width="11.42578125" style="99"/>
    <col min="3841" max="3841" width="16.42578125" style="99" customWidth="1"/>
    <col min="3842" max="3844" width="11.42578125" style="99"/>
    <col min="3845" max="3845" width="14.140625" style="99" bestFit="1" customWidth="1"/>
    <col min="3846" max="3847" width="11.42578125" style="99"/>
    <col min="3848" max="3848" width="13.42578125" style="99" customWidth="1"/>
    <col min="3849" max="3849" width="11.42578125" style="99"/>
    <col min="3850" max="3850" width="13.42578125" style="99" bestFit="1" customWidth="1"/>
    <col min="3851" max="4096" width="11.42578125" style="99"/>
    <col min="4097" max="4097" width="16.42578125" style="99" customWidth="1"/>
    <col min="4098" max="4100" width="11.42578125" style="99"/>
    <col min="4101" max="4101" width="14.140625" style="99" bestFit="1" customWidth="1"/>
    <col min="4102" max="4103" width="11.42578125" style="99"/>
    <col min="4104" max="4104" width="13.42578125" style="99" customWidth="1"/>
    <col min="4105" max="4105" width="11.42578125" style="99"/>
    <col min="4106" max="4106" width="13.42578125" style="99" bestFit="1" customWidth="1"/>
    <col min="4107" max="4352" width="11.42578125" style="99"/>
    <col min="4353" max="4353" width="16.42578125" style="99" customWidth="1"/>
    <col min="4354" max="4356" width="11.42578125" style="99"/>
    <col min="4357" max="4357" width="14.140625" style="99" bestFit="1" customWidth="1"/>
    <col min="4358" max="4359" width="11.42578125" style="99"/>
    <col min="4360" max="4360" width="13.42578125" style="99" customWidth="1"/>
    <col min="4361" max="4361" width="11.42578125" style="99"/>
    <col min="4362" max="4362" width="13.42578125" style="99" bestFit="1" customWidth="1"/>
    <col min="4363" max="4608" width="11.42578125" style="99"/>
    <col min="4609" max="4609" width="16.42578125" style="99" customWidth="1"/>
    <col min="4610" max="4612" width="11.42578125" style="99"/>
    <col min="4613" max="4613" width="14.140625" style="99" bestFit="1" customWidth="1"/>
    <col min="4614" max="4615" width="11.42578125" style="99"/>
    <col min="4616" max="4616" width="13.42578125" style="99" customWidth="1"/>
    <col min="4617" max="4617" width="11.42578125" style="99"/>
    <col min="4618" max="4618" width="13.42578125" style="99" bestFit="1" customWidth="1"/>
    <col min="4619" max="4864" width="11.42578125" style="99"/>
    <col min="4865" max="4865" width="16.42578125" style="99" customWidth="1"/>
    <col min="4866" max="4868" width="11.42578125" style="99"/>
    <col min="4869" max="4869" width="14.140625" style="99" bestFit="1" customWidth="1"/>
    <col min="4870" max="4871" width="11.42578125" style="99"/>
    <col min="4872" max="4872" width="13.42578125" style="99" customWidth="1"/>
    <col min="4873" max="4873" width="11.42578125" style="99"/>
    <col min="4874" max="4874" width="13.42578125" style="99" bestFit="1" customWidth="1"/>
    <col min="4875" max="5120" width="11.42578125" style="99"/>
    <col min="5121" max="5121" width="16.42578125" style="99" customWidth="1"/>
    <col min="5122" max="5124" width="11.42578125" style="99"/>
    <col min="5125" max="5125" width="14.140625" style="99" bestFit="1" customWidth="1"/>
    <col min="5126" max="5127" width="11.42578125" style="99"/>
    <col min="5128" max="5128" width="13.42578125" style="99" customWidth="1"/>
    <col min="5129" max="5129" width="11.42578125" style="99"/>
    <col min="5130" max="5130" width="13.42578125" style="99" bestFit="1" customWidth="1"/>
    <col min="5131" max="5376" width="11.42578125" style="99"/>
    <col min="5377" max="5377" width="16.42578125" style="99" customWidth="1"/>
    <col min="5378" max="5380" width="11.42578125" style="99"/>
    <col min="5381" max="5381" width="14.140625" style="99" bestFit="1" customWidth="1"/>
    <col min="5382" max="5383" width="11.42578125" style="99"/>
    <col min="5384" max="5384" width="13.42578125" style="99" customWidth="1"/>
    <col min="5385" max="5385" width="11.42578125" style="99"/>
    <col min="5386" max="5386" width="13.42578125" style="99" bestFit="1" customWidth="1"/>
    <col min="5387" max="5632" width="11.42578125" style="99"/>
    <col min="5633" max="5633" width="16.42578125" style="99" customWidth="1"/>
    <col min="5634" max="5636" width="11.42578125" style="99"/>
    <col min="5637" max="5637" width="14.140625" style="99" bestFit="1" customWidth="1"/>
    <col min="5638" max="5639" width="11.42578125" style="99"/>
    <col min="5640" max="5640" width="13.42578125" style="99" customWidth="1"/>
    <col min="5641" max="5641" width="11.42578125" style="99"/>
    <col min="5642" max="5642" width="13.42578125" style="99" bestFit="1" customWidth="1"/>
    <col min="5643" max="5888" width="11.42578125" style="99"/>
    <col min="5889" max="5889" width="16.42578125" style="99" customWidth="1"/>
    <col min="5890" max="5892" width="11.42578125" style="99"/>
    <col min="5893" max="5893" width="14.140625" style="99" bestFit="1" customWidth="1"/>
    <col min="5894" max="5895" width="11.42578125" style="99"/>
    <col min="5896" max="5896" width="13.42578125" style="99" customWidth="1"/>
    <col min="5897" max="5897" width="11.42578125" style="99"/>
    <col min="5898" max="5898" width="13.42578125" style="99" bestFit="1" customWidth="1"/>
    <col min="5899" max="6144" width="11.42578125" style="99"/>
    <col min="6145" max="6145" width="16.42578125" style="99" customWidth="1"/>
    <col min="6146" max="6148" width="11.42578125" style="99"/>
    <col min="6149" max="6149" width="14.140625" style="99" bestFit="1" customWidth="1"/>
    <col min="6150" max="6151" width="11.42578125" style="99"/>
    <col min="6152" max="6152" width="13.42578125" style="99" customWidth="1"/>
    <col min="6153" max="6153" width="11.42578125" style="99"/>
    <col min="6154" max="6154" width="13.42578125" style="99" bestFit="1" customWidth="1"/>
    <col min="6155" max="6400" width="11.42578125" style="99"/>
    <col min="6401" max="6401" width="16.42578125" style="99" customWidth="1"/>
    <col min="6402" max="6404" width="11.42578125" style="99"/>
    <col min="6405" max="6405" width="14.140625" style="99" bestFit="1" customWidth="1"/>
    <col min="6406" max="6407" width="11.42578125" style="99"/>
    <col min="6408" max="6408" width="13.42578125" style="99" customWidth="1"/>
    <col min="6409" max="6409" width="11.42578125" style="99"/>
    <col min="6410" max="6410" width="13.42578125" style="99" bestFit="1" customWidth="1"/>
    <col min="6411" max="6656" width="11.42578125" style="99"/>
    <col min="6657" max="6657" width="16.42578125" style="99" customWidth="1"/>
    <col min="6658" max="6660" width="11.42578125" style="99"/>
    <col min="6661" max="6661" width="14.140625" style="99" bestFit="1" customWidth="1"/>
    <col min="6662" max="6663" width="11.42578125" style="99"/>
    <col min="6664" max="6664" width="13.42578125" style="99" customWidth="1"/>
    <col min="6665" max="6665" width="11.42578125" style="99"/>
    <col min="6666" max="6666" width="13.42578125" style="99" bestFit="1" customWidth="1"/>
    <col min="6667" max="6912" width="11.42578125" style="99"/>
    <col min="6913" max="6913" width="16.42578125" style="99" customWidth="1"/>
    <col min="6914" max="6916" width="11.42578125" style="99"/>
    <col min="6917" max="6917" width="14.140625" style="99" bestFit="1" customWidth="1"/>
    <col min="6918" max="6919" width="11.42578125" style="99"/>
    <col min="6920" max="6920" width="13.42578125" style="99" customWidth="1"/>
    <col min="6921" max="6921" width="11.42578125" style="99"/>
    <col min="6922" max="6922" width="13.42578125" style="99" bestFit="1" customWidth="1"/>
    <col min="6923" max="7168" width="11.42578125" style="99"/>
    <col min="7169" max="7169" width="16.42578125" style="99" customWidth="1"/>
    <col min="7170" max="7172" width="11.42578125" style="99"/>
    <col min="7173" max="7173" width="14.140625" style="99" bestFit="1" customWidth="1"/>
    <col min="7174" max="7175" width="11.42578125" style="99"/>
    <col min="7176" max="7176" width="13.42578125" style="99" customWidth="1"/>
    <col min="7177" max="7177" width="11.42578125" style="99"/>
    <col min="7178" max="7178" width="13.42578125" style="99" bestFit="1" customWidth="1"/>
    <col min="7179" max="7424" width="11.42578125" style="99"/>
    <col min="7425" max="7425" width="16.42578125" style="99" customWidth="1"/>
    <col min="7426" max="7428" width="11.42578125" style="99"/>
    <col min="7429" max="7429" width="14.140625" style="99" bestFit="1" customWidth="1"/>
    <col min="7430" max="7431" width="11.42578125" style="99"/>
    <col min="7432" max="7432" width="13.42578125" style="99" customWidth="1"/>
    <col min="7433" max="7433" width="11.42578125" style="99"/>
    <col min="7434" max="7434" width="13.42578125" style="99" bestFit="1" customWidth="1"/>
    <col min="7435" max="7680" width="11.42578125" style="99"/>
    <col min="7681" max="7681" width="16.42578125" style="99" customWidth="1"/>
    <col min="7682" max="7684" width="11.42578125" style="99"/>
    <col min="7685" max="7685" width="14.140625" style="99" bestFit="1" customWidth="1"/>
    <col min="7686" max="7687" width="11.42578125" style="99"/>
    <col min="7688" max="7688" width="13.42578125" style="99" customWidth="1"/>
    <col min="7689" max="7689" width="11.42578125" style="99"/>
    <col min="7690" max="7690" width="13.42578125" style="99" bestFit="1" customWidth="1"/>
    <col min="7691" max="7936" width="11.42578125" style="99"/>
    <col min="7937" max="7937" width="16.42578125" style="99" customWidth="1"/>
    <col min="7938" max="7940" width="11.42578125" style="99"/>
    <col min="7941" max="7941" width="14.140625" style="99" bestFit="1" customWidth="1"/>
    <col min="7942" max="7943" width="11.42578125" style="99"/>
    <col min="7944" max="7944" width="13.42578125" style="99" customWidth="1"/>
    <col min="7945" max="7945" width="11.42578125" style="99"/>
    <col min="7946" max="7946" width="13.42578125" style="99" bestFit="1" customWidth="1"/>
    <col min="7947" max="8192" width="11.42578125" style="99"/>
    <col min="8193" max="8193" width="16.42578125" style="99" customWidth="1"/>
    <col min="8194" max="8196" width="11.42578125" style="99"/>
    <col min="8197" max="8197" width="14.140625" style="99" bestFit="1" customWidth="1"/>
    <col min="8198" max="8199" width="11.42578125" style="99"/>
    <col min="8200" max="8200" width="13.42578125" style="99" customWidth="1"/>
    <col min="8201" max="8201" width="11.42578125" style="99"/>
    <col min="8202" max="8202" width="13.42578125" style="99" bestFit="1" customWidth="1"/>
    <col min="8203" max="8448" width="11.42578125" style="99"/>
    <col min="8449" max="8449" width="16.42578125" style="99" customWidth="1"/>
    <col min="8450" max="8452" width="11.42578125" style="99"/>
    <col min="8453" max="8453" width="14.140625" style="99" bestFit="1" customWidth="1"/>
    <col min="8454" max="8455" width="11.42578125" style="99"/>
    <col min="8456" max="8456" width="13.42578125" style="99" customWidth="1"/>
    <col min="8457" max="8457" width="11.42578125" style="99"/>
    <col min="8458" max="8458" width="13.42578125" style="99" bestFit="1" customWidth="1"/>
    <col min="8459" max="8704" width="11.42578125" style="99"/>
    <col min="8705" max="8705" width="16.42578125" style="99" customWidth="1"/>
    <col min="8706" max="8708" width="11.42578125" style="99"/>
    <col min="8709" max="8709" width="14.140625" style="99" bestFit="1" customWidth="1"/>
    <col min="8710" max="8711" width="11.42578125" style="99"/>
    <col min="8712" max="8712" width="13.42578125" style="99" customWidth="1"/>
    <col min="8713" max="8713" width="11.42578125" style="99"/>
    <col min="8714" max="8714" width="13.42578125" style="99" bestFit="1" customWidth="1"/>
    <col min="8715" max="8960" width="11.42578125" style="99"/>
    <col min="8961" max="8961" width="16.42578125" style="99" customWidth="1"/>
    <col min="8962" max="8964" width="11.42578125" style="99"/>
    <col min="8965" max="8965" width="14.140625" style="99" bestFit="1" customWidth="1"/>
    <col min="8966" max="8967" width="11.42578125" style="99"/>
    <col min="8968" max="8968" width="13.42578125" style="99" customWidth="1"/>
    <col min="8969" max="8969" width="11.42578125" style="99"/>
    <col min="8970" max="8970" width="13.42578125" style="99" bestFit="1" customWidth="1"/>
    <col min="8971" max="9216" width="11.42578125" style="99"/>
    <col min="9217" max="9217" width="16.42578125" style="99" customWidth="1"/>
    <col min="9218" max="9220" width="11.42578125" style="99"/>
    <col min="9221" max="9221" width="14.140625" style="99" bestFit="1" customWidth="1"/>
    <col min="9222" max="9223" width="11.42578125" style="99"/>
    <col min="9224" max="9224" width="13.42578125" style="99" customWidth="1"/>
    <col min="9225" max="9225" width="11.42578125" style="99"/>
    <col min="9226" max="9226" width="13.42578125" style="99" bestFit="1" customWidth="1"/>
    <col min="9227" max="9472" width="11.42578125" style="99"/>
    <col min="9473" max="9473" width="16.42578125" style="99" customWidth="1"/>
    <col min="9474" max="9476" width="11.42578125" style="99"/>
    <col min="9477" max="9477" width="14.140625" style="99" bestFit="1" customWidth="1"/>
    <col min="9478" max="9479" width="11.42578125" style="99"/>
    <col min="9480" max="9480" width="13.42578125" style="99" customWidth="1"/>
    <col min="9481" max="9481" width="11.42578125" style="99"/>
    <col min="9482" max="9482" width="13.42578125" style="99" bestFit="1" customWidth="1"/>
    <col min="9483" max="9728" width="11.42578125" style="99"/>
    <col min="9729" max="9729" width="16.42578125" style="99" customWidth="1"/>
    <col min="9730" max="9732" width="11.42578125" style="99"/>
    <col min="9733" max="9733" width="14.140625" style="99" bestFit="1" customWidth="1"/>
    <col min="9734" max="9735" width="11.42578125" style="99"/>
    <col min="9736" max="9736" width="13.42578125" style="99" customWidth="1"/>
    <col min="9737" max="9737" width="11.42578125" style="99"/>
    <col min="9738" max="9738" width="13.42578125" style="99" bestFit="1" customWidth="1"/>
    <col min="9739" max="9984" width="11.42578125" style="99"/>
    <col min="9985" max="9985" width="16.42578125" style="99" customWidth="1"/>
    <col min="9986" max="9988" width="11.42578125" style="99"/>
    <col min="9989" max="9989" width="14.140625" style="99" bestFit="1" customWidth="1"/>
    <col min="9990" max="9991" width="11.42578125" style="99"/>
    <col min="9992" max="9992" width="13.42578125" style="99" customWidth="1"/>
    <col min="9993" max="9993" width="11.42578125" style="99"/>
    <col min="9994" max="9994" width="13.42578125" style="99" bestFit="1" customWidth="1"/>
    <col min="9995" max="10240" width="11.42578125" style="99"/>
    <col min="10241" max="10241" width="16.42578125" style="99" customWidth="1"/>
    <col min="10242" max="10244" width="11.42578125" style="99"/>
    <col min="10245" max="10245" width="14.140625" style="99" bestFit="1" customWidth="1"/>
    <col min="10246" max="10247" width="11.42578125" style="99"/>
    <col min="10248" max="10248" width="13.42578125" style="99" customWidth="1"/>
    <col min="10249" max="10249" width="11.42578125" style="99"/>
    <col min="10250" max="10250" width="13.42578125" style="99" bestFit="1" customWidth="1"/>
    <col min="10251" max="10496" width="11.42578125" style="99"/>
    <col min="10497" max="10497" width="16.42578125" style="99" customWidth="1"/>
    <col min="10498" max="10500" width="11.42578125" style="99"/>
    <col min="10501" max="10501" width="14.140625" style="99" bestFit="1" customWidth="1"/>
    <col min="10502" max="10503" width="11.42578125" style="99"/>
    <col min="10504" max="10504" width="13.42578125" style="99" customWidth="1"/>
    <col min="10505" max="10505" width="11.42578125" style="99"/>
    <col min="10506" max="10506" width="13.42578125" style="99" bestFit="1" customWidth="1"/>
    <col min="10507" max="10752" width="11.42578125" style="99"/>
    <col min="10753" max="10753" width="16.42578125" style="99" customWidth="1"/>
    <col min="10754" max="10756" width="11.42578125" style="99"/>
    <col min="10757" max="10757" width="14.140625" style="99" bestFit="1" customWidth="1"/>
    <col min="10758" max="10759" width="11.42578125" style="99"/>
    <col min="10760" max="10760" width="13.42578125" style="99" customWidth="1"/>
    <col min="10761" max="10761" width="11.42578125" style="99"/>
    <col min="10762" max="10762" width="13.42578125" style="99" bestFit="1" customWidth="1"/>
    <col min="10763" max="11008" width="11.42578125" style="99"/>
    <col min="11009" max="11009" width="16.42578125" style="99" customWidth="1"/>
    <col min="11010" max="11012" width="11.42578125" style="99"/>
    <col min="11013" max="11013" width="14.140625" style="99" bestFit="1" customWidth="1"/>
    <col min="11014" max="11015" width="11.42578125" style="99"/>
    <col min="11016" max="11016" width="13.42578125" style="99" customWidth="1"/>
    <col min="11017" max="11017" width="11.42578125" style="99"/>
    <col min="11018" max="11018" width="13.42578125" style="99" bestFit="1" customWidth="1"/>
    <col min="11019" max="11264" width="11.42578125" style="99"/>
    <col min="11265" max="11265" width="16.42578125" style="99" customWidth="1"/>
    <col min="11266" max="11268" width="11.42578125" style="99"/>
    <col min="11269" max="11269" width="14.140625" style="99" bestFit="1" customWidth="1"/>
    <col min="11270" max="11271" width="11.42578125" style="99"/>
    <col min="11272" max="11272" width="13.42578125" style="99" customWidth="1"/>
    <col min="11273" max="11273" width="11.42578125" style="99"/>
    <col min="11274" max="11274" width="13.42578125" style="99" bestFit="1" customWidth="1"/>
    <col min="11275" max="11520" width="11.42578125" style="99"/>
    <col min="11521" max="11521" width="16.42578125" style="99" customWidth="1"/>
    <col min="11522" max="11524" width="11.42578125" style="99"/>
    <col min="11525" max="11525" width="14.140625" style="99" bestFit="1" customWidth="1"/>
    <col min="11526" max="11527" width="11.42578125" style="99"/>
    <col min="11528" max="11528" width="13.42578125" style="99" customWidth="1"/>
    <col min="11529" max="11529" width="11.42578125" style="99"/>
    <col min="11530" max="11530" width="13.42578125" style="99" bestFit="1" customWidth="1"/>
    <col min="11531" max="11776" width="11.42578125" style="99"/>
    <col min="11777" max="11777" width="16.42578125" style="99" customWidth="1"/>
    <col min="11778" max="11780" width="11.42578125" style="99"/>
    <col min="11781" max="11781" width="14.140625" style="99" bestFit="1" customWidth="1"/>
    <col min="11782" max="11783" width="11.42578125" style="99"/>
    <col min="11784" max="11784" width="13.42578125" style="99" customWidth="1"/>
    <col min="11785" max="11785" width="11.42578125" style="99"/>
    <col min="11786" max="11786" width="13.42578125" style="99" bestFit="1" customWidth="1"/>
    <col min="11787" max="12032" width="11.42578125" style="99"/>
    <col min="12033" max="12033" width="16.42578125" style="99" customWidth="1"/>
    <col min="12034" max="12036" width="11.42578125" style="99"/>
    <col min="12037" max="12037" width="14.140625" style="99" bestFit="1" customWidth="1"/>
    <col min="12038" max="12039" width="11.42578125" style="99"/>
    <col min="12040" max="12040" width="13.42578125" style="99" customWidth="1"/>
    <col min="12041" max="12041" width="11.42578125" style="99"/>
    <col min="12042" max="12042" width="13.42578125" style="99" bestFit="1" customWidth="1"/>
    <col min="12043" max="12288" width="11.42578125" style="99"/>
    <col min="12289" max="12289" width="16.42578125" style="99" customWidth="1"/>
    <col min="12290" max="12292" width="11.42578125" style="99"/>
    <col min="12293" max="12293" width="14.140625" style="99" bestFit="1" customWidth="1"/>
    <col min="12294" max="12295" width="11.42578125" style="99"/>
    <col min="12296" max="12296" width="13.42578125" style="99" customWidth="1"/>
    <col min="12297" max="12297" width="11.42578125" style="99"/>
    <col min="12298" max="12298" width="13.42578125" style="99" bestFit="1" customWidth="1"/>
    <col min="12299" max="12544" width="11.42578125" style="99"/>
    <col min="12545" max="12545" width="16.42578125" style="99" customWidth="1"/>
    <col min="12546" max="12548" width="11.42578125" style="99"/>
    <col min="12549" max="12549" width="14.140625" style="99" bestFit="1" customWidth="1"/>
    <col min="12550" max="12551" width="11.42578125" style="99"/>
    <col min="12552" max="12552" width="13.42578125" style="99" customWidth="1"/>
    <col min="12553" max="12553" width="11.42578125" style="99"/>
    <col min="12554" max="12554" width="13.42578125" style="99" bestFit="1" customWidth="1"/>
    <col min="12555" max="12800" width="11.42578125" style="99"/>
    <col min="12801" max="12801" width="16.42578125" style="99" customWidth="1"/>
    <col min="12802" max="12804" width="11.42578125" style="99"/>
    <col min="12805" max="12805" width="14.140625" style="99" bestFit="1" customWidth="1"/>
    <col min="12806" max="12807" width="11.42578125" style="99"/>
    <col min="12808" max="12808" width="13.42578125" style="99" customWidth="1"/>
    <col min="12809" max="12809" width="11.42578125" style="99"/>
    <col min="12810" max="12810" width="13.42578125" style="99" bestFit="1" customWidth="1"/>
    <col min="12811" max="13056" width="11.42578125" style="99"/>
    <col min="13057" max="13057" width="16.42578125" style="99" customWidth="1"/>
    <col min="13058" max="13060" width="11.42578125" style="99"/>
    <col min="13061" max="13061" width="14.140625" style="99" bestFit="1" customWidth="1"/>
    <col min="13062" max="13063" width="11.42578125" style="99"/>
    <col min="13064" max="13064" width="13.42578125" style="99" customWidth="1"/>
    <col min="13065" max="13065" width="11.42578125" style="99"/>
    <col min="13066" max="13066" width="13.42578125" style="99" bestFit="1" customWidth="1"/>
    <col min="13067" max="13312" width="11.42578125" style="99"/>
    <col min="13313" max="13313" width="16.42578125" style="99" customWidth="1"/>
    <col min="13314" max="13316" width="11.42578125" style="99"/>
    <col min="13317" max="13317" width="14.140625" style="99" bestFit="1" customWidth="1"/>
    <col min="13318" max="13319" width="11.42578125" style="99"/>
    <col min="13320" max="13320" width="13.42578125" style="99" customWidth="1"/>
    <col min="13321" max="13321" width="11.42578125" style="99"/>
    <col min="13322" max="13322" width="13.42578125" style="99" bestFit="1" customWidth="1"/>
    <col min="13323" max="13568" width="11.42578125" style="99"/>
    <col min="13569" max="13569" width="16.42578125" style="99" customWidth="1"/>
    <col min="13570" max="13572" width="11.42578125" style="99"/>
    <col min="13573" max="13573" width="14.140625" style="99" bestFit="1" customWidth="1"/>
    <col min="13574" max="13575" width="11.42578125" style="99"/>
    <col min="13576" max="13576" width="13.42578125" style="99" customWidth="1"/>
    <col min="13577" max="13577" width="11.42578125" style="99"/>
    <col min="13578" max="13578" width="13.42578125" style="99" bestFit="1" customWidth="1"/>
    <col min="13579" max="13824" width="11.42578125" style="99"/>
    <col min="13825" max="13825" width="16.42578125" style="99" customWidth="1"/>
    <col min="13826" max="13828" width="11.42578125" style="99"/>
    <col min="13829" max="13829" width="14.140625" style="99" bestFit="1" customWidth="1"/>
    <col min="13830" max="13831" width="11.42578125" style="99"/>
    <col min="13832" max="13832" width="13.42578125" style="99" customWidth="1"/>
    <col min="13833" max="13833" width="11.42578125" style="99"/>
    <col min="13834" max="13834" width="13.42578125" style="99" bestFit="1" customWidth="1"/>
    <col min="13835" max="14080" width="11.42578125" style="99"/>
    <col min="14081" max="14081" width="16.42578125" style="99" customWidth="1"/>
    <col min="14082" max="14084" width="11.42578125" style="99"/>
    <col min="14085" max="14085" width="14.140625" style="99" bestFit="1" customWidth="1"/>
    <col min="14086" max="14087" width="11.42578125" style="99"/>
    <col min="14088" max="14088" width="13.42578125" style="99" customWidth="1"/>
    <col min="14089" max="14089" width="11.42578125" style="99"/>
    <col min="14090" max="14090" width="13.42578125" style="99" bestFit="1" customWidth="1"/>
    <col min="14091" max="14336" width="11.42578125" style="99"/>
    <col min="14337" max="14337" width="16.42578125" style="99" customWidth="1"/>
    <col min="14338" max="14340" width="11.42578125" style="99"/>
    <col min="14341" max="14341" width="14.140625" style="99" bestFit="1" customWidth="1"/>
    <col min="14342" max="14343" width="11.42578125" style="99"/>
    <col min="14344" max="14344" width="13.42578125" style="99" customWidth="1"/>
    <col min="14345" max="14345" width="11.42578125" style="99"/>
    <col min="14346" max="14346" width="13.42578125" style="99" bestFit="1" customWidth="1"/>
    <col min="14347" max="14592" width="11.42578125" style="99"/>
    <col min="14593" max="14593" width="16.42578125" style="99" customWidth="1"/>
    <col min="14594" max="14596" width="11.42578125" style="99"/>
    <col min="14597" max="14597" width="14.140625" style="99" bestFit="1" customWidth="1"/>
    <col min="14598" max="14599" width="11.42578125" style="99"/>
    <col min="14600" max="14600" width="13.42578125" style="99" customWidth="1"/>
    <col min="14601" max="14601" width="11.42578125" style="99"/>
    <col min="14602" max="14602" width="13.42578125" style="99" bestFit="1" customWidth="1"/>
    <col min="14603" max="14848" width="11.42578125" style="99"/>
    <col min="14849" max="14849" width="16.42578125" style="99" customWidth="1"/>
    <col min="14850" max="14852" width="11.42578125" style="99"/>
    <col min="14853" max="14853" width="14.140625" style="99" bestFit="1" customWidth="1"/>
    <col min="14854" max="14855" width="11.42578125" style="99"/>
    <col min="14856" max="14856" width="13.42578125" style="99" customWidth="1"/>
    <col min="14857" max="14857" width="11.42578125" style="99"/>
    <col min="14858" max="14858" width="13.42578125" style="99" bestFit="1" customWidth="1"/>
    <col min="14859" max="15104" width="11.42578125" style="99"/>
    <col min="15105" max="15105" width="16.42578125" style="99" customWidth="1"/>
    <col min="15106" max="15108" width="11.42578125" style="99"/>
    <col min="15109" max="15109" width="14.140625" style="99" bestFit="1" customWidth="1"/>
    <col min="15110" max="15111" width="11.42578125" style="99"/>
    <col min="15112" max="15112" width="13.42578125" style="99" customWidth="1"/>
    <col min="15113" max="15113" width="11.42578125" style="99"/>
    <col min="15114" max="15114" width="13.42578125" style="99" bestFit="1" customWidth="1"/>
    <col min="15115" max="15360" width="11.42578125" style="99"/>
    <col min="15361" max="15361" width="16.42578125" style="99" customWidth="1"/>
    <col min="15362" max="15364" width="11.42578125" style="99"/>
    <col min="15365" max="15365" width="14.140625" style="99" bestFit="1" customWidth="1"/>
    <col min="15366" max="15367" width="11.42578125" style="99"/>
    <col min="15368" max="15368" width="13.42578125" style="99" customWidth="1"/>
    <col min="15369" max="15369" width="11.42578125" style="99"/>
    <col min="15370" max="15370" width="13.42578125" style="99" bestFit="1" customWidth="1"/>
    <col min="15371" max="15616" width="11.42578125" style="99"/>
    <col min="15617" max="15617" width="16.42578125" style="99" customWidth="1"/>
    <col min="15618" max="15620" width="11.42578125" style="99"/>
    <col min="15621" max="15621" width="14.140625" style="99" bestFit="1" customWidth="1"/>
    <col min="15622" max="15623" width="11.42578125" style="99"/>
    <col min="15624" max="15624" width="13.42578125" style="99" customWidth="1"/>
    <col min="15625" max="15625" width="11.42578125" style="99"/>
    <col min="15626" max="15626" width="13.42578125" style="99" bestFit="1" customWidth="1"/>
    <col min="15627" max="15872" width="11.42578125" style="99"/>
    <col min="15873" max="15873" width="16.42578125" style="99" customWidth="1"/>
    <col min="15874" max="15876" width="11.42578125" style="99"/>
    <col min="15877" max="15877" width="14.140625" style="99" bestFit="1" customWidth="1"/>
    <col min="15878" max="15879" width="11.42578125" style="99"/>
    <col min="15880" max="15880" width="13.42578125" style="99" customWidth="1"/>
    <col min="15881" max="15881" width="11.42578125" style="99"/>
    <col min="15882" max="15882" width="13.42578125" style="99" bestFit="1" customWidth="1"/>
    <col min="15883" max="16128" width="11.42578125" style="99"/>
    <col min="16129" max="16129" width="16.42578125" style="99" customWidth="1"/>
    <col min="16130" max="16132" width="11.42578125" style="99"/>
    <col min="16133" max="16133" width="14.140625" style="99" bestFit="1" customWidth="1"/>
    <col min="16134" max="16135" width="11.42578125" style="99"/>
    <col min="16136" max="16136" width="13.42578125" style="99" customWidth="1"/>
    <col min="16137" max="16137" width="11.42578125" style="99"/>
    <col min="16138" max="16138" width="13.42578125" style="99" bestFit="1" customWidth="1"/>
    <col min="16139" max="16384" width="11.42578125" style="99"/>
  </cols>
  <sheetData>
    <row r="5" spans="2:9" x14ac:dyDescent="0.2">
      <c r="B5" s="98"/>
      <c r="C5" s="98"/>
      <c r="D5" s="98"/>
      <c r="E5" s="98"/>
      <c r="F5" s="98"/>
      <c r="G5" s="98"/>
      <c r="H5" s="98"/>
    </row>
    <row r="6" spans="2:9" ht="23.25" x14ac:dyDescent="0.35">
      <c r="B6" s="100"/>
      <c r="C6" s="98"/>
      <c r="D6" s="98"/>
      <c r="E6" s="98"/>
      <c r="F6" s="98"/>
      <c r="G6" s="98"/>
      <c r="H6" s="98"/>
      <c r="I6" s="101"/>
    </row>
    <row r="7" spans="2:9" x14ac:dyDescent="0.2">
      <c r="B7" s="98"/>
      <c r="C7" s="98"/>
      <c r="D7" s="98"/>
      <c r="E7" s="98"/>
      <c r="F7" s="98"/>
      <c r="G7" s="98"/>
      <c r="H7" s="98"/>
      <c r="I7" s="98"/>
    </row>
    <row r="8" spans="2:9" x14ac:dyDescent="0.2">
      <c r="B8" s="98"/>
      <c r="C8" s="98"/>
      <c r="D8" s="98"/>
      <c r="F8" s="98"/>
      <c r="G8" s="98"/>
      <c r="H8" s="98"/>
    </row>
    <row r="9" spans="2:9" x14ac:dyDescent="0.2">
      <c r="B9" s="98"/>
      <c r="C9" s="98"/>
      <c r="D9" s="98"/>
      <c r="E9" s="98"/>
      <c r="F9" s="98"/>
      <c r="G9" s="98"/>
      <c r="H9" s="98"/>
    </row>
    <row r="10" spans="2:9" ht="23.25" x14ac:dyDescent="0.35">
      <c r="B10" s="98"/>
      <c r="C10" s="98"/>
      <c r="D10" s="98"/>
      <c r="I10" s="101"/>
    </row>
    <row r="11" spans="2:9" x14ac:dyDescent="0.2">
      <c r="B11" s="98"/>
      <c r="C11" s="98"/>
      <c r="D11" s="98"/>
    </row>
    <row r="12" spans="2:9" ht="27" customHeight="1" x14ac:dyDescent="0.35">
      <c r="B12" s="98"/>
      <c r="C12" s="98"/>
      <c r="D12" s="98"/>
      <c r="E12" s="98"/>
      <c r="F12" s="98"/>
      <c r="G12" s="98"/>
      <c r="H12" s="98"/>
      <c r="I12" s="101"/>
    </row>
    <row r="13" spans="2:9" ht="19.5" customHeight="1" x14ac:dyDescent="0.35">
      <c r="B13" s="98"/>
      <c r="C13" s="93"/>
      <c r="D13" s="93"/>
      <c r="E13" s="93"/>
      <c r="F13" s="93"/>
      <c r="G13" s="93"/>
      <c r="H13" s="93"/>
      <c r="I13" s="101"/>
    </row>
    <row r="14" spans="2:9" x14ac:dyDescent="0.2">
      <c r="B14" s="98"/>
      <c r="C14" s="98"/>
      <c r="D14" s="98"/>
      <c r="F14" s="98"/>
      <c r="G14" s="98"/>
      <c r="H14" s="98"/>
    </row>
    <row r="15" spans="2:9" x14ac:dyDescent="0.2">
      <c r="B15" s="98"/>
      <c r="C15" s="98"/>
      <c r="D15" s="98"/>
      <c r="F15" s="98"/>
      <c r="G15" s="98"/>
      <c r="H15" s="98"/>
      <c r="I15" s="98"/>
    </row>
    <row r="16" spans="2:9" ht="34.5" x14ac:dyDescent="0.45">
      <c r="B16" s="98"/>
      <c r="C16" s="98"/>
      <c r="D16" s="98"/>
      <c r="E16" s="102"/>
      <c r="F16" s="98"/>
      <c r="G16" s="98"/>
      <c r="H16" s="98"/>
      <c r="I16" s="98"/>
    </row>
    <row r="17" spans="2:9" ht="33" x14ac:dyDescent="0.45">
      <c r="B17" s="98"/>
      <c r="C17" s="98"/>
      <c r="D17" s="98"/>
      <c r="E17" s="103"/>
      <c r="F17" s="98"/>
      <c r="G17" s="98"/>
      <c r="H17" s="98"/>
      <c r="I17" s="98"/>
    </row>
    <row r="18" spans="2:9" ht="33" x14ac:dyDescent="0.45">
      <c r="D18" s="103"/>
    </row>
    <row r="19" spans="2:9" ht="18.75" x14ac:dyDescent="0.3">
      <c r="E19" s="104"/>
      <c r="I19" s="105"/>
    </row>
    <row r="21" spans="2:9" x14ac:dyDescent="0.2">
      <c r="E21" s="106"/>
    </row>
    <row r="22" spans="2:9" ht="26.25" x14ac:dyDescent="0.4">
      <c r="E22" s="107"/>
    </row>
    <row r="25" spans="2:9" ht="18.75" x14ac:dyDescent="0.3">
      <c r="E25" s="108"/>
    </row>
    <row r="26" spans="2:9" ht="18.75" x14ac:dyDescent="0.3">
      <c r="E26" s="109"/>
    </row>
    <row r="28" spans="2:9" x14ac:dyDescent="0.2">
      <c r="D28" s="93"/>
      <c r="E28" s="93"/>
      <c r="F28" s="93"/>
      <c r="G28" s="93"/>
      <c r="H28" s="93"/>
    </row>
    <row r="33" spans="1:9" ht="35.25" x14ac:dyDescent="0.2">
      <c r="A33" s="110"/>
    </row>
    <row r="36" spans="1:9" ht="33" x14ac:dyDescent="0.2">
      <c r="B36" s="111"/>
    </row>
    <row r="39" spans="1:9" ht="18" x14ac:dyDescent="0.25">
      <c r="B39" s="112"/>
    </row>
    <row r="41" spans="1:9" ht="18.75" x14ac:dyDescent="0.3">
      <c r="I41" s="113"/>
    </row>
    <row r="43" spans="1:9" ht="18.75" x14ac:dyDescent="0.3">
      <c r="B43" s="195"/>
      <c r="C43" s="195"/>
      <c r="D43" s="195"/>
    </row>
    <row r="57" spans="10:10" ht="18.75" x14ac:dyDescent="0.3">
      <c r="J57" s="114"/>
    </row>
  </sheetData>
  <mergeCells count="1">
    <mergeCell ref="B43:D43"/>
  </mergeCells>
  <pageMargins left="0.78740157480314965" right="0.78740157480314965" top="0.98425196850393704" bottom="0.98425196850393704" header="0.51181102362204722" footer="0.51181102362204722"/>
  <pageSetup paperSize="9" scale="8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x14ac:dyDescent="0.2">
      <c r="A7" s="201" t="s">
        <v>42</v>
      </c>
      <c r="B7" s="19" t="s">
        <v>3</v>
      </c>
      <c r="C7" s="20">
        <v>135636.54006908037</v>
      </c>
      <c r="D7" s="20">
        <v>154164.24328634961</v>
      </c>
      <c r="E7" s="21">
        <v>177571.24782434295</v>
      </c>
      <c r="F7" s="22" t="s">
        <v>240</v>
      </c>
      <c r="G7" s="23">
        <v>30.916969523039313</v>
      </c>
      <c r="H7" s="24">
        <v>15.183160529978679</v>
      </c>
    </row>
    <row r="8" spans="1:8" x14ac:dyDescent="0.2">
      <c r="A8" s="202"/>
      <c r="B8" s="25" t="s">
        <v>240</v>
      </c>
      <c r="C8" s="26" t="s">
        <v>240</v>
      </c>
      <c r="D8" s="26" t="s">
        <v>240</v>
      </c>
      <c r="E8" s="26" t="s">
        <v>240</v>
      </c>
      <c r="F8" s="27"/>
      <c r="G8" s="28" t="s">
        <v>240</v>
      </c>
      <c r="H8" s="29" t="s">
        <v>240</v>
      </c>
    </row>
    <row r="9" spans="1:8" x14ac:dyDescent="0.2">
      <c r="A9" s="30" t="s">
        <v>18</v>
      </c>
      <c r="B9" s="31" t="s">
        <v>3</v>
      </c>
      <c r="C9" s="20">
        <v>10335.766454119826</v>
      </c>
      <c r="D9" s="20">
        <v>9654.8295664633042</v>
      </c>
      <c r="E9" s="21">
        <v>9938.9197217391302</v>
      </c>
      <c r="F9" s="22" t="s">
        <v>240</v>
      </c>
      <c r="G9" s="32">
        <v>-3.8395481761540111</v>
      </c>
      <c r="H9" s="33">
        <v>2.9424668071058591</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6803.5548470660869</v>
      </c>
      <c r="D11" s="20">
        <v>6431.7652215443477</v>
      </c>
      <c r="E11" s="21">
        <v>6785.0657391304348</v>
      </c>
      <c r="F11" s="22" t="s">
        <v>240</v>
      </c>
      <c r="G11" s="37">
        <v>-0.27175657948322396</v>
      </c>
      <c r="H11" s="33">
        <v>5.4930568112567784</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22348.216593840996</v>
      </c>
      <c r="D13" s="20">
        <v>20706.316772163977</v>
      </c>
      <c r="E13" s="21">
        <v>22790.459875776396</v>
      </c>
      <c r="F13" s="22" t="s">
        <v>240</v>
      </c>
      <c r="G13" s="23">
        <v>1.9788750483887867</v>
      </c>
      <c r="H13" s="24">
        <v>10.065252678903221</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1871.3548398702899</v>
      </c>
      <c r="D15" s="20">
        <v>1533.384058547826</v>
      </c>
      <c r="E15" s="21">
        <v>1303.4257971014492</v>
      </c>
      <c r="F15" s="22" t="s">
        <v>240</v>
      </c>
      <c r="G15" s="37">
        <v>-30.348549119001163</v>
      </c>
      <c r="H15" s="33">
        <v>-14.996781801954825</v>
      </c>
    </row>
    <row r="16" spans="1:8" x14ac:dyDescent="0.2">
      <c r="A16" s="34"/>
      <c r="B16" s="25" t="s">
        <v>240</v>
      </c>
      <c r="C16" s="26" t="s">
        <v>240</v>
      </c>
      <c r="D16" s="26" t="s">
        <v>240</v>
      </c>
      <c r="E16" s="26" t="s">
        <v>240</v>
      </c>
      <c r="F16" s="27"/>
      <c r="G16" s="28" t="s">
        <v>240</v>
      </c>
      <c r="H16" s="29" t="s">
        <v>240</v>
      </c>
    </row>
    <row r="17" spans="1:8" x14ac:dyDescent="0.2">
      <c r="A17" s="30" t="s">
        <v>22</v>
      </c>
      <c r="B17" s="31" t="s">
        <v>3</v>
      </c>
      <c r="C17" s="20">
        <v>5157.3548398702897</v>
      </c>
      <c r="D17" s="20">
        <v>5296.3840585478265</v>
      </c>
      <c r="E17" s="21">
        <v>7081.4257971014495</v>
      </c>
      <c r="F17" s="22" t="s">
        <v>240</v>
      </c>
      <c r="G17" s="37">
        <v>37.307321620700264</v>
      </c>
      <c r="H17" s="33">
        <v>33.703026797551559</v>
      </c>
    </row>
    <row r="18" spans="1:8" x14ac:dyDescent="0.2">
      <c r="A18" s="34"/>
      <c r="B18" s="25" t="s">
        <v>240</v>
      </c>
      <c r="C18" s="26" t="s">
        <v>240</v>
      </c>
      <c r="D18" s="26" t="s">
        <v>240</v>
      </c>
      <c r="E18" s="26" t="s">
        <v>240</v>
      </c>
      <c r="F18" s="27"/>
      <c r="G18" s="28" t="s">
        <v>240</v>
      </c>
      <c r="H18" s="29" t="s">
        <v>240</v>
      </c>
    </row>
    <row r="19" spans="1:8" x14ac:dyDescent="0.2">
      <c r="A19" s="30" t="s">
        <v>190</v>
      </c>
      <c r="B19" s="31" t="s">
        <v>3</v>
      </c>
      <c r="C19" s="20">
        <v>64641.041484602487</v>
      </c>
      <c r="D19" s="20">
        <v>78412.291930409934</v>
      </c>
      <c r="E19" s="21">
        <v>79585.649689440994</v>
      </c>
      <c r="F19" s="22" t="s">
        <v>240</v>
      </c>
      <c r="G19" s="23">
        <v>23.119380290922933</v>
      </c>
      <c r="H19" s="24">
        <v>1.4963951826231465</v>
      </c>
    </row>
    <row r="20" spans="1:8" x14ac:dyDescent="0.2">
      <c r="A20" s="30"/>
      <c r="B20" s="25" t="s">
        <v>240</v>
      </c>
      <c r="C20" s="26" t="s">
        <v>240</v>
      </c>
      <c r="D20" s="26" t="s">
        <v>240</v>
      </c>
      <c r="E20" s="26" t="s">
        <v>240</v>
      </c>
      <c r="F20" s="27"/>
      <c r="G20" s="38" t="s">
        <v>240</v>
      </c>
      <c r="H20" s="24" t="s">
        <v>240</v>
      </c>
    </row>
    <row r="21" spans="1:8" x14ac:dyDescent="0.2">
      <c r="A21" s="39" t="s">
        <v>12</v>
      </c>
      <c r="B21" s="31" t="s">
        <v>3</v>
      </c>
      <c r="C21" s="20">
        <v>1255.2129039221738</v>
      </c>
      <c r="D21" s="20">
        <v>1364.2304351286957</v>
      </c>
      <c r="E21" s="21">
        <v>1491.2554782608695</v>
      </c>
      <c r="F21" s="22" t="s">
        <v>240</v>
      </c>
      <c r="G21" s="37">
        <v>18.804983091006449</v>
      </c>
      <c r="H21" s="33">
        <v>9.3111134205263966</v>
      </c>
    </row>
    <row r="22" spans="1:8" x14ac:dyDescent="0.2">
      <c r="A22" s="34"/>
      <c r="B22" s="25" t="s">
        <v>240</v>
      </c>
      <c r="C22" s="26" t="s">
        <v>240</v>
      </c>
      <c r="D22" s="26" t="s">
        <v>240</v>
      </c>
      <c r="E22" s="26" t="s">
        <v>240</v>
      </c>
      <c r="F22" s="27"/>
      <c r="G22" s="28" t="s">
        <v>240</v>
      </c>
      <c r="H22" s="29" t="s">
        <v>240</v>
      </c>
    </row>
    <row r="23" spans="1:8" x14ac:dyDescent="0.2">
      <c r="A23" s="39" t="s">
        <v>23</v>
      </c>
      <c r="B23" s="31" t="s">
        <v>3</v>
      </c>
      <c r="C23" s="20">
        <v>4258.3548398702897</v>
      </c>
      <c r="D23" s="20">
        <v>4566.3840585478265</v>
      </c>
      <c r="E23" s="21">
        <v>4782.4257971014495</v>
      </c>
      <c r="F23" s="22" t="s">
        <v>240</v>
      </c>
      <c r="G23" s="23">
        <v>12.306887916534521</v>
      </c>
      <c r="H23" s="24">
        <v>4.7311337763895125</v>
      </c>
    </row>
    <row r="24" spans="1:8" x14ac:dyDescent="0.2">
      <c r="A24" s="34"/>
      <c r="B24" s="25" t="s">
        <v>240</v>
      </c>
      <c r="C24" s="26" t="s">
        <v>240</v>
      </c>
      <c r="D24" s="26" t="s">
        <v>240</v>
      </c>
      <c r="E24" s="26" t="s">
        <v>240</v>
      </c>
      <c r="F24" s="27"/>
      <c r="G24" s="28" t="s">
        <v>240</v>
      </c>
      <c r="H24" s="29" t="s">
        <v>240</v>
      </c>
    </row>
    <row r="25" spans="1:8" x14ac:dyDescent="0.2">
      <c r="A25" s="30" t="s">
        <v>24</v>
      </c>
      <c r="B25" s="31" t="s">
        <v>3</v>
      </c>
      <c r="C25" s="20">
        <v>20760.709679740579</v>
      </c>
      <c r="D25" s="20">
        <v>27731.768117095653</v>
      </c>
      <c r="E25" s="21">
        <v>47739.851594202897</v>
      </c>
      <c r="F25" s="22" t="s">
        <v>240</v>
      </c>
      <c r="G25" s="23">
        <v>129.95288856040418</v>
      </c>
      <c r="H25" s="24">
        <v>72.148603697479246</v>
      </c>
    </row>
    <row r="26" spans="1:8" ht="13.5" thickBot="1" x14ac:dyDescent="0.25">
      <c r="A26" s="41"/>
      <c r="B26" s="42" t="s">
        <v>240</v>
      </c>
      <c r="C26" s="43" t="s">
        <v>240</v>
      </c>
      <c r="D26" s="43" t="s">
        <v>240</v>
      </c>
      <c r="E26" s="43" t="s">
        <v>240</v>
      </c>
      <c r="F26" s="44"/>
      <c r="G26" s="45" t="s">
        <v>240</v>
      </c>
      <c r="H26" s="46" t="s">
        <v>240</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5" t="s">
        <v>16</v>
      </c>
      <c r="D33" s="199"/>
      <c r="E33" s="199"/>
      <c r="F33" s="206"/>
      <c r="G33" s="199" t="s">
        <v>1</v>
      </c>
      <c r="H33" s="200"/>
    </row>
    <row r="34" spans="1:8" x14ac:dyDescent="0.2">
      <c r="A34" s="12"/>
      <c r="B34" s="13"/>
      <c r="C34" s="14" t="s">
        <v>235</v>
      </c>
      <c r="D34" s="15" t="s">
        <v>236</v>
      </c>
      <c r="E34" s="15" t="s">
        <v>237</v>
      </c>
      <c r="F34" s="16"/>
      <c r="G34" s="17" t="s">
        <v>238</v>
      </c>
      <c r="H34" s="18" t="s">
        <v>239</v>
      </c>
    </row>
    <row r="35" spans="1:8" ht="12.75" customHeight="1" x14ac:dyDescent="0.2">
      <c r="A35" s="201" t="s">
        <v>42</v>
      </c>
      <c r="B35" s="19" t="s">
        <v>3</v>
      </c>
      <c r="C35" s="80">
        <v>1365.6618927344666</v>
      </c>
      <c r="D35" s="80">
        <v>1382.3195291147865</v>
      </c>
      <c r="E35" s="83">
        <v>1546.3592040680644</v>
      </c>
      <c r="F35" s="22" t="s">
        <v>240</v>
      </c>
      <c r="G35" s="23">
        <v>13.231482279394015</v>
      </c>
      <c r="H35" s="24">
        <v>11.866986720380496</v>
      </c>
    </row>
    <row r="36" spans="1:8" ht="12.75" customHeight="1" x14ac:dyDescent="0.2">
      <c r="A36" s="202"/>
      <c r="B36" s="25" t="s">
        <v>240</v>
      </c>
      <c r="C36" s="82" t="s">
        <v>240</v>
      </c>
      <c r="D36" s="82" t="s">
        <v>240</v>
      </c>
      <c r="E36" s="82" t="s">
        <v>240</v>
      </c>
      <c r="F36" s="27"/>
      <c r="G36" s="28" t="s">
        <v>240</v>
      </c>
      <c r="H36" s="29" t="s">
        <v>240</v>
      </c>
    </row>
    <row r="37" spans="1:8" x14ac:dyDescent="0.2">
      <c r="A37" s="30" t="s">
        <v>18</v>
      </c>
      <c r="B37" s="31" t="s">
        <v>3</v>
      </c>
      <c r="C37" s="80">
        <v>429.32155007374354</v>
      </c>
      <c r="D37" s="80">
        <v>442.97258612085284</v>
      </c>
      <c r="E37" s="83">
        <v>492.18872909280645</v>
      </c>
      <c r="F37" s="22" t="s">
        <v>240</v>
      </c>
      <c r="G37" s="32">
        <v>14.643378374149734</v>
      </c>
      <c r="H37" s="33">
        <v>11.11042635909898</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206.89560650834986</v>
      </c>
      <c r="D39" s="80">
        <v>139.92775588724291</v>
      </c>
      <c r="E39" s="83">
        <v>143.44503966759899</v>
      </c>
      <c r="F39" s="22" t="s">
        <v>240</v>
      </c>
      <c r="G39" s="37">
        <v>-30.667914080713047</v>
      </c>
      <c r="H39" s="33">
        <v>2.513642670858232</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272.00910261615422</v>
      </c>
      <c r="D41" s="80">
        <v>246.86392278839617</v>
      </c>
      <c r="E41" s="83">
        <v>244.72721945667439</v>
      </c>
      <c r="F41" s="22" t="s">
        <v>240</v>
      </c>
      <c r="G41" s="23">
        <v>-10.029768451528128</v>
      </c>
      <c r="H41" s="24">
        <v>-0.86553892022257628</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9.4231151930438681</v>
      </c>
      <c r="D43" s="80">
        <v>8.9882224831339776</v>
      </c>
      <c r="E43" s="83">
        <v>9.2872953346467124</v>
      </c>
      <c r="F43" s="22" t="s">
        <v>240</v>
      </c>
      <c r="G43" s="37">
        <v>-1.4413477455673842</v>
      </c>
      <c r="H43" s="33">
        <v>3.3273859439275384</v>
      </c>
    </row>
    <row r="44" spans="1:8" x14ac:dyDescent="0.2">
      <c r="A44" s="34"/>
      <c r="B44" s="25" t="s">
        <v>240</v>
      </c>
      <c r="C44" s="82" t="s">
        <v>240</v>
      </c>
      <c r="D44" s="82" t="s">
        <v>240</v>
      </c>
      <c r="E44" s="82" t="s">
        <v>240</v>
      </c>
      <c r="F44" s="27"/>
      <c r="G44" s="28" t="s">
        <v>240</v>
      </c>
      <c r="H44" s="29" t="s">
        <v>240</v>
      </c>
    </row>
    <row r="45" spans="1:8" x14ac:dyDescent="0.2">
      <c r="A45" s="30" t="s">
        <v>22</v>
      </c>
      <c r="B45" s="31" t="s">
        <v>3</v>
      </c>
      <c r="C45" s="80">
        <v>23.602795476806214</v>
      </c>
      <c r="D45" s="80">
        <v>24.568454492397105</v>
      </c>
      <c r="E45" s="83">
        <v>33.964077106086414</v>
      </c>
      <c r="F45" s="22" t="s">
        <v>240</v>
      </c>
      <c r="G45" s="37">
        <v>43.898535830054243</v>
      </c>
      <c r="H45" s="33">
        <v>38.242627824216044</v>
      </c>
    </row>
    <row r="46" spans="1:8" x14ac:dyDescent="0.2">
      <c r="A46" s="34"/>
      <c r="B46" s="25" t="s">
        <v>240</v>
      </c>
      <c r="C46" s="82" t="s">
        <v>240</v>
      </c>
      <c r="D46" s="82" t="s">
        <v>240</v>
      </c>
      <c r="E46" s="82" t="s">
        <v>240</v>
      </c>
      <c r="F46" s="27"/>
      <c r="G46" s="28" t="s">
        <v>240</v>
      </c>
      <c r="H46" s="29" t="s">
        <v>240</v>
      </c>
    </row>
    <row r="47" spans="1:8" x14ac:dyDescent="0.2">
      <c r="A47" s="30" t="s">
        <v>190</v>
      </c>
      <c r="B47" s="31" t="s">
        <v>3</v>
      </c>
      <c r="C47" s="80">
        <v>233.15142418330242</v>
      </c>
      <c r="D47" s="80">
        <v>265.38455931916405</v>
      </c>
      <c r="E47" s="83">
        <v>283.32829641478537</v>
      </c>
      <c r="F47" s="22" t="s">
        <v>240</v>
      </c>
      <c r="G47" s="23">
        <v>21.521151932588751</v>
      </c>
      <c r="H47" s="24">
        <v>6.7614096093817437</v>
      </c>
    </row>
    <row r="48" spans="1:8" x14ac:dyDescent="0.2">
      <c r="A48" s="30"/>
      <c r="B48" s="25" t="s">
        <v>240</v>
      </c>
      <c r="C48" s="82" t="s">
        <v>240</v>
      </c>
      <c r="D48" s="82" t="s">
        <v>240</v>
      </c>
      <c r="E48" s="82" t="s">
        <v>240</v>
      </c>
      <c r="F48" s="27"/>
      <c r="G48" s="38" t="s">
        <v>240</v>
      </c>
      <c r="H48" s="24" t="s">
        <v>240</v>
      </c>
    </row>
    <row r="49" spans="1:8" x14ac:dyDescent="0.2">
      <c r="A49" s="39" t="s">
        <v>12</v>
      </c>
      <c r="B49" s="31" t="s">
        <v>3</v>
      </c>
      <c r="C49" s="80">
        <v>13.561272339726765</v>
      </c>
      <c r="D49" s="80">
        <v>11.175463042254536</v>
      </c>
      <c r="E49" s="83">
        <v>14.33973090419448</v>
      </c>
      <c r="F49" s="22" t="s">
        <v>240</v>
      </c>
      <c r="G49" s="37">
        <v>5.7403062556842741</v>
      </c>
      <c r="H49" s="33">
        <v>28.314422856357851</v>
      </c>
    </row>
    <row r="50" spans="1:8" x14ac:dyDescent="0.2">
      <c r="A50" s="34"/>
      <c r="B50" s="25" t="s">
        <v>240</v>
      </c>
      <c r="C50" s="82" t="s">
        <v>240</v>
      </c>
      <c r="D50" s="82" t="s">
        <v>240</v>
      </c>
      <c r="E50" s="82" t="s">
        <v>240</v>
      </c>
      <c r="F50" s="27"/>
      <c r="G50" s="28" t="s">
        <v>240</v>
      </c>
      <c r="H50" s="29" t="s">
        <v>240</v>
      </c>
    </row>
    <row r="51" spans="1:8" x14ac:dyDescent="0.2">
      <c r="A51" s="39" t="s">
        <v>23</v>
      </c>
      <c r="B51" s="31" t="s">
        <v>3</v>
      </c>
      <c r="C51" s="80">
        <v>86.480130616793261</v>
      </c>
      <c r="D51" s="80">
        <v>97.447353648543157</v>
      </c>
      <c r="E51" s="83">
        <v>106.80605752157328</v>
      </c>
      <c r="F51" s="22" t="s">
        <v>240</v>
      </c>
      <c r="G51" s="23">
        <v>23.503580255732174</v>
      </c>
      <c r="H51" s="24">
        <v>9.6038563620552679</v>
      </c>
    </row>
    <row r="52" spans="1:8" x14ac:dyDescent="0.2">
      <c r="A52" s="34"/>
      <c r="B52" s="25" t="s">
        <v>240</v>
      </c>
      <c r="C52" s="82" t="s">
        <v>240</v>
      </c>
      <c r="D52" s="82" t="s">
        <v>240</v>
      </c>
      <c r="E52" s="82" t="s">
        <v>240</v>
      </c>
      <c r="F52" s="27"/>
      <c r="G52" s="38" t="s">
        <v>240</v>
      </c>
      <c r="H52" s="24" t="s">
        <v>240</v>
      </c>
    </row>
    <row r="53" spans="1:8" x14ac:dyDescent="0.2">
      <c r="A53" s="30" t="s">
        <v>24</v>
      </c>
      <c r="B53" s="31" t="s">
        <v>3</v>
      </c>
      <c r="C53" s="80">
        <v>91.216895726546625</v>
      </c>
      <c r="D53" s="80">
        <v>144.99121133280181</v>
      </c>
      <c r="E53" s="83">
        <v>218.27275856969845</v>
      </c>
      <c r="F53" s="22" t="s">
        <v>240</v>
      </c>
      <c r="G53" s="37">
        <v>139.28983422549766</v>
      </c>
      <c r="H53" s="33">
        <v>50.542061524468352</v>
      </c>
    </row>
    <row r="54" spans="1:8" ht="13.5" thickBot="1" x14ac:dyDescent="0.25">
      <c r="A54" s="41"/>
      <c r="B54" s="42" t="s">
        <v>240</v>
      </c>
      <c r="C54" s="86" t="s">
        <v>240</v>
      </c>
      <c r="D54" s="86" t="s">
        <v>240</v>
      </c>
      <c r="E54" s="86" t="s">
        <v>240</v>
      </c>
      <c r="F54" s="44"/>
      <c r="G54" s="45" t="s">
        <v>240</v>
      </c>
      <c r="H54" s="46" t="s">
        <v>240</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H61" s="196">
        <v>14</v>
      </c>
    </row>
    <row r="62" spans="1:8" ht="12.75" customHeight="1" x14ac:dyDescent="0.2">
      <c r="A62" s="54" t="s">
        <v>242</v>
      </c>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x14ac:dyDescent="0.2">
      <c r="A7" s="201" t="s">
        <v>44</v>
      </c>
      <c r="B7" s="19" t="s">
        <v>3</v>
      </c>
      <c r="C7" s="20">
        <v>110745.20394415667</v>
      </c>
      <c r="D7" s="20">
        <v>110274.26144282252</v>
      </c>
      <c r="E7" s="21">
        <v>131240.07753884792</v>
      </c>
      <c r="F7" s="22" t="s">
        <v>240</v>
      </c>
      <c r="G7" s="23">
        <v>18.506330626313911</v>
      </c>
      <c r="H7" s="24">
        <v>19.012429393504689</v>
      </c>
    </row>
    <row r="8" spans="1:8" x14ac:dyDescent="0.2">
      <c r="A8" s="202"/>
      <c r="B8" s="25" t="s">
        <v>240</v>
      </c>
      <c r="C8" s="26" t="s">
        <v>240</v>
      </c>
      <c r="D8" s="26" t="s">
        <v>240</v>
      </c>
      <c r="E8" s="26" t="s">
        <v>240</v>
      </c>
      <c r="F8" s="27"/>
      <c r="G8" s="28" t="s">
        <v>240</v>
      </c>
      <c r="H8" s="29" t="s">
        <v>240</v>
      </c>
    </row>
    <row r="9" spans="1:8" x14ac:dyDescent="0.2">
      <c r="A9" s="30" t="s">
        <v>18</v>
      </c>
      <c r="B9" s="31" t="s">
        <v>3</v>
      </c>
      <c r="C9" s="20">
        <v>11306.750091580174</v>
      </c>
      <c r="D9" s="20">
        <v>11102.819455970435</v>
      </c>
      <c r="E9" s="21">
        <v>12441.674886956522</v>
      </c>
      <c r="F9" s="22" t="s">
        <v>240</v>
      </c>
      <c r="G9" s="32">
        <v>10.03758627531262</v>
      </c>
      <c r="H9" s="33">
        <v>12.058697669501697</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49166.166971933912</v>
      </c>
      <c r="D11" s="20">
        <v>49201.064853234784</v>
      </c>
      <c r="E11" s="21">
        <v>57286.582956521743</v>
      </c>
      <c r="F11" s="22" t="s">
        <v>240</v>
      </c>
      <c r="G11" s="37">
        <v>16.516268167138804</v>
      </c>
      <c r="H11" s="33">
        <v>16.43362420591059</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4341.9366533018638</v>
      </c>
      <c r="D13" s="20">
        <v>3289.2213586832299</v>
      </c>
      <c r="E13" s="21">
        <v>3283.7537888198758</v>
      </c>
      <c r="F13" s="22" t="s">
        <v>240</v>
      </c>
      <c r="G13" s="23">
        <v>-24.371218398068606</v>
      </c>
      <c r="H13" s="24">
        <v>-0.16622687460423435</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2942.60652387971</v>
      </c>
      <c r="D15" s="20">
        <v>2811.5645629492756</v>
      </c>
      <c r="E15" s="21">
        <v>3121.8865217391303</v>
      </c>
      <c r="F15" s="22" t="s">
        <v>240</v>
      </c>
      <c r="G15" s="37">
        <v>6.0925576153160677</v>
      </c>
      <c r="H15" s="33">
        <v>11.037340663603089</v>
      </c>
    </row>
    <row r="16" spans="1:8" x14ac:dyDescent="0.2">
      <c r="A16" s="34"/>
      <c r="B16" s="25" t="s">
        <v>240</v>
      </c>
      <c r="C16" s="26" t="s">
        <v>240</v>
      </c>
      <c r="D16" s="26" t="s">
        <v>240</v>
      </c>
      <c r="E16" s="26" t="s">
        <v>240</v>
      </c>
      <c r="F16" s="27"/>
      <c r="G16" s="28" t="s">
        <v>240</v>
      </c>
      <c r="H16" s="29" t="s">
        <v>240</v>
      </c>
    </row>
    <row r="17" spans="1:8" x14ac:dyDescent="0.2">
      <c r="A17" s="30" t="s">
        <v>22</v>
      </c>
      <c r="B17" s="31" t="s">
        <v>3</v>
      </c>
      <c r="C17" s="20">
        <v>587.60652387971015</v>
      </c>
      <c r="D17" s="20">
        <v>492.56456294927534</v>
      </c>
      <c r="E17" s="21">
        <v>548.88652173913044</v>
      </c>
      <c r="F17" s="22" t="s">
        <v>240</v>
      </c>
      <c r="G17" s="37">
        <v>-6.589443882434864</v>
      </c>
      <c r="H17" s="33">
        <v>11.434431752991372</v>
      </c>
    </row>
    <row r="18" spans="1:8" x14ac:dyDescent="0.2">
      <c r="A18" s="34"/>
      <c r="B18" s="25" t="s">
        <v>240</v>
      </c>
      <c r="C18" s="26" t="s">
        <v>240</v>
      </c>
      <c r="D18" s="26" t="s">
        <v>240</v>
      </c>
      <c r="E18" s="26" t="s">
        <v>240</v>
      </c>
      <c r="F18" s="27"/>
      <c r="G18" s="28" t="s">
        <v>240</v>
      </c>
      <c r="H18" s="29" t="s">
        <v>240</v>
      </c>
    </row>
    <row r="19" spans="1:8" x14ac:dyDescent="0.2">
      <c r="A19" s="30" t="s">
        <v>190</v>
      </c>
      <c r="B19" s="31" t="s">
        <v>3</v>
      </c>
      <c r="C19" s="20">
        <v>30023.341633254659</v>
      </c>
      <c r="D19" s="20">
        <v>29414.553396708074</v>
      </c>
      <c r="E19" s="21">
        <v>38441.884472049693</v>
      </c>
      <c r="F19" s="22" t="s">
        <v>240</v>
      </c>
      <c r="G19" s="23">
        <v>28.039992821686553</v>
      </c>
      <c r="H19" s="24">
        <v>30.690015767337513</v>
      </c>
    </row>
    <row r="20" spans="1:8" x14ac:dyDescent="0.2">
      <c r="A20" s="30"/>
      <c r="B20" s="25" t="s">
        <v>240</v>
      </c>
      <c r="C20" s="26" t="s">
        <v>240</v>
      </c>
      <c r="D20" s="26" t="s">
        <v>240</v>
      </c>
      <c r="E20" s="26" t="s">
        <v>240</v>
      </c>
      <c r="F20" s="27"/>
      <c r="G20" s="38" t="s">
        <v>240</v>
      </c>
      <c r="H20" s="24" t="s">
        <v>240</v>
      </c>
    </row>
    <row r="21" spans="1:8" x14ac:dyDescent="0.2">
      <c r="A21" s="39" t="s">
        <v>12</v>
      </c>
      <c r="B21" s="31" t="s">
        <v>3</v>
      </c>
      <c r="C21" s="20">
        <v>423.76391432782611</v>
      </c>
      <c r="D21" s="20">
        <v>397.33873776956523</v>
      </c>
      <c r="E21" s="21">
        <v>407.13191304347828</v>
      </c>
      <c r="F21" s="22" t="s">
        <v>240</v>
      </c>
      <c r="G21" s="37">
        <v>-3.9248271790035574</v>
      </c>
      <c r="H21" s="33">
        <v>2.4646917964471271</v>
      </c>
    </row>
    <row r="22" spans="1:8" x14ac:dyDescent="0.2">
      <c r="A22" s="34"/>
      <c r="B22" s="25" t="s">
        <v>240</v>
      </c>
      <c r="C22" s="26" t="s">
        <v>240</v>
      </c>
      <c r="D22" s="26" t="s">
        <v>240</v>
      </c>
      <c r="E22" s="26" t="s">
        <v>240</v>
      </c>
      <c r="F22" s="27"/>
      <c r="G22" s="28" t="s">
        <v>240</v>
      </c>
      <c r="H22" s="29" t="s">
        <v>240</v>
      </c>
    </row>
    <row r="23" spans="1:8" x14ac:dyDescent="0.2">
      <c r="A23" s="39" t="s">
        <v>23</v>
      </c>
      <c r="B23" s="31" t="s">
        <v>3</v>
      </c>
      <c r="C23" s="20">
        <v>6162.60652387971</v>
      </c>
      <c r="D23" s="20">
        <v>6183.5645629492756</v>
      </c>
      <c r="E23" s="21">
        <v>6115.8865217391303</v>
      </c>
      <c r="F23" s="22" t="s">
        <v>240</v>
      </c>
      <c r="G23" s="23">
        <v>-0.75812080423344241</v>
      </c>
      <c r="H23" s="24">
        <v>-1.0944826486596213</v>
      </c>
    </row>
    <row r="24" spans="1:8" x14ac:dyDescent="0.2">
      <c r="A24" s="34"/>
      <c r="B24" s="25" t="s">
        <v>240</v>
      </c>
      <c r="C24" s="26" t="s">
        <v>240</v>
      </c>
      <c r="D24" s="26" t="s">
        <v>240</v>
      </c>
      <c r="E24" s="26" t="s">
        <v>240</v>
      </c>
      <c r="F24" s="27"/>
      <c r="G24" s="28" t="s">
        <v>240</v>
      </c>
      <c r="H24" s="29" t="s">
        <v>240</v>
      </c>
    </row>
    <row r="25" spans="1:8" x14ac:dyDescent="0.2">
      <c r="A25" s="30" t="s">
        <v>24</v>
      </c>
      <c r="B25" s="31" t="s">
        <v>3</v>
      </c>
      <c r="C25" s="20">
        <v>10837.21304775942</v>
      </c>
      <c r="D25" s="20">
        <v>11500.129125898551</v>
      </c>
      <c r="E25" s="21">
        <v>16278.773043478261</v>
      </c>
      <c r="F25" s="22" t="s">
        <v>240</v>
      </c>
      <c r="G25" s="23">
        <v>50.211802349349199</v>
      </c>
      <c r="H25" s="24">
        <v>41.552958799550311</v>
      </c>
    </row>
    <row r="26" spans="1:8" ht="13.5" thickBot="1" x14ac:dyDescent="0.25">
      <c r="A26" s="41"/>
      <c r="B26" s="42" t="s">
        <v>240</v>
      </c>
      <c r="C26" s="43" t="s">
        <v>240</v>
      </c>
      <c r="D26" s="43" t="s">
        <v>240</v>
      </c>
      <c r="E26" s="43" t="s">
        <v>240</v>
      </c>
      <c r="F26" s="44"/>
      <c r="G26" s="45" t="s">
        <v>240</v>
      </c>
      <c r="H26" s="46" t="s">
        <v>240</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5" t="s">
        <v>16</v>
      </c>
      <c r="D33" s="199"/>
      <c r="E33" s="199"/>
      <c r="F33" s="206"/>
      <c r="G33" s="199" t="s">
        <v>1</v>
      </c>
      <c r="H33" s="200"/>
    </row>
    <row r="34" spans="1:8" x14ac:dyDescent="0.2">
      <c r="A34" s="12"/>
      <c r="B34" s="13"/>
      <c r="C34" s="14" t="s">
        <v>235</v>
      </c>
      <c r="D34" s="15" t="s">
        <v>236</v>
      </c>
      <c r="E34" s="15" t="s">
        <v>237</v>
      </c>
      <c r="F34" s="16"/>
      <c r="G34" s="17" t="s">
        <v>238</v>
      </c>
      <c r="H34" s="18" t="s">
        <v>239</v>
      </c>
    </row>
    <row r="35" spans="1:8" ht="12.75" customHeight="1" x14ac:dyDescent="0.2">
      <c r="A35" s="201" t="s">
        <v>44</v>
      </c>
      <c r="B35" s="19" t="s">
        <v>3</v>
      </c>
      <c r="C35" s="80">
        <v>5043.105605320553</v>
      </c>
      <c r="D35" s="80">
        <v>4897.4303161549869</v>
      </c>
      <c r="E35" s="83">
        <v>6095.8649068941486</v>
      </c>
      <c r="F35" s="22" t="s">
        <v>240</v>
      </c>
      <c r="G35" s="23">
        <v>20.875218247718607</v>
      </c>
      <c r="H35" s="24">
        <v>24.470681834633282</v>
      </c>
    </row>
    <row r="36" spans="1:8" ht="12.75" customHeight="1" x14ac:dyDescent="0.2">
      <c r="A36" s="202"/>
      <c r="B36" s="25" t="s">
        <v>240</v>
      </c>
      <c r="C36" s="82" t="s">
        <v>240</v>
      </c>
      <c r="D36" s="82" t="s">
        <v>240</v>
      </c>
      <c r="E36" s="82" t="s">
        <v>240</v>
      </c>
      <c r="F36" s="27"/>
      <c r="G36" s="28" t="s">
        <v>240</v>
      </c>
      <c r="H36" s="29" t="s">
        <v>240</v>
      </c>
    </row>
    <row r="37" spans="1:8" x14ac:dyDescent="0.2">
      <c r="A37" s="30" t="s">
        <v>18</v>
      </c>
      <c r="B37" s="31" t="s">
        <v>3</v>
      </c>
      <c r="C37" s="80">
        <v>1839.5446309693216</v>
      </c>
      <c r="D37" s="80">
        <v>1802.8785468535361</v>
      </c>
      <c r="E37" s="83">
        <v>2186.698779628864</v>
      </c>
      <c r="F37" s="22" t="s">
        <v>240</v>
      </c>
      <c r="G37" s="32">
        <v>18.871743735655627</v>
      </c>
      <c r="H37" s="33">
        <v>21.289300571310704</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2283.203971587533</v>
      </c>
      <c r="D39" s="80">
        <v>2124.904571399853</v>
      </c>
      <c r="E39" s="83">
        <v>2512.5893999063696</v>
      </c>
      <c r="F39" s="22" t="s">
        <v>240</v>
      </c>
      <c r="G39" s="37">
        <v>10.046646343179873</v>
      </c>
      <c r="H39" s="33">
        <v>18.244811259976544</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76.574071103785201</v>
      </c>
      <c r="D41" s="80">
        <v>57.244954894481033</v>
      </c>
      <c r="E41" s="83">
        <v>59.356368311101782</v>
      </c>
      <c r="F41" s="22" t="s">
        <v>240</v>
      </c>
      <c r="G41" s="23">
        <v>-22.485029912210479</v>
      </c>
      <c r="H41" s="24">
        <v>3.6883834051624262</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21.809884699488475</v>
      </c>
      <c r="D43" s="80">
        <v>25.130934273230864</v>
      </c>
      <c r="E43" s="83">
        <v>28.451073242228507</v>
      </c>
      <c r="F43" s="22" t="s">
        <v>240</v>
      </c>
      <c r="G43" s="37">
        <v>30.450360624308075</v>
      </c>
      <c r="H43" s="33">
        <v>13.211363067127252</v>
      </c>
    </row>
    <row r="44" spans="1:8" x14ac:dyDescent="0.2">
      <c r="A44" s="34"/>
      <c r="B44" s="25" t="s">
        <v>240</v>
      </c>
      <c r="C44" s="82" t="s">
        <v>240</v>
      </c>
      <c r="D44" s="82" t="s">
        <v>240</v>
      </c>
      <c r="E44" s="82" t="s">
        <v>240</v>
      </c>
      <c r="F44" s="27"/>
      <c r="G44" s="28" t="s">
        <v>240</v>
      </c>
      <c r="H44" s="29" t="s">
        <v>240</v>
      </c>
    </row>
    <row r="45" spans="1:8" x14ac:dyDescent="0.2">
      <c r="A45" s="30" t="s">
        <v>22</v>
      </c>
      <c r="B45" s="31" t="s">
        <v>3</v>
      </c>
      <c r="C45" s="80">
        <v>3.8347147190128132</v>
      </c>
      <c r="D45" s="80">
        <v>3.1847164883244869</v>
      </c>
      <c r="E45" s="83">
        <v>3.8473118467760594</v>
      </c>
      <c r="F45" s="22" t="s">
        <v>240</v>
      </c>
      <c r="G45" s="37">
        <v>0.32850234466697259</v>
      </c>
      <c r="H45" s="33">
        <v>20.805473921484634</v>
      </c>
    </row>
    <row r="46" spans="1:8" x14ac:dyDescent="0.2">
      <c r="A46" s="34"/>
      <c r="B46" s="25" t="s">
        <v>240</v>
      </c>
      <c r="C46" s="82" t="s">
        <v>240</v>
      </c>
      <c r="D46" s="82" t="s">
        <v>240</v>
      </c>
      <c r="E46" s="82" t="s">
        <v>240</v>
      </c>
      <c r="F46" s="27"/>
      <c r="G46" s="28" t="s">
        <v>240</v>
      </c>
      <c r="H46" s="29" t="s">
        <v>240</v>
      </c>
    </row>
    <row r="47" spans="1:8" x14ac:dyDescent="0.2">
      <c r="A47" s="30" t="s">
        <v>190</v>
      </c>
      <c r="B47" s="31" t="s">
        <v>3</v>
      </c>
      <c r="C47" s="80">
        <v>406.92351700300395</v>
      </c>
      <c r="D47" s="80">
        <v>412.25535556975365</v>
      </c>
      <c r="E47" s="83">
        <v>672.11403952948137</v>
      </c>
      <c r="F47" s="22" t="s">
        <v>240</v>
      </c>
      <c r="G47" s="23">
        <v>65.169623146779145</v>
      </c>
      <c r="H47" s="24">
        <v>63.033428298485632</v>
      </c>
    </row>
    <row r="48" spans="1:8" x14ac:dyDescent="0.2">
      <c r="A48" s="30"/>
      <c r="B48" s="25" t="s">
        <v>240</v>
      </c>
      <c r="C48" s="82" t="s">
        <v>240</v>
      </c>
      <c r="D48" s="82" t="s">
        <v>240</v>
      </c>
      <c r="E48" s="82" t="s">
        <v>240</v>
      </c>
      <c r="F48" s="27"/>
      <c r="G48" s="38" t="s">
        <v>240</v>
      </c>
      <c r="H48" s="24" t="s">
        <v>240</v>
      </c>
    </row>
    <row r="49" spans="1:8" x14ac:dyDescent="0.2">
      <c r="A49" s="39" t="s">
        <v>12</v>
      </c>
      <c r="B49" s="31" t="s">
        <v>3</v>
      </c>
      <c r="C49" s="80">
        <v>5.5450821440304168</v>
      </c>
      <c r="D49" s="80">
        <v>7.0997260827995685</v>
      </c>
      <c r="E49" s="83">
        <v>6.6752799770858964</v>
      </c>
      <c r="F49" s="22" t="s">
        <v>240</v>
      </c>
      <c r="G49" s="37">
        <v>20.381985400742877</v>
      </c>
      <c r="H49" s="33">
        <v>-5.978344808850764</v>
      </c>
    </row>
    <row r="50" spans="1:8" x14ac:dyDescent="0.2">
      <c r="A50" s="34"/>
      <c r="B50" s="25" t="s">
        <v>240</v>
      </c>
      <c r="C50" s="82" t="s">
        <v>240</v>
      </c>
      <c r="D50" s="82" t="s">
        <v>240</v>
      </c>
      <c r="E50" s="82" t="s">
        <v>240</v>
      </c>
      <c r="F50" s="27"/>
      <c r="G50" s="28" t="s">
        <v>240</v>
      </c>
      <c r="H50" s="29" t="s">
        <v>240</v>
      </c>
    </row>
    <row r="51" spans="1:8" x14ac:dyDescent="0.2">
      <c r="A51" s="39" t="s">
        <v>23</v>
      </c>
      <c r="B51" s="31" t="s">
        <v>3</v>
      </c>
      <c r="C51" s="80">
        <v>145.16809172915103</v>
      </c>
      <c r="D51" s="80">
        <v>157.79113540605209</v>
      </c>
      <c r="E51" s="83">
        <v>160.89232808708007</v>
      </c>
      <c r="F51" s="22" t="s">
        <v>240</v>
      </c>
      <c r="G51" s="23">
        <v>10.831744201244106</v>
      </c>
      <c r="H51" s="24">
        <v>1.9653782660524826</v>
      </c>
    </row>
    <row r="52" spans="1:8" x14ac:dyDescent="0.2">
      <c r="A52" s="34"/>
      <c r="B52" s="25" t="s">
        <v>240</v>
      </c>
      <c r="C52" s="82" t="s">
        <v>240</v>
      </c>
      <c r="D52" s="82" t="s">
        <v>240</v>
      </c>
      <c r="E52" s="82" t="s">
        <v>240</v>
      </c>
      <c r="F52" s="27"/>
      <c r="G52" s="28" t="s">
        <v>240</v>
      </c>
      <c r="H52" s="29" t="s">
        <v>240</v>
      </c>
    </row>
    <row r="53" spans="1:8" x14ac:dyDescent="0.2">
      <c r="A53" s="30" t="s">
        <v>24</v>
      </c>
      <c r="B53" s="31" t="s">
        <v>3</v>
      </c>
      <c r="C53" s="80">
        <v>260.50164136522602</v>
      </c>
      <c r="D53" s="80">
        <v>306.94037518695728</v>
      </c>
      <c r="E53" s="83">
        <v>465.24032636516074</v>
      </c>
      <c r="F53" s="22" t="s">
        <v>240</v>
      </c>
      <c r="G53" s="23">
        <v>78.594009591244372</v>
      </c>
      <c r="H53" s="24">
        <v>51.573518499084059</v>
      </c>
    </row>
    <row r="54" spans="1:8" ht="13.5" thickBot="1" x14ac:dyDescent="0.25">
      <c r="A54" s="41"/>
      <c r="B54" s="42" t="s">
        <v>240</v>
      </c>
      <c r="C54" s="86" t="s">
        <v>240</v>
      </c>
      <c r="D54" s="86" t="s">
        <v>240</v>
      </c>
      <c r="E54" s="86" t="s">
        <v>240</v>
      </c>
      <c r="F54" s="44"/>
      <c r="G54" s="45" t="s">
        <v>240</v>
      </c>
      <c r="H54" s="46" t="s">
        <v>240</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G61" s="53"/>
      <c r="H61" s="204">
        <v>15</v>
      </c>
    </row>
    <row r="62" spans="1:8" ht="12.75" customHeight="1" x14ac:dyDescent="0.2">
      <c r="A62" s="54" t="s">
        <v>242</v>
      </c>
      <c r="G62" s="53"/>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151</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ht="12.75" customHeight="1" x14ac:dyDescent="0.2">
      <c r="A7" s="201" t="s">
        <v>45</v>
      </c>
      <c r="B7" s="19" t="s">
        <v>3</v>
      </c>
      <c r="C7" s="20">
        <v>14653.806941662742</v>
      </c>
      <c r="D7" s="20">
        <v>14731.573261968293</v>
      </c>
      <c r="E7" s="21">
        <v>18804.167529953433</v>
      </c>
      <c r="F7" s="22" t="s">
        <v>240</v>
      </c>
      <c r="G7" s="23">
        <v>28.322746470001988</v>
      </c>
      <c r="H7" s="24">
        <v>27.645345107159301</v>
      </c>
    </row>
    <row r="8" spans="1:8" ht="12.75" customHeight="1" x14ac:dyDescent="0.2">
      <c r="A8" s="202"/>
      <c r="B8" s="25" t="s">
        <v>240</v>
      </c>
      <c r="C8" s="26" t="s">
        <v>240</v>
      </c>
      <c r="D8" s="26" t="s">
        <v>240</v>
      </c>
      <c r="E8" s="26" t="s">
        <v>240</v>
      </c>
      <c r="F8" s="27"/>
      <c r="G8" s="28" t="s">
        <v>240</v>
      </c>
      <c r="H8" s="29" t="s">
        <v>240</v>
      </c>
    </row>
    <row r="9" spans="1:8" x14ac:dyDescent="0.2">
      <c r="A9" s="30" t="s">
        <v>18</v>
      </c>
      <c r="B9" s="31" t="s">
        <v>3</v>
      </c>
      <c r="C9" s="20">
        <v>1689.5725934003478</v>
      </c>
      <c r="D9" s="20">
        <v>1820.9106131151304</v>
      </c>
      <c r="E9" s="21">
        <v>2280.1434434782609</v>
      </c>
      <c r="F9" s="22" t="s">
        <v>240</v>
      </c>
      <c r="G9" s="32">
        <v>34.953860661847045</v>
      </c>
      <c r="H9" s="33">
        <v>25.219954623554869</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4269.9086446678266</v>
      </c>
      <c r="D11" s="20">
        <v>4173.0353770504353</v>
      </c>
      <c r="E11" s="21">
        <v>5926.81147826087</v>
      </c>
      <c r="F11" s="22" t="s">
        <v>240</v>
      </c>
      <c r="G11" s="37">
        <v>38.80417525237101</v>
      </c>
      <c r="H11" s="33">
        <v>42.026389492293987</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1531.6707831751553</v>
      </c>
      <c r="D13" s="20">
        <v>1459.2073224049691</v>
      </c>
      <c r="E13" s="21">
        <v>1351.5768944099377</v>
      </c>
      <c r="F13" s="22" t="s">
        <v>240</v>
      </c>
      <c r="G13" s="23">
        <v>-11.758002486140185</v>
      </c>
      <c r="H13" s="24">
        <v>-7.3759517473940548</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343.65397842608695</v>
      </c>
      <c r="D15" s="20">
        <v>347.81046903478261</v>
      </c>
      <c r="E15" s="21">
        <v>407.91826086956524</v>
      </c>
      <c r="F15" s="22" t="s">
        <v>240</v>
      </c>
      <c r="G15" s="37">
        <v>18.700287637525562</v>
      </c>
      <c r="H15" s="33">
        <v>17.281766130153954</v>
      </c>
    </row>
    <row r="16" spans="1:8" x14ac:dyDescent="0.2">
      <c r="A16" s="34"/>
      <c r="B16" s="25" t="s">
        <v>240</v>
      </c>
      <c r="C16" s="26" t="s">
        <v>240</v>
      </c>
      <c r="D16" s="26" t="s">
        <v>240</v>
      </c>
      <c r="E16" s="26" t="s">
        <v>240</v>
      </c>
      <c r="F16" s="27"/>
      <c r="G16" s="28" t="s">
        <v>240</v>
      </c>
      <c r="H16" s="29" t="s">
        <v>240</v>
      </c>
    </row>
    <row r="17" spans="1:8" x14ac:dyDescent="0.2">
      <c r="A17" s="30" t="s">
        <v>22</v>
      </c>
      <c r="B17" s="31" t="s">
        <v>3</v>
      </c>
      <c r="C17" s="20">
        <v>291.65397842608695</v>
      </c>
      <c r="D17" s="20">
        <v>317.81046903478261</v>
      </c>
      <c r="E17" s="21">
        <v>440.91826086956524</v>
      </c>
      <c r="F17" s="22" t="s">
        <v>240</v>
      </c>
      <c r="G17" s="37">
        <v>51.178551806145151</v>
      </c>
      <c r="H17" s="33">
        <v>38.736229240235986</v>
      </c>
    </row>
    <row r="18" spans="1:8" x14ac:dyDescent="0.2">
      <c r="A18" s="34"/>
      <c r="B18" s="25" t="s">
        <v>240</v>
      </c>
      <c r="C18" s="26" t="s">
        <v>240</v>
      </c>
      <c r="D18" s="26" t="s">
        <v>240</v>
      </c>
      <c r="E18" s="26" t="s">
        <v>240</v>
      </c>
      <c r="F18" s="27"/>
      <c r="G18" s="28" t="s">
        <v>240</v>
      </c>
      <c r="H18" s="29" t="s">
        <v>240</v>
      </c>
    </row>
    <row r="19" spans="1:8" x14ac:dyDescent="0.2">
      <c r="A19" s="30" t="s">
        <v>190</v>
      </c>
      <c r="B19" s="31" t="s">
        <v>3</v>
      </c>
      <c r="C19" s="20">
        <v>3726.1769579378883</v>
      </c>
      <c r="D19" s="20">
        <v>3838.5183060124223</v>
      </c>
      <c r="E19" s="21">
        <v>5296.4422360248445</v>
      </c>
      <c r="F19" s="22" t="s">
        <v>240</v>
      </c>
      <c r="G19" s="23">
        <v>42.141457472700381</v>
      </c>
      <c r="H19" s="24">
        <v>37.981424439967327</v>
      </c>
    </row>
    <row r="20" spans="1:8" x14ac:dyDescent="0.2">
      <c r="A20" s="30"/>
      <c r="B20" s="25" t="s">
        <v>240</v>
      </c>
      <c r="C20" s="26" t="s">
        <v>240</v>
      </c>
      <c r="D20" s="26" t="s">
        <v>240</v>
      </c>
      <c r="E20" s="26" t="s">
        <v>240</v>
      </c>
      <c r="F20" s="27"/>
      <c r="G20" s="38" t="s">
        <v>240</v>
      </c>
      <c r="H20" s="24" t="s">
        <v>240</v>
      </c>
    </row>
    <row r="21" spans="1:8" x14ac:dyDescent="0.2">
      <c r="A21" s="39" t="s">
        <v>12</v>
      </c>
      <c r="B21" s="31" t="s">
        <v>3</v>
      </c>
      <c r="C21" s="20">
        <v>44.992387055652173</v>
      </c>
      <c r="D21" s="20">
        <v>52.086281420869568</v>
      </c>
      <c r="E21" s="21">
        <v>41.150956521739133</v>
      </c>
      <c r="F21" s="22" t="s">
        <v>240</v>
      </c>
      <c r="G21" s="37">
        <v>-8.5379567195700901</v>
      </c>
      <c r="H21" s="33">
        <v>-20.994635441087468</v>
      </c>
    </row>
    <row r="22" spans="1:8" x14ac:dyDescent="0.2">
      <c r="A22" s="34"/>
      <c r="B22" s="25" t="s">
        <v>240</v>
      </c>
      <c r="C22" s="26" t="s">
        <v>240</v>
      </c>
      <c r="D22" s="26" t="s">
        <v>240</v>
      </c>
      <c r="E22" s="26" t="s">
        <v>240</v>
      </c>
      <c r="F22" s="27"/>
      <c r="G22" s="28" t="s">
        <v>240</v>
      </c>
      <c r="H22" s="29" t="s">
        <v>240</v>
      </c>
    </row>
    <row r="23" spans="1:8" x14ac:dyDescent="0.2">
      <c r="A23" s="39" t="s">
        <v>23</v>
      </c>
      <c r="B23" s="31" t="s">
        <v>3</v>
      </c>
      <c r="C23" s="20">
        <v>1891.653978426087</v>
      </c>
      <c r="D23" s="20">
        <v>1810.8104690347827</v>
      </c>
      <c r="E23" s="21">
        <v>1788.9182608695653</v>
      </c>
      <c r="F23" s="22" t="s">
        <v>240</v>
      </c>
      <c r="G23" s="23">
        <v>-5.4309994707383566</v>
      </c>
      <c r="H23" s="24">
        <v>-1.2089729179049158</v>
      </c>
    </row>
    <row r="24" spans="1:8" x14ac:dyDescent="0.2">
      <c r="A24" s="34"/>
      <c r="B24" s="25" t="s">
        <v>240</v>
      </c>
      <c r="C24" s="26" t="s">
        <v>240</v>
      </c>
      <c r="D24" s="26" t="s">
        <v>240</v>
      </c>
      <c r="E24" s="26" t="s">
        <v>240</v>
      </c>
      <c r="F24" s="27"/>
      <c r="G24" s="28" t="s">
        <v>240</v>
      </c>
      <c r="H24" s="29" t="s">
        <v>240</v>
      </c>
    </row>
    <row r="25" spans="1:8" x14ac:dyDescent="0.2">
      <c r="A25" s="30" t="s">
        <v>24</v>
      </c>
      <c r="B25" s="31" t="s">
        <v>3</v>
      </c>
      <c r="C25" s="20">
        <v>1332.3079568521739</v>
      </c>
      <c r="D25" s="20">
        <v>1313.6209380695652</v>
      </c>
      <c r="E25" s="21">
        <v>2072.8365217391301</v>
      </c>
      <c r="F25" s="22" t="s">
        <v>240</v>
      </c>
      <c r="G25" s="23">
        <v>55.582387020835114</v>
      </c>
      <c r="H25" s="24">
        <v>57.795636600104132</v>
      </c>
    </row>
    <row r="26" spans="1:8" ht="13.5" thickBot="1" x14ac:dyDescent="0.25">
      <c r="A26" s="41"/>
      <c r="B26" s="42" t="s">
        <v>240</v>
      </c>
      <c r="C26" s="43" t="s">
        <v>240</v>
      </c>
      <c r="D26" s="43" t="s">
        <v>240</v>
      </c>
      <c r="E26" s="43" t="s">
        <v>240</v>
      </c>
      <c r="F26" s="44"/>
      <c r="G26" s="45" t="s">
        <v>240</v>
      </c>
      <c r="H26" s="46" t="s">
        <v>240</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5" t="s">
        <v>16</v>
      </c>
      <c r="D33" s="199"/>
      <c r="E33" s="199"/>
      <c r="F33" s="206"/>
      <c r="G33" s="199" t="s">
        <v>1</v>
      </c>
      <c r="H33" s="200"/>
    </row>
    <row r="34" spans="1:8" x14ac:dyDescent="0.2">
      <c r="A34" s="12"/>
      <c r="B34" s="13"/>
      <c r="C34" s="14" t="s">
        <v>235</v>
      </c>
      <c r="D34" s="15" t="s">
        <v>236</v>
      </c>
      <c r="E34" s="15" t="s">
        <v>237</v>
      </c>
      <c r="F34" s="16"/>
      <c r="G34" s="17" t="s">
        <v>238</v>
      </c>
      <c r="H34" s="18" t="s">
        <v>239</v>
      </c>
    </row>
    <row r="35" spans="1:8" ht="12.75" customHeight="1" x14ac:dyDescent="0.2">
      <c r="A35" s="201" t="s">
        <v>45</v>
      </c>
      <c r="B35" s="19" t="s">
        <v>3</v>
      </c>
      <c r="C35" s="80">
        <v>746.15060483315483</v>
      </c>
      <c r="D35" s="80">
        <v>686.74772083152152</v>
      </c>
      <c r="E35" s="83">
        <v>905.70526492151987</v>
      </c>
      <c r="F35" s="22" t="s">
        <v>240</v>
      </c>
      <c r="G35" s="23">
        <v>21.38370713028408</v>
      </c>
      <c r="H35" s="24">
        <v>31.883257482803486</v>
      </c>
    </row>
    <row r="36" spans="1:8" ht="12.75" customHeight="1" x14ac:dyDescent="0.2">
      <c r="A36" s="202"/>
      <c r="B36" s="25" t="s">
        <v>240</v>
      </c>
      <c r="C36" s="82" t="s">
        <v>240</v>
      </c>
      <c r="D36" s="82" t="s">
        <v>240</v>
      </c>
      <c r="E36" s="82" t="s">
        <v>240</v>
      </c>
      <c r="F36" s="27"/>
      <c r="G36" s="28" t="s">
        <v>240</v>
      </c>
      <c r="H36" s="29" t="s">
        <v>240</v>
      </c>
    </row>
    <row r="37" spans="1:8" x14ac:dyDescent="0.2">
      <c r="A37" s="30" t="s">
        <v>18</v>
      </c>
      <c r="B37" s="31" t="s">
        <v>3</v>
      </c>
      <c r="C37" s="80">
        <v>305.17532433738324</v>
      </c>
      <c r="D37" s="80">
        <v>286.64897173246362</v>
      </c>
      <c r="E37" s="83">
        <v>346.7178085211678</v>
      </c>
      <c r="F37" s="22" t="s">
        <v>240</v>
      </c>
      <c r="G37" s="32">
        <v>13.612661598372782</v>
      </c>
      <c r="H37" s="33">
        <v>20.955538903787826</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224.48284302260393</v>
      </c>
      <c r="D39" s="80">
        <v>192.21336694659254</v>
      </c>
      <c r="E39" s="83">
        <v>273.01741210104234</v>
      </c>
      <c r="F39" s="22" t="s">
        <v>240</v>
      </c>
      <c r="G39" s="37">
        <v>21.620614041114621</v>
      </c>
      <c r="H39" s="33">
        <v>42.038723132560079</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45.466021824158545</v>
      </c>
      <c r="D41" s="80">
        <v>41.102573676525459</v>
      </c>
      <c r="E41" s="83">
        <v>40.027541686244525</v>
      </c>
      <c r="F41" s="22" t="s">
        <v>240</v>
      </c>
      <c r="G41" s="23">
        <v>-11.961636227923208</v>
      </c>
      <c r="H41" s="24">
        <v>-2.6154858300148476</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7.1380364309406072</v>
      </c>
      <c r="D43" s="80">
        <v>7.0947170836556257</v>
      </c>
      <c r="E43" s="83">
        <v>7.6017906677448961</v>
      </c>
      <c r="F43" s="22" t="s">
        <v>240</v>
      </c>
      <c r="G43" s="37">
        <v>6.4969441006786468</v>
      </c>
      <c r="H43" s="33">
        <v>7.1471995022526613</v>
      </c>
    </row>
    <row r="44" spans="1:8" x14ac:dyDescent="0.2">
      <c r="A44" s="34"/>
      <c r="B44" s="25" t="s">
        <v>240</v>
      </c>
      <c r="C44" s="82" t="s">
        <v>240</v>
      </c>
      <c r="D44" s="82" t="s">
        <v>240</v>
      </c>
      <c r="E44" s="82" t="s">
        <v>240</v>
      </c>
      <c r="F44" s="27"/>
      <c r="G44" s="28" t="s">
        <v>240</v>
      </c>
      <c r="H44" s="29" t="s">
        <v>240</v>
      </c>
    </row>
    <row r="45" spans="1:8" x14ac:dyDescent="0.2">
      <c r="A45" s="30" t="s">
        <v>22</v>
      </c>
      <c r="B45" s="31" t="s">
        <v>3</v>
      </c>
      <c r="C45" s="80">
        <v>1.8862829292449925</v>
      </c>
      <c r="D45" s="80">
        <v>1.5883499493006206</v>
      </c>
      <c r="E45" s="83">
        <v>2.4576141366135205</v>
      </c>
      <c r="F45" s="22" t="s">
        <v>240</v>
      </c>
      <c r="G45" s="37">
        <v>30.288733387266035</v>
      </c>
      <c r="H45" s="33">
        <v>54.727498036289347</v>
      </c>
    </row>
    <row r="46" spans="1:8" x14ac:dyDescent="0.2">
      <c r="A46" s="34"/>
      <c r="B46" s="25" t="s">
        <v>240</v>
      </c>
      <c r="C46" s="82" t="s">
        <v>240</v>
      </c>
      <c r="D46" s="82" t="s">
        <v>240</v>
      </c>
      <c r="E46" s="82" t="s">
        <v>240</v>
      </c>
      <c r="F46" s="27"/>
      <c r="G46" s="28" t="s">
        <v>240</v>
      </c>
      <c r="H46" s="29" t="s">
        <v>240</v>
      </c>
    </row>
    <row r="47" spans="1:8" x14ac:dyDescent="0.2">
      <c r="A47" s="30" t="s">
        <v>190</v>
      </c>
      <c r="B47" s="31" t="s">
        <v>3</v>
      </c>
      <c r="C47" s="80">
        <v>87.990470317510926</v>
      </c>
      <c r="D47" s="80">
        <v>79.981695300758318</v>
      </c>
      <c r="E47" s="83">
        <v>137.95243215799471</v>
      </c>
      <c r="F47" s="22" t="s">
        <v>240</v>
      </c>
      <c r="G47" s="23">
        <v>56.781105567679731</v>
      </c>
      <c r="H47" s="24">
        <v>72.480005130232286</v>
      </c>
    </row>
    <row r="48" spans="1:8" x14ac:dyDescent="0.2">
      <c r="A48" s="30"/>
      <c r="B48" s="25" t="s">
        <v>240</v>
      </c>
      <c r="C48" s="82" t="s">
        <v>240</v>
      </c>
      <c r="D48" s="82" t="s">
        <v>240</v>
      </c>
      <c r="E48" s="82" t="s">
        <v>240</v>
      </c>
      <c r="F48" s="27"/>
      <c r="G48" s="38" t="s">
        <v>240</v>
      </c>
      <c r="H48" s="24" t="s">
        <v>240</v>
      </c>
    </row>
    <row r="49" spans="1:8" x14ac:dyDescent="0.2">
      <c r="A49" s="39" t="s">
        <v>12</v>
      </c>
      <c r="B49" s="31" t="s">
        <v>3</v>
      </c>
      <c r="C49" s="80">
        <v>0.39939310444106824</v>
      </c>
      <c r="D49" s="80">
        <v>2.5641033850159589</v>
      </c>
      <c r="E49" s="83">
        <v>1.5168175094124985</v>
      </c>
      <c r="F49" s="22" t="s">
        <v>240</v>
      </c>
      <c r="G49" s="37">
        <v>279.78059524468074</v>
      </c>
      <c r="H49" s="33">
        <v>-40.844136072030579</v>
      </c>
    </row>
    <row r="50" spans="1:8" x14ac:dyDescent="0.2">
      <c r="A50" s="34"/>
      <c r="B50" s="25" t="s">
        <v>240</v>
      </c>
      <c r="C50" s="82" t="s">
        <v>240</v>
      </c>
      <c r="D50" s="82" t="s">
        <v>240</v>
      </c>
      <c r="E50" s="82" t="s">
        <v>240</v>
      </c>
      <c r="F50" s="27"/>
      <c r="G50" s="28" t="s">
        <v>240</v>
      </c>
      <c r="H50" s="29" t="s">
        <v>240</v>
      </c>
    </row>
    <row r="51" spans="1:8" x14ac:dyDescent="0.2">
      <c r="A51" s="39" t="s">
        <v>23</v>
      </c>
      <c r="B51" s="31" t="s">
        <v>3</v>
      </c>
      <c r="C51" s="80">
        <v>49.36409703985823</v>
      </c>
      <c r="D51" s="80">
        <v>47.18650386094248</v>
      </c>
      <c r="E51" s="83">
        <v>48.143002876129216</v>
      </c>
      <c r="F51" s="22" t="s">
        <v>240</v>
      </c>
      <c r="G51" s="23">
        <v>-2.4736483334093151</v>
      </c>
      <c r="H51" s="24">
        <v>2.027060572246512</v>
      </c>
    </row>
    <row r="52" spans="1:8" x14ac:dyDescent="0.2">
      <c r="A52" s="34"/>
      <c r="B52" s="25" t="s">
        <v>240</v>
      </c>
      <c r="C52" s="82" t="s">
        <v>240</v>
      </c>
      <c r="D52" s="82" t="s">
        <v>240</v>
      </c>
      <c r="E52" s="82" t="s">
        <v>240</v>
      </c>
      <c r="F52" s="27"/>
      <c r="G52" s="28" t="s">
        <v>240</v>
      </c>
      <c r="H52" s="29" t="s">
        <v>240</v>
      </c>
    </row>
    <row r="53" spans="1:8" x14ac:dyDescent="0.2">
      <c r="A53" s="30" t="s">
        <v>24</v>
      </c>
      <c r="B53" s="31" t="s">
        <v>3</v>
      </c>
      <c r="C53" s="80">
        <v>24.248135827013254</v>
      </c>
      <c r="D53" s="80">
        <v>28.367438896267036</v>
      </c>
      <c r="E53" s="83">
        <v>48.270845265170522</v>
      </c>
      <c r="F53" s="22" t="s">
        <v>240</v>
      </c>
      <c r="G53" s="23">
        <v>99.070335177664049</v>
      </c>
      <c r="H53" s="24">
        <v>70.162859755106894</v>
      </c>
    </row>
    <row r="54" spans="1:8" ht="13.5" thickBot="1" x14ac:dyDescent="0.25">
      <c r="A54" s="41"/>
      <c r="B54" s="42" t="s">
        <v>240</v>
      </c>
      <c r="C54" s="86" t="s">
        <v>240</v>
      </c>
      <c r="D54" s="86" t="s">
        <v>240</v>
      </c>
      <c r="E54" s="86" t="s">
        <v>240</v>
      </c>
      <c r="F54" s="44"/>
      <c r="G54" s="45" t="s">
        <v>240</v>
      </c>
      <c r="H54" s="46" t="s">
        <v>240</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H61" s="196">
        <v>16</v>
      </c>
    </row>
    <row r="62" spans="1:8" ht="12.75" customHeight="1" x14ac:dyDescent="0.2">
      <c r="A62" s="54" t="s">
        <v>242</v>
      </c>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164</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x14ac:dyDescent="0.2">
      <c r="A7" s="201" t="s">
        <v>166</v>
      </c>
      <c r="B7" s="19" t="s">
        <v>3</v>
      </c>
      <c r="C7" s="20">
        <v>40113.59909590699</v>
      </c>
      <c r="D7" s="20">
        <v>39410.456254180601</v>
      </c>
      <c r="E7" s="79">
        <v>47206.096671444495</v>
      </c>
      <c r="F7" s="22" t="s">
        <v>240</v>
      </c>
      <c r="G7" s="23">
        <v>17.681030212672184</v>
      </c>
      <c r="H7" s="24">
        <v>19.780639856045681</v>
      </c>
    </row>
    <row r="8" spans="1:8" x14ac:dyDescent="0.2">
      <c r="A8" s="202"/>
      <c r="B8" s="25" t="s">
        <v>240</v>
      </c>
      <c r="C8" s="26" t="s">
        <v>240</v>
      </c>
      <c r="D8" s="26" t="s">
        <v>240</v>
      </c>
      <c r="E8" s="26" t="s">
        <v>240</v>
      </c>
      <c r="F8" s="27"/>
      <c r="G8" s="28" t="s">
        <v>240</v>
      </c>
      <c r="H8" s="29" t="s">
        <v>240</v>
      </c>
    </row>
    <row r="9" spans="1:8" x14ac:dyDescent="0.2">
      <c r="A9" s="30" t="s">
        <v>18</v>
      </c>
      <c r="B9" s="31" t="s">
        <v>3</v>
      </c>
      <c r="C9" s="20">
        <v>4773.6505913072469</v>
      </c>
      <c r="D9" s="20">
        <v>4635.9603435869567</v>
      </c>
      <c r="E9" s="36">
        <v>5019.7944202898552</v>
      </c>
      <c r="F9" s="22" t="s">
        <v>240</v>
      </c>
      <c r="G9" s="32">
        <v>5.1563017500868824</v>
      </c>
      <c r="H9" s="33">
        <v>8.279494392868699</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18400.492844278262</v>
      </c>
      <c r="D11" s="20">
        <v>19048.779306284585</v>
      </c>
      <c r="E11" s="36">
        <v>20752.509011857706</v>
      </c>
      <c r="F11" s="22" t="s">
        <v>240</v>
      </c>
      <c r="G11" s="37">
        <v>12.782354187381543</v>
      </c>
      <c r="H11" s="33">
        <v>8.9440361409984064</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2924.9903547843478</v>
      </c>
      <c r="D13" s="20">
        <v>2691.7762061521739</v>
      </c>
      <c r="E13" s="36">
        <v>2919.2766521739131</v>
      </c>
      <c r="F13" s="22" t="s">
        <v>240</v>
      </c>
      <c r="G13" s="23">
        <v>-0.19534090432431128</v>
      </c>
      <c r="H13" s="24">
        <v>8.4516850064198223</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1181.9903547843478</v>
      </c>
      <c r="D15" s="20">
        <v>1241.7762061521739</v>
      </c>
      <c r="E15" s="36">
        <v>1228.2766521739131</v>
      </c>
      <c r="F15" s="22" t="s">
        <v>240</v>
      </c>
      <c r="G15" s="37">
        <v>3.9159623597783195</v>
      </c>
      <c r="H15" s="33">
        <v>-1.0871164958210215</v>
      </c>
    </row>
    <row r="16" spans="1:8" x14ac:dyDescent="0.2">
      <c r="A16" s="34"/>
      <c r="B16" s="25" t="s">
        <v>240</v>
      </c>
      <c r="C16" s="26" t="s">
        <v>240</v>
      </c>
      <c r="D16" s="26" t="s">
        <v>240</v>
      </c>
      <c r="E16" s="26" t="s">
        <v>240</v>
      </c>
      <c r="F16" s="27"/>
      <c r="G16" s="28" t="s">
        <v>240</v>
      </c>
      <c r="H16" s="29" t="s">
        <v>240</v>
      </c>
    </row>
    <row r="17" spans="1:8" x14ac:dyDescent="0.2">
      <c r="A17" s="30" t="s">
        <v>190</v>
      </c>
      <c r="B17" s="31" t="s">
        <v>3</v>
      </c>
      <c r="C17" s="20">
        <v>7974.650591307246</v>
      </c>
      <c r="D17" s="20">
        <v>7349.9603435869567</v>
      </c>
      <c r="E17" s="36">
        <v>9937.7944202898543</v>
      </c>
      <c r="F17" s="22" t="s">
        <v>240</v>
      </c>
      <c r="G17" s="37">
        <v>24.617302118822977</v>
      </c>
      <c r="H17" s="33">
        <v>35.208816860635892</v>
      </c>
    </row>
    <row r="18" spans="1:8" x14ac:dyDescent="0.2">
      <c r="A18" s="34"/>
      <c r="B18" s="25" t="s">
        <v>240</v>
      </c>
      <c r="C18" s="26" t="s">
        <v>240</v>
      </c>
      <c r="D18" s="26" t="s">
        <v>240</v>
      </c>
      <c r="E18" s="26" t="s">
        <v>240</v>
      </c>
      <c r="F18" s="27"/>
      <c r="G18" s="28" t="s">
        <v>240</v>
      </c>
      <c r="H18" s="29" t="s">
        <v>240</v>
      </c>
    </row>
    <row r="19" spans="1:8" x14ac:dyDescent="0.2">
      <c r="A19" s="39" t="s">
        <v>12</v>
      </c>
      <c r="B19" s="31" t="s">
        <v>3</v>
      </c>
      <c r="C19" s="20">
        <v>495.9903547843478</v>
      </c>
      <c r="D19" s="20">
        <v>424.77620615217393</v>
      </c>
      <c r="E19" s="36">
        <v>522.27665217391302</v>
      </c>
      <c r="F19" s="22" t="s">
        <v>240</v>
      </c>
      <c r="G19" s="37">
        <v>5.2997597908923666</v>
      </c>
      <c r="H19" s="33">
        <v>22.953368058193462</v>
      </c>
    </row>
    <row r="20" spans="1:8" x14ac:dyDescent="0.2">
      <c r="A20" s="34"/>
      <c r="B20" s="25" t="s">
        <v>240</v>
      </c>
      <c r="C20" s="26" t="s">
        <v>240</v>
      </c>
      <c r="D20" s="26" t="s">
        <v>240</v>
      </c>
      <c r="E20" s="26" t="s">
        <v>240</v>
      </c>
      <c r="F20" s="27"/>
      <c r="G20" s="28" t="s">
        <v>240</v>
      </c>
      <c r="H20" s="29" t="s">
        <v>240</v>
      </c>
    </row>
    <row r="21" spans="1:8" x14ac:dyDescent="0.2">
      <c r="A21" s="39" t="s">
        <v>23</v>
      </c>
      <c r="B21" s="31" t="s">
        <v>3</v>
      </c>
      <c r="C21" s="20">
        <v>580.66023652289857</v>
      </c>
      <c r="D21" s="20">
        <v>599.18413743478254</v>
      </c>
      <c r="E21" s="36">
        <v>670.51776811594209</v>
      </c>
      <c r="F21" s="22" t="s">
        <v>240</v>
      </c>
      <c r="G21" s="23">
        <v>15.475061996861911</v>
      </c>
      <c r="H21" s="24">
        <v>11.905126692197143</v>
      </c>
    </row>
    <row r="22" spans="1:8" x14ac:dyDescent="0.2">
      <c r="A22" s="34"/>
      <c r="B22" s="25" t="s">
        <v>240</v>
      </c>
      <c r="C22" s="26" t="s">
        <v>240</v>
      </c>
      <c r="D22" s="26" t="s">
        <v>240</v>
      </c>
      <c r="E22" s="26" t="s">
        <v>240</v>
      </c>
      <c r="F22" s="27"/>
      <c r="G22" s="38" t="s">
        <v>240</v>
      </c>
      <c r="H22" s="24" t="s">
        <v>240</v>
      </c>
    </row>
    <row r="23" spans="1:8" x14ac:dyDescent="0.2">
      <c r="A23" s="30" t="s">
        <v>24</v>
      </c>
      <c r="B23" s="31" t="s">
        <v>3</v>
      </c>
      <c r="C23" s="20">
        <v>5128.9971064353049</v>
      </c>
      <c r="D23" s="20">
        <v>4643.2328618456522</v>
      </c>
      <c r="E23" s="36">
        <v>7490.382995652174</v>
      </c>
      <c r="F23" s="22" t="s">
        <v>240</v>
      </c>
      <c r="G23" s="37">
        <v>46.039914630758147</v>
      </c>
      <c r="H23" s="33">
        <v>61.318271525904038</v>
      </c>
    </row>
    <row r="24" spans="1:8" ht="13.5" thickBot="1" x14ac:dyDescent="0.25">
      <c r="A24" s="41"/>
      <c r="B24" s="42" t="s">
        <v>240</v>
      </c>
      <c r="C24" s="43" t="s">
        <v>240</v>
      </c>
      <c r="D24" s="43" t="s">
        <v>240</v>
      </c>
      <c r="E24" s="43" t="s">
        <v>240</v>
      </c>
      <c r="F24" s="44"/>
      <c r="G24" s="45" t="s">
        <v>240</v>
      </c>
      <c r="H24" s="46" t="s">
        <v>240</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165</v>
      </c>
      <c r="B32" s="5"/>
      <c r="C32" s="5"/>
      <c r="D32" s="5"/>
      <c r="E32" s="5"/>
      <c r="F32" s="5"/>
      <c r="G32" s="5"/>
      <c r="H32" s="6"/>
    </row>
    <row r="33" spans="1:8" x14ac:dyDescent="0.2">
      <c r="A33" s="7"/>
      <c r="B33" s="8"/>
      <c r="C33" s="205" t="s">
        <v>16</v>
      </c>
      <c r="D33" s="199"/>
      <c r="E33" s="199"/>
      <c r="F33" s="206"/>
      <c r="G33" s="199" t="s">
        <v>1</v>
      </c>
      <c r="H33" s="200"/>
    </row>
    <row r="34" spans="1:8" x14ac:dyDescent="0.2">
      <c r="A34" s="12"/>
      <c r="B34" s="13"/>
      <c r="C34" s="14" t="s">
        <v>235</v>
      </c>
      <c r="D34" s="15" t="s">
        <v>236</v>
      </c>
      <c r="E34" s="15" t="s">
        <v>237</v>
      </c>
      <c r="F34" s="16"/>
      <c r="G34" s="17" t="s">
        <v>238</v>
      </c>
      <c r="H34" s="18" t="s">
        <v>239</v>
      </c>
    </row>
    <row r="35" spans="1:8" ht="12.75" customHeight="1" x14ac:dyDescent="0.2">
      <c r="A35" s="201" t="s">
        <v>166</v>
      </c>
      <c r="B35" s="19" t="s">
        <v>3</v>
      </c>
      <c r="C35" s="80">
        <v>5391.9695681264966</v>
      </c>
      <c r="D35" s="80">
        <v>5239.1371201696174</v>
      </c>
      <c r="E35" s="81">
        <v>6748.7843414238087</v>
      </c>
      <c r="F35" s="22" t="s">
        <v>240</v>
      </c>
      <c r="G35" s="23">
        <v>25.163620754053213</v>
      </c>
      <c r="H35" s="24">
        <v>28.814806458154237</v>
      </c>
    </row>
    <row r="36" spans="1:8" ht="12.75" customHeight="1" x14ac:dyDescent="0.2">
      <c r="A36" s="202"/>
      <c r="B36" s="25" t="s">
        <v>240</v>
      </c>
      <c r="C36" s="82" t="s">
        <v>240</v>
      </c>
      <c r="D36" s="82" t="s">
        <v>240</v>
      </c>
      <c r="E36" s="82" t="s">
        <v>240</v>
      </c>
      <c r="F36" s="27"/>
      <c r="G36" s="28" t="s">
        <v>240</v>
      </c>
      <c r="H36" s="29" t="s">
        <v>240</v>
      </c>
    </row>
    <row r="37" spans="1:8" x14ac:dyDescent="0.2">
      <c r="A37" s="30" t="s">
        <v>18</v>
      </c>
      <c r="B37" s="31" t="s">
        <v>3</v>
      </c>
      <c r="C37" s="80">
        <v>2389.4177069664856</v>
      </c>
      <c r="D37" s="80">
        <v>2587.0096344177177</v>
      </c>
      <c r="E37" s="83">
        <v>2971.2041967401633</v>
      </c>
      <c r="F37" s="22" t="s">
        <v>240</v>
      </c>
      <c r="G37" s="32">
        <v>24.348463145537309</v>
      </c>
      <c r="H37" s="33">
        <v>14.850913472106939</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1446.6180713895128</v>
      </c>
      <c r="D39" s="80">
        <v>1378.9831204329901</v>
      </c>
      <c r="E39" s="83">
        <v>1607.8663875149666</v>
      </c>
      <c r="F39" s="22" t="s">
        <v>240</v>
      </c>
      <c r="G39" s="37">
        <v>11.146571393966525</v>
      </c>
      <c r="H39" s="33">
        <v>16.597974528514101</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154.99175119268938</v>
      </c>
      <c r="D41" s="80">
        <v>148.14294571007323</v>
      </c>
      <c r="E41" s="83">
        <v>142.96204945125857</v>
      </c>
      <c r="F41" s="22" t="s">
        <v>240</v>
      </c>
      <c r="G41" s="23">
        <v>-7.7615109506538857</v>
      </c>
      <c r="H41" s="24">
        <v>-3.4972277849490467</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24.551870165105537</v>
      </c>
      <c r="D43" s="80">
        <v>15.958275898992815</v>
      </c>
      <c r="E43" s="83">
        <v>18.466083758181643</v>
      </c>
      <c r="F43" s="22" t="s">
        <v>240</v>
      </c>
      <c r="G43" s="37">
        <v>-24.787465744965317</v>
      </c>
      <c r="H43" s="33">
        <v>15.714779435208939</v>
      </c>
    </row>
    <row r="44" spans="1:8" x14ac:dyDescent="0.2">
      <c r="A44" s="34"/>
      <c r="B44" s="25" t="s">
        <v>240</v>
      </c>
      <c r="C44" s="82" t="s">
        <v>240</v>
      </c>
      <c r="D44" s="82" t="s">
        <v>240</v>
      </c>
      <c r="E44" s="82" t="s">
        <v>240</v>
      </c>
      <c r="F44" s="27"/>
      <c r="G44" s="28" t="s">
        <v>240</v>
      </c>
      <c r="H44" s="29" t="s">
        <v>240</v>
      </c>
    </row>
    <row r="45" spans="1:8" x14ac:dyDescent="0.2">
      <c r="A45" s="30" t="s">
        <v>190</v>
      </c>
      <c r="B45" s="31" t="s">
        <v>3</v>
      </c>
      <c r="C45" s="80">
        <v>509.62744555787526</v>
      </c>
      <c r="D45" s="80">
        <v>544.93154468208661</v>
      </c>
      <c r="E45" s="83">
        <v>1108.5333109400963</v>
      </c>
      <c r="F45" s="22" t="s">
        <v>240</v>
      </c>
      <c r="G45" s="37">
        <v>117.51836966445461</v>
      </c>
      <c r="H45" s="33">
        <v>103.42615907596527</v>
      </c>
    </row>
    <row r="46" spans="1:8" x14ac:dyDescent="0.2">
      <c r="A46" s="34"/>
      <c r="B46" s="25" t="s">
        <v>240</v>
      </c>
      <c r="C46" s="82" t="s">
        <v>240</v>
      </c>
      <c r="D46" s="82" t="s">
        <v>240</v>
      </c>
      <c r="E46" s="82" t="s">
        <v>240</v>
      </c>
      <c r="F46" s="27"/>
      <c r="G46" s="28" t="s">
        <v>240</v>
      </c>
      <c r="H46" s="29" t="s">
        <v>240</v>
      </c>
    </row>
    <row r="47" spans="1:8" x14ac:dyDescent="0.2">
      <c r="A47" s="39" t="s">
        <v>12</v>
      </c>
      <c r="B47" s="31" t="s">
        <v>3</v>
      </c>
      <c r="C47" s="80">
        <v>13.515949714858685</v>
      </c>
      <c r="D47" s="80">
        <v>28.212716235554961</v>
      </c>
      <c r="E47" s="83">
        <v>22.158456164608786</v>
      </c>
      <c r="F47" s="22" t="s">
        <v>240</v>
      </c>
      <c r="G47" s="37">
        <v>63.943020150844518</v>
      </c>
      <c r="H47" s="33">
        <v>-21.459330680525952</v>
      </c>
    </row>
    <row r="48" spans="1:8" x14ac:dyDescent="0.2">
      <c r="A48" s="34"/>
      <c r="B48" s="25" t="s">
        <v>240</v>
      </c>
      <c r="C48" s="82" t="s">
        <v>240</v>
      </c>
      <c r="D48" s="82" t="s">
        <v>240</v>
      </c>
      <c r="E48" s="82" t="s">
        <v>240</v>
      </c>
      <c r="F48" s="27"/>
      <c r="G48" s="28" t="s">
        <v>240</v>
      </c>
      <c r="H48" s="29" t="s">
        <v>240</v>
      </c>
    </row>
    <row r="49" spans="1:8" x14ac:dyDescent="0.2">
      <c r="A49" s="39" t="s">
        <v>23</v>
      </c>
      <c r="B49" s="31" t="s">
        <v>3</v>
      </c>
      <c r="C49" s="80">
        <v>18.271812063814714</v>
      </c>
      <c r="D49" s="80">
        <v>25.122719309237432</v>
      </c>
      <c r="E49" s="83">
        <v>35.592461416346296</v>
      </c>
      <c r="F49" s="22" t="s">
        <v>240</v>
      </c>
      <c r="G49" s="23">
        <v>94.794371198865349</v>
      </c>
      <c r="H49" s="24">
        <v>41.67439829357653</v>
      </c>
    </row>
    <row r="50" spans="1:8" x14ac:dyDescent="0.2">
      <c r="A50" s="34"/>
      <c r="B50" s="25" t="s">
        <v>240</v>
      </c>
      <c r="C50" s="82" t="s">
        <v>240</v>
      </c>
      <c r="D50" s="82" t="s">
        <v>240</v>
      </c>
      <c r="E50" s="82" t="s">
        <v>240</v>
      </c>
      <c r="F50" s="27"/>
      <c r="G50" s="38" t="s">
        <v>240</v>
      </c>
      <c r="H50" s="24" t="s">
        <v>240</v>
      </c>
    </row>
    <row r="51" spans="1:8" x14ac:dyDescent="0.2">
      <c r="A51" s="30" t="s">
        <v>24</v>
      </c>
      <c r="B51" s="31" t="s">
        <v>3</v>
      </c>
      <c r="C51" s="80">
        <v>834.97496107615495</v>
      </c>
      <c r="D51" s="80">
        <v>510.77616348296397</v>
      </c>
      <c r="E51" s="83">
        <v>842.00139543818693</v>
      </c>
      <c r="F51" s="22" t="s">
        <v>240</v>
      </c>
      <c r="G51" s="37">
        <v>0.84151437942234963</v>
      </c>
      <c r="H51" s="33">
        <v>64.847433305542353</v>
      </c>
    </row>
    <row r="52" spans="1:8" ht="13.5" thickBot="1" x14ac:dyDescent="0.25">
      <c r="A52" s="41"/>
      <c r="B52" s="42" t="s">
        <v>240</v>
      </c>
      <c r="C52" s="86" t="s">
        <v>240</v>
      </c>
      <c r="D52" s="86" t="s">
        <v>240</v>
      </c>
      <c r="E52" s="86" t="s">
        <v>240</v>
      </c>
      <c r="F52" s="44"/>
      <c r="G52" s="45" t="s">
        <v>240</v>
      </c>
      <c r="H52" s="46" t="s">
        <v>240</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G61" s="53"/>
      <c r="H61" s="204">
        <v>17</v>
      </c>
    </row>
    <row r="62" spans="1:8" ht="12.75" customHeight="1" x14ac:dyDescent="0.2">
      <c r="A62" s="54" t="s">
        <v>242</v>
      </c>
      <c r="G62" s="53"/>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199" t="s">
        <v>1</v>
      </c>
      <c r="H5" s="200"/>
    </row>
    <row r="6" spans="1:9" x14ac:dyDescent="0.2">
      <c r="A6" s="12"/>
      <c r="B6" s="13"/>
      <c r="C6" s="14" t="s">
        <v>235</v>
      </c>
      <c r="D6" s="15" t="s">
        <v>236</v>
      </c>
      <c r="E6" s="15" t="s">
        <v>237</v>
      </c>
      <c r="F6" s="16"/>
      <c r="G6" s="17" t="s">
        <v>238</v>
      </c>
      <c r="H6" s="18" t="s">
        <v>239</v>
      </c>
    </row>
    <row r="7" spans="1:9" x14ac:dyDescent="0.2">
      <c r="A7" s="201" t="s">
        <v>58</v>
      </c>
      <c r="B7" s="19" t="s">
        <v>3</v>
      </c>
      <c r="C7" s="20">
        <v>9463</v>
      </c>
      <c r="D7" s="20">
        <v>10163.02716734694</v>
      </c>
      <c r="E7" s="79">
        <v>10868.335804081633</v>
      </c>
      <c r="F7" s="22" t="s">
        <v>240</v>
      </c>
      <c r="G7" s="23">
        <v>14.850848611239911</v>
      </c>
      <c r="H7" s="24">
        <v>6.9399463872417613</v>
      </c>
    </row>
    <row r="8" spans="1:9" x14ac:dyDescent="0.2">
      <c r="A8" s="202"/>
      <c r="B8" s="25" t="s">
        <v>240</v>
      </c>
      <c r="C8" s="26" t="s">
        <v>240</v>
      </c>
      <c r="D8" s="26" t="s">
        <v>240</v>
      </c>
      <c r="E8" s="26" t="s">
        <v>240</v>
      </c>
      <c r="F8" s="27"/>
      <c r="G8" s="28" t="s">
        <v>240</v>
      </c>
      <c r="H8" s="29" t="s">
        <v>240</v>
      </c>
    </row>
    <row r="9" spans="1:9" x14ac:dyDescent="0.2">
      <c r="A9" s="30" t="s">
        <v>9</v>
      </c>
      <c r="B9" s="31" t="s">
        <v>3</v>
      </c>
      <c r="C9" s="20">
        <v>8892</v>
      </c>
      <c r="D9" s="20">
        <v>9762.3385142857151</v>
      </c>
      <c r="E9" s="21">
        <v>10478.467885714286</v>
      </c>
      <c r="F9" s="22" t="s">
        <v>240</v>
      </c>
      <c r="G9" s="32">
        <v>17.841519182571815</v>
      </c>
      <c r="H9" s="33">
        <v>7.3356334691797827</v>
      </c>
    </row>
    <row r="10" spans="1:9" x14ac:dyDescent="0.2">
      <c r="A10" s="34"/>
      <c r="B10" s="25" t="s">
        <v>240</v>
      </c>
      <c r="C10" s="26" t="s">
        <v>240</v>
      </c>
      <c r="D10" s="26" t="s">
        <v>240</v>
      </c>
      <c r="E10" s="26" t="s">
        <v>240</v>
      </c>
      <c r="F10" s="27"/>
      <c r="G10" s="35" t="s">
        <v>240</v>
      </c>
      <c r="H10" s="29" t="s">
        <v>240</v>
      </c>
    </row>
    <row r="11" spans="1:9" x14ac:dyDescent="0.2">
      <c r="A11" s="30" t="s">
        <v>46</v>
      </c>
      <c r="B11" s="31" t="s">
        <v>3</v>
      </c>
      <c r="C11" s="20">
        <v>536</v>
      </c>
      <c r="D11" s="20">
        <v>400.6886530612245</v>
      </c>
      <c r="E11" s="21">
        <v>392.86791836734693</v>
      </c>
      <c r="F11" s="22" t="s">
        <v>240</v>
      </c>
      <c r="G11" s="37">
        <v>-26.703746573256169</v>
      </c>
      <c r="H11" s="33">
        <v>-1.9518233506558857</v>
      </c>
    </row>
    <row r="12" spans="1:9" ht="13.5" thickBot="1" x14ac:dyDescent="0.25">
      <c r="A12" s="56"/>
      <c r="B12" s="42" t="s">
        <v>240</v>
      </c>
      <c r="C12" s="43" t="s">
        <v>240</v>
      </c>
      <c r="D12" s="43" t="s">
        <v>240</v>
      </c>
      <c r="E12" s="43" t="s">
        <v>240</v>
      </c>
      <c r="F12" s="44"/>
      <c r="G12" s="57" t="s">
        <v>240</v>
      </c>
      <c r="H12" s="46" t="s">
        <v>240</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5" t="s">
        <v>16</v>
      </c>
      <c r="D33" s="199"/>
      <c r="E33" s="199"/>
      <c r="F33" s="206"/>
      <c r="G33" s="199" t="s">
        <v>1</v>
      </c>
      <c r="H33" s="200"/>
    </row>
    <row r="34" spans="1:9" x14ac:dyDescent="0.2">
      <c r="A34" s="12"/>
      <c r="B34" s="13"/>
      <c r="C34" s="14" t="s">
        <v>235</v>
      </c>
      <c r="D34" s="15" t="s">
        <v>236</v>
      </c>
      <c r="E34" s="15" t="s">
        <v>237</v>
      </c>
      <c r="F34" s="16"/>
      <c r="G34" s="17" t="s">
        <v>238</v>
      </c>
      <c r="H34" s="18" t="s">
        <v>239</v>
      </c>
    </row>
    <row r="35" spans="1:9" ht="12.75" customHeight="1" x14ac:dyDescent="0.2">
      <c r="A35" s="201" t="s">
        <v>58</v>
      </c>
      <c r="B35" s="19" t="s">
        <v>3</v>
      </c>
      <c r="C35" s="80">
        <v>1966.9772293059964</v>
      </c>
      <c r="D35" s="80">
        <v>1881.4521582849889</v>
      </c>
      <c r="E35" s="81">
        <v>1876.3099251303952</v>
      </c>
      <c r="F35" s="22" t="s">
        <v>240</v>
      </c>
      <c r="G35" s="23">
        <v>-4.6094740104129812</v>
      </c>
      <c r="H35" s="24">
        <v>-0.27331192727648101</v>
      </c>
    </row>
    <row r="36" spans="1:9" ht="12.75" customHeight="1" x14ac:dyDescent="0.2">
      <c r="A36" s="202"/>
      <c r="B36" s="25" t="s">
        <v>240</v>
      </c>
      <c r="C36" s="82" t="s">
        <v>240</v>
      </c>
      <c r="D36" s="82" t="s">
        <v>240</v>
      </c>
      <c r="E36" s="82" t="s">
        <v>240</v>
      </c>
      <c r="F36" s="27"/>
      <c r="G36" s="28" t="s">
        <v>240</v>
      </c>
      <c r="H36" s="29" t="s">
        <v>240</v>
      </c>
    </row>
    <row r="37" spans="1:9" x14ac:dyDescent="0.2">
      <c r="A37" s="30" t="s">
        <v>9</v>
      </c>
      <c r="B37" s="31" t="s">
        <v>3</v>
      </c>
      <c r="C37" s="80">
        <v>1431.049438327829</v>
      </c>
      <c r="D37" s="80">
        <v>1384.7574451491394</v>
      </c>
      <c r="E37" s="83">
        <v>1426.8212853098755</v>
      </c>
      <c r="F37" s="22" t="s">
        <v>240</v>
      </c>
      <c r="G37" s="32">
        <v>-0.29545820743230422</v>
      </c>
      <c r="H37" s="33">
        <v>3.0376323527335103</v>
      </c>
    </row>
    <row r="38" spans="1:9" x14ac:dyDescent="0.2">
      <c r="A38" s="34"/>
      <c r="B38" s="25" t="s">
        <v>240</v>
      </c>
      <c r="C38" s="82" t="s">
        <v>240</v>
      </c>
      <c r="D38" s="82" t="s">
        <v>240</v>
      </c>
      <c r="E38" s="82" t="s">
        <v>240</v>
      </c>
      <c r="F38" s="27"/>
      <c r="G38" s="35" t="s">
        <v>240</v>
      </c>
      <c r="H38" s="29" t="s">
        <v>240</v>
      </c>
    </row>
    <row r="39" spans="1:9" x14ac:dyDescent="0.2">
      <c r="A39" s="30" t="s">
        <v>46</v>
      </c>
      <c r="B39" s="31" t="s">
        <v>3</v>
      </c>
      <c r="C39" s="80">
        <v>535.92779097816708</v>
      </c>
      <c r="D39" s="80">
        <v>496.6947131358499</v>
      </c>
      <c r="E39" s="83">
        <v>449.48863982051921</v>
      </c>
      <c r="F39" s="22" t="s">
        <v>240</v>
      </c>
      <c r="G39" s="37">
        <v>-16.128880161239721</v>
      </c>
      <c r="H39" s="33">
        <v>-9.504041832315508</v>
      </c>
    </row>
    <row r="40" spans="1:9" ht="13.5" thickBot="1" x14ac:dyDescent="0.25">
      <c r="A40" s="56"/>
      <c r="B40" s="42" t="s">
        <v>240</v>
      </c>
      <c r="C40" s="86" t="s">
        <v>240</v>
      </c>
      <c r="D40" s="86" t="s">
        <v>240</v>
      </c>
      <c r="E40" s="86" t="s">
        <v>240</v>
      </c>
      <c r="F40" s="44"/>
      <c r="G40" s="57" t="s">
        <v>240</v>
      </c>
      <c r="H40" s="46" t="s">
        <v>240</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H61" s="196">
        <v>18</v>
      </c>
    </row>
    <row r="62" spans="1:9" ht="12.75" customHeight="1" x14ac:dyDescent="0.2">
      <c r="A62" s="54" t="s">
        <v>242</v>
      </c>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199" t="s">
        <v>1</v>
      </c>
      <c r="H5" s="200"/>
    </row>
    <row r="6" spans="1:9" x14ac:dyDescent="0.2">
      <c r="A6" s="12"/>
      <c r="B6" s="13"/>
      <c r="C6" s="14" t="s">
        <v>235</v>
      </c>
      <c r="D6" s="15" t="s">
        <v>236</v>
      </c>
      <c r="E6" s="15" t="s">
        <v>237</v>
      </c>
      <c r="F6" s="16"/>
      <c r="G6" s="17" t="s">
        <v>238</v>
      </c>
      <c r="H6" s="18" t="s">
        <v>239</v>
      </c>
    </row>
    <row r="7" spans="1:9" x14ac:dyDescent="0.2">
      <c r="A7" s="201" t="s">
        <v>57</v>
      </c>
      <c r="B7" s="19" t="s">
        <v>3</v>
      </c>
      <c r="C7" s="20">
        <v>4979</v>
      </c>
      <c r="D7" s="20">
        <v>4569</v>
      </c>
      <c r="E7" s="79">
        <v>4531</v>
      </c>
      <c r="F7" s="22" t="s">
        <v>240</v>
      </c>
      <c r="G7" s="23">
        <v>-8.9977907210283234</v>
      </c>
      <c r="H7" s="24">
        <v>-0.83169183628803012</v>
      </c>
    </row>
    <row r="8" spans="1:9" x14ac:dyDescent="0.2">
      <c r="A8" s="202"/>
      <c r="B8" s="25" t="s">
        <v>240</v>
      </c>
      <c r="C8" s="26" t="s">
        <v>240</v>
      </c>
      <c r="D8" s="26" t="s">
        <v>240</v>
      </c>
      <c r="E8" s="26" t="s">
        <v>240</v>
      </c>
      <c r="F8" s="27"/>
      <c r="G8" s="28" t="s">
        <v>240</v>
      </c>
      <c r="H8" s="29" t="s">
        <v>240</v>
      </c>
    </row>
    <row r="9" spans="1:9" x14ac:dyDescent="0.2">
      <c r="A9" s="30" t="s">
        <v>9</v>
      </c>
      <c r="B9" s="31" t="s">
        <v>3</v>
      </c>
      <c r="C9" s="20">
        <v>1520</v>
      </c>
      <c r="D9" s="20">
        <v>1831</v>
      </c>
      <c r="E9" s="21">
        <v>1807</v>
      </c>
      <c r="F9" s="22" t="s">
        <v>240</v>
      </c>
      <c r="G9" s="32">
        <v>18.881578947368411</v>
      </c>
      <c r="H9" s="33">
        <v>-1.3107591480065537</v>
      </c>
    </row>
    <row r="10" spans="1:9" x14ac:dyDescent="0.2">
      <c r="A10" s="34"/>
      <c r="B10" s="25" t="s">
        <v>240</v>
      </c>
      <c r="C10" s="26" t="s">
        <v>240</v>
      </c>
      <c r="D10" s="26" t="s">
        <v>240</v>
      </c>
      <c r="E10" s="26" t="s">
        <v>240</v>
      </c>
      <c r="F10" s="27"/>
      <c r="G10" s="35" t="s">
        <v>240</v>
      </c>
      <c r="H10" s="29" t="s">
        <v>240</v>
      </c>
    </row>
    <row r="11" spans="1:9" x14ac:dyDescent="0.2">
      <c r="A11" s="30" t="s">
        <v>46</v>
      </c>
      <c r="B11" s="31" t="s">
        <v>3</v>
      </c>
      <c r="C11" s="20">
        <v>2367</v>
      </c>
      <c r="D11" s="20">
        <v>1853</v>
      </c>
      <c r="E11" s="21">
        <v>1731</v>
      </c>
      <c r="F11" s="22" t="s">
        <v>240</v>
      </c>
      <c r="G11" s="37">
        <v>-26.869455006337134</v>
      </c>
      <c r="H11" s="33">
        <v>-6.5839179708580673</v>
      </c>
    </row>
    <row r="12" spans="1:9" x14ac:dyDescent="0.2">
      <c r="A12" s="34"/>
      <c r="B12" s="25" t="s">
        <v>240</v>
      </c>
      <c r="C12" s="26" t="s">
        <v>240</v>
      </c>
      <c r="D12" s="26" t="s">
        <v>240</v>
      </c>
      <c r="E12" s="26" t="s">
        <v>240</v>
      </c>
      <c r="F12" s="27"/>
      <c r="G12" s="28" t="s">
        <v>240</v>
      </c>
      <c r="H12" s="29" t="s">
        <v>240</v>
      </c>
    </row>
    <row r="13" spans="1:9" x14ac:dyDescent="0.2">
      <c r="A13" s="30" t="s">
        <v>24</v>
      </c>
      <c r="B13" s="31" t="s">
        <v>3</v>
      </c>
      <c r="C13" s="20">
        <v>1332</v>
      </c>
      <c r="D13" s="20">
        <v>927</v>
      </c>
      <c r="E13" s="21">
        <v>1086</v>
      </c>
      <c r="F13" s="22" t="s">
        <v>240</v>
      </c>
      <c r="G13" s="23">
        <v>-18.468468468468473</v>
      </c>
      <c r="H13" s="24">
        <v>17.152103559870554</v>
      </c>
    </row>
    <row r="14" spans="1:9" ht="13.5" thickBot="1" x14ac:dyDescent="0.25">
      <c r="A14" s="56"/>
      <c r="B14" s="42" t="s">
        <v>240</v>
      </c>
      <c r="C14" s="43" t="s">
        <v>240</v>
      </c>
      <c r="D14" s="43" t="s">
        <v>240</v>
      </c>
      <c r="E14" s="43" t="s">
        <v>240</v>
      </c>
      <c r="F14" s="44"/>
      <c r="G14" s="57" t="s">
        <v>240</v>
      </c>
      <c r="H14" s="46" t="s">
        <v>240</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5" t="s">
        <v>16</v>
      </c>
      <c r="D33" s="199"/>
      <c r="E33" s="199"/>
      <c r="F33" s="206"/>
      <c r="G33" s="199" t="s">
        <v>1</v>
      </c>
      <c r="H33" s="200"/>
    </row>
    <row r="34" spans="1:9" x14ac:dyDescent="0.2">
      <c r="A34" s="12"/>
      <c r="B34" s="13"/>
      <c r="C34" s="14" t="s">
        <v>235</v>
      </c>
      <c r="D34" s="15" t="s">
        <v>236</v>
      </c>
      <c r="E34" s="15" t="s">
        <v>237</v>
      </c>
      <c r="F34" s="16"/>
      <c r="G34" s="17" t="s">
        <v>238</v>
      </c>
      <c r="H34" s="18" t="s">
        <v>239</v>
      </c>
    </row>
    <row r="35" spans="1:9" ht="12.75" customHeight="1" x14ac:dyDescent="0.2">
      <c r="A35" s="201" t="s">
        <v>57</v>
      </c>
      <c r="B35" s="19" t="s">
        <v>3</v>
      </c>
      <c r="C35" s="80">
        <v>1986.7947992968452</v>
      </c>
      <c r="D35" s="80">
        <v>1779.098816144802</v>
      </c>
      <c r="E35" s="81">
        <v>1723.7764637740249</v>
      </c>
      <c r="F35" s="22" t="s">
        <v>240</v>
      </c>
      <c r="G35" s="23">
        <v>-13.238324139760493</v>
      </c>
      <c r="H35" s="24">
        <v>-3.1095716476646942</v>
      </c>
    </row>
    <row r="36" spans="1:9" ht="12.75" customHeight="1" x14ac:dyDescent="0.2">
      <c r="A36" s="202"/>
      <c r="B36" s="25" t="s">
        <v>240</v>
      </c>
      <c r="C36" s="82" t="s">
        <v>240</v>
      </c>
      <c r="D36" s="82" t="s">
        <v>240</v>
      </c>
      <c r="E36" s="82" t="s">
        <v>240</v>
      </c>
      <c r="F36" s="27"/>
      <c r="G36" s="28" t="s">
        <v>240</v>
      </c>
      <c r="H36" s="29" t="s">
        <v>240</v>
      </c>
    </row>
    <row r="37" spans="1:9" x14ac:dyDescent="0.2">
      <c r="A37" s="30" t="s">
        <v>9</v>
      </c>
      <c r="B37" s="31" t="s">
        <v>3</v>
      </c>
      <c r="C37" s="80">
        <v>465.37443589771067</v>
      </c>
      <c r="D37" s="80">
        <v>382.74115421816037</v>
      </c>
      <c r="E37" s="83">
        <v>358.18675231131635</v>
      </c>
      <c r="F37" s="22" t="s">
        <v>240</v>
      </c>
      <c r="G37" s="32">
        <v>-23.032568039460202</v>
      </c>
      <c r="H37" s="33">
        <v>-6.4154067667487169</v>
      </c>
    </row>
    <row r="38" spans="1:9" x14ac:dyDescent="0.2">
      <c r="A38" s="34"/>
      <c r="B38" s="25" t="s">
        <v>240</v>
      </c>
      <c r="C38" s="82" t="s">
        <v>240</v>
      </c>
      <c r="D38" s="82" t="s">
        <v>240</v>
      </c>
      <c r="E38" s="82" t="s">
        <v>240</v>
      </c>
      <c r="F38" s="27"/>
      <c r="G38" s="35" t="s">
        <v>240</v>
      </c>
      <c r="H38" s="29" t="s">
        <v>240</v>
      </c>
    </row>
    <row r="39" spans="1:9" x14ac:dyDescent="0.2">
      <c r="A39" s="30" t="s">
        <v>46</v>
      </c>
      <c r="B39" s="31" t="s">
        <v>3</v>
      </c>
      <c r="C39" s="80">
        <v>1040.7448085113958</v>
      </c>
      <c r="D39" s="80">
        <v>974.59681551779818</v>
      </c>
      <c r="E39" s="83">
        <v>949.22593611656862</v>
      </c>
      <c r="F39" s="22" t="s">
        <v>240</v>
      </c>
      <c r="G39" s="37">
        <v>-8.7935939383381623</v>
      </c>
      <c r="H39" s="33">
        <v>-2.603217966370039</v>
      </c>
    </row>
    <row r="40" spans="1:9" x14ac:dyDescent="0.2">
      <c r="A40" s="34"/>
      <c r="B40" s="25" t="s">
        <v>240</v>
      </c>
      <c r="C40" s="82" t="s">
        <v>240</v>
      </c>
      <c r="D40" s="82" t="s">
        <v>240</v>
      </c>
      <c r="E40" s="82" t="s">
        <v>240</v>
      </c>
      <c r="F40" s="27"/>
      <c r="G40" s="28" t="s">
        <v>240</v>
      </c>
      <c r="H40" s="29" t="s">
        <v>240</v>
      </c>
    </row>
    <row r="41" spans="1:9" x14ac:dyDescent="0.2">
      <c r="A41" s="30" t="s">
        <v>24</v>
      </c>
      <c r="B41" s="31" t="s">
        <v>3</v>
      </c>
      <c r="C41" s="80">
        <v>480.67555488773883</v>
      </c>
      <c r="D41" s="80">
        <v>421.7608464088438</v>
      </c>
      <c r="E41" s="83">
        <v>416.36377534613996</v>
      </c>
      <c r="F41" s="22" t="s">
        <v>240</v>
      </c>
      <c r="G41" s="23">
        <v>-13.379457076118385</v>
      </c>
      <c r="H41" s="24">
        <v>-1.2796519896662204</v>
      </c>
    </row>
    <row r="42" spans="1:9" ht="13.5" thickBot="1" x14ac:dyDescent="0.25">
      <c r="A42" s="56"/>
      <c r="B42" s="42" t="s">
        <v>240</v>
      </c>
      <c r="C42" s="86" t="s">
        <v>240</v>
      </c>
      <c r="D42" s="86" t="s">
        <v>240</v>
      </c>
      <c r="E42" s="86" t="s">
        <v>240</v>
      </c>
      <c r="F42" s="44"/>
      <c r="G42" s="57" t="s">
        <v>240</v>
      </c>
      <c r="H42" s="46" t="s">
        <v>240</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G61" s="53"/>
      <c r="H61" s="204">
        <v>19</v>
      </c>
    </row>
    <row r="62" spans="1:9" ht="12.75" customHeight="1" x14ac:dyDescent="0.2">
      <c r="A62" s="54" t="s">
        <v>242</v>
      </c>
      <c r="G62" s="53"/>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154</v>
      </c>
      <c r="B4" s="5"/>
      <c r="C4" s="5"/>
      <c r="D4" s="5"/>
      <c r="E4" s="5"/>
      <c r="F4" s="5"/>
      <c r="G4" s="5"/>
      <c r="H4" s="6"/>
    </row>
    <row r="5" spans="1:9" x14ac:dyDescent="0.2">
      <c r="A5" s="7"/>
      <c r="B5" s="8"/>
      <c r="C5" s="9"/>
      <c r="D5" s="8"/>
      <c r="E5" s="10"/>
      <c r="F5" s="11"/>
      <c r="G5" s="199" t="s">
        <v>1</v>
      </c>
      <c r="H5" s="200"/>
    </row>
    <row r="6" spans="1:9" x14ac:dyDescent="0.2">
      <c r="A6" s="12"/>
      <c r="B6" s="13"/>
      <c r="C6" s="14" t="s">
        <v>235</v>
      </c>
      <c r="D6" s="15" t="s">
        <v>236</v>
      </c>
      <c r="E6" s="15" t="s">
        <v>237</v>
      </c>
      <c r="F6" s="16"/>
      <c r="G6" s="17" t="s">
        <v>238</v>
      </c>
      <c r="H6" s="18" t="s">
        <v>239</v>
      </c>
    </row>
    <row r="7" spans="1:9" ht="12.75" customHeight="1" x14ac:dyDescent="0.2">
      <c r="A7" s="201" t="s">
        <v>60</v>
      </c>
      <c r="B7" s="19" t="s">
        <v>3</v>
      </c>
      <c r="C7" s="20">
        <v>25480.007092866668</v>
      </c>
      <c r="D7" s="20">
        <v>23196.559999999998</v>
      </c>
      <c r="E7" s="79">
        <v>24022.283333333333</v>
      </c>
      <c r="F7" s="22" t="s">
        <v>240</v>
      </c>
      <c r="G7" s="23">
        <v>-5.7210492690225294</v>
      </c>
      <c r="H7" s="24">
        <v>3.5596801134880991</v>
      </c>
    </row>
    <row r="8" spans="1:9" ht="13.7" customHeight="1" thickBot="1" x14ac:dyDescent="0.25">
      <c r="A8" s="207"/>
      <c r="B8" s="42" t="s">
        <v>240</v>
      </c>
      <c r="C8" s="43" t="s">
        <v>240</v>
      </c>
      <c r="D8" s="43" t="s">
        <v>240</v>
      </c>
      <c r="E8" s="43" t="s">
        <v>240</v>
      </c>
      <c r="F8" s="44"/>
      <c r="G8" s="57" t="s">
        <v>240</v>
      </c>
      <c r="H8" s="46" t="s">
        <v>240</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5" t="s">
        <v>16</v>
      </c>
      <c r="D33" s="199"/>
      <c r="E33" s="199"/>
      <c r="F33" s="206"/>
      <c r="G33" s="199" t="s">
        <v>1</v>
      </c>
      <c r="H33" s="200"/>
    </row>
    <row r="34" spans="1:9" x14ac:dyDescent="0.2">
      <c r="A34" s="12"/>
      <c r="B34" s="13"/>
      <c r="C34" s="14" t="s">
        <v>235</v>
      </c>
      <c r="D34" s="15" t="s">
        <v>236</v>
      </c>
      <c r="E34" s="15" t="s">
        <v>237</v>
      </c>
      <c r="F34" s="16"/>
      <c r="G34" s="17" t="s">
        <v>238</v>
      </c>
      <c r="H34" s="18" t="s">
        <v>239</v>
      </c>
    </row>
    <row r="35" spans="1:9" ht="12.75" customHeight="1" x14ac:dyDescent="0.2">
      <c r="A35" s="201" t="s">
        <v>60</v>
      </c>
      <c r="B35" s="19" t="s">
        <v>3</v>
      </c>
      <c r="C35" s="80">
        <v>507.42304330194474</v>
      </c>
      <c r="D35" s="80">
        <v>531.97624857374751</v>
      </c>
      <c r="E35" s="81">
        <v>573.4538477665858</v>
      </c>
      <c r="F35" s="22" t="s">
        <v>240</v>
      </c>
      <c r="G35" s="23">
        <v>13.01296922484245</v>
      </c>
      <c r="H35" s="24">
        <v>7.7968892979793054</v>
      </c>
    </row>
    <row r="36" spans="1:9" ht="12.75" customHeight="1" thickBot="1" x14ac:dyDescent="0.25">
      <c r="A36" s="207"/>
      <c r="B36" s="42" t="s">
        <v>240</v>
      </c>
      <c r="C36" s="86" t="s">
        <v>240</v>
      </c>
      <c r="D36" s="86" t="s">
        <v>240</v>
      </c>
      <c r="E36" s="86" t="s">
        <v>240</v>
      </c>
      <c r="F36" s="44"/>
      <c r="G36" s="57" t="s">
        <v>240</v>
      </c>
      <c r="H36" s="46" t="s">
        <v>240</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H61" s="196">
        <v>20</v>
      </c>
    </row>
    <row r="62" spans="1:9" ht="12.75" customHeight="1" x14ac:dyDescent="0.2">
      <c r="A62" s="54" t="s">
        <v>242</v>
      </c>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215</v>
      </c>
      <c r="B4" s="118"/>
      <c r="C4" s="118"/>
      <c r="D4" s="118"/>
      <c r="E4" s="118"/>
      <c r="F4" s="118"/>
      <c r="G4" s="118"/>
      <c r="H4" s="119"/>
    </row>
    <row r="5" spans="1:8" x14ac:dyDescent="0.2">
      <c r="A5" s="120"/>
      <c r="B5" s="121"/>
      <c r="C5" s="122"/>
      <c r="D5" s="121"/>
      <c r="E5" s="123"/>
      <c r="F5" s="124"/>
      <c r="G5" s="210" t="s">
        <v>1</v>
      </c>
      <c r="H5" s="211"/>
    </row>
    <row r="6" spans="1:8" x14ac:dyDescent="0.2">
      <c r="A6" s="125"/>
      <c r="B6" s="126"/>
      <c r="C6" s="127" t="s">
        <v>235</v>
      </c>
      <c r="D6" s="128" t="s">
        <v>236</v>
      </c>
      <c r="E6" s="128" t="s">
        <v>237</v>
      </c>
      <c r="F6" s="129"/>
      <c r="G6" s="130" t="s">
        <v>238</v>
      </c>
      <c r="H6" s="131" t="s">
        <v>239</v>
      </c>
    </row>
    <row r="7" spans="1:8" ht="12.75" customHeight="1" x14ac:dyDescent="0.2">
      <c r="A7" s="212" t="s">
        <v>196</v>
      </c>
      <c r="B7" s="132" t="s">
        <v>3</v>
      </c>
      <c r="C7" s="20">
        <v>5258</v>
      </c>
      <c r="D7" s="20">
        <v>5464</v>
      </c>
      <c r="E7" s="79">
        <v>5772</v>
      </c>
      <c r="F7" s="22" t="s">
        <v>240</v>
      </c>
      <c r="G7" s="133">
        <v>9.7755800684671073</v>
      </c>
      <c r="H7" s="134">
        <v>5.6368960468521152</v>
      </c>
    </row>
    <row r="8" spans="1:8" ht="12.75" customHeight="1" x14ac:dyDescent="0.2">
      <c r="A8" s="213"/>
      <c r="B8" s="135" t="s">
        <v>240</v>
      </c>
      <c r="C8" s="26" t="s">
        <v>240</v>
      </c>
      <c r="D8" s="26" t="s">
        <v>240</v>
      </c>
      <c r="E8" s="26" t="s">
        <v>240</v>
      </c>
      <c r="F8" s="27"/>
      <c r="G8" s="136" t="s">
        <v>240</v>
      </c>
      <c r="H8" s="137" t="s">
        <v>240</v>
      </c>
    </row>
    <row r="9" spans="1:8" x14ac:dyDescent="0.2">
      <c r="A9" s="138" t="s">
        <v>197</v>
      </c>
      <c r="B9" s="139" t="s">
        <v>3</v>
      </c>
      <c r="C9" s="20">
        <v>1714</v>
      </c>
      <c r="D9" s="20">
        <v>1897</v>
      </c>
      <c r="E9" s="20">
        <v>1690</v>
      </c>
      <c r="F9" s="22" t="s">
        <v>240</v>
      </c>
      <c r="G9" s="140">
        <v>-1.4002333722287119</v>
      </c>
      <c r="H9" s="141">
        <v>-10.911966262519769</v>
      </c>
    </row>
    <row r="10" spans="1:8" x14ac:dyDescent="0.2">
      <c r="A10" s="142"/>
      <c r="B10" s="135" t="s">
        <v>240</v>
      </c>
      <c r="C10" s="26" t="s">
        <v>240</v>
      </c>
      <c r="D10" s="26" t="s">
        <v>240</v>
      </c>
      <c r="E10" s="26" t="s">
        <v>240</v>
      </c>
      <c r="F10" s="27"/>
      <c r="G10" s="143" t="s">
        <v>240</v>
      </c>
      <c r="H10" s="137" t="s">
        <v>240</v>
      </c>
    </row>
    <row r="11" spans="1:8" x14ac:dyDescent="0.2">
      <c r="A11" s="138" t="s">
        <v>198</v>
      </c>
      <c r="B11" s="139" t="s">
        <v>3</v>
      </c>
      <c r="C11" s="20">
        <v>344</v>
      </c>
      <c r="D11" s="20">
        <v>458</v>
      </c>
      <c r="E11" s="20">
        <v>492</v>
      </c>
      <c r="F11" s="22" t="s">
        <v>240</v>
      </c>
      <c r="G11" s="144">
        <v>43.023255813953512</v>
      </c>
      <c r="H11" s="141">
        <v>7.4235807860262071</v>
      </c>
    </row>
    <row r="12" spans="1:8" x14ac:dyDescent="0.2">
      <c r="A12" s="142"/>
      <c r="B12" s="135" t="s">
        <v>240</v>
      </c>
      <c r="C12" s="26" t="s">
        <v>240</v>
      </c>
      <c r="D12" s="26" t="s">
        <v>240</v>
      </c>
      <c r="E12" s="26" t="s">
        <v>240</v>
      </c>
      <c r="F12" s="27"/>
      <c r="G12" s="136" t="s">
        <v>240</v>
      </c>
      <c r="H12" s="137" t="s">
        <v>240</v>
      </c>
    </row>
    <row r="13" spans="1:8" x14ac:dyDescent="0.2">
      <c r="A13" s="138" t="s">
        <v>231</v>
      </c>
      <c r="B13" s="139" t="s">
        <v>3</v>
      </c>
      <c r="C13" s="20">
        <v>157</v>
      </c>
      <c r="D13" s="20">
        <v>120</v>
      </c>
      <c r="E13" s="20">
        <v>128</v>
      </c>
      <c r="F13" s="22" t="s">
        <v>240</v>
      </c>
      <c r="G13" s="133">
        <v>-18.471337579617824</v>
      </c>
      <c r="H13" s="134">
        <v>6.6666666666666714</v>
      </c>
    </row>
    <row r="14" spans="1:8" x14ac:dyDescent="0.2">
      <c r="A14" s="142"/>
      <c r="B14" s="135" t="s">
        <v>240</v>
      </c>
      <c r="C14" s="26" t="s">
        <v>240</v>
      </c>
      <c r="D14" s="26" t="s">
        <v>240</v>
      </c>
      <c r="E14" s="26" t="s">
        <v>240</v>
      </c>
      <c r="F14" s="27"/>
      <c r="G14" s="145" t="s">
        <v>240</v>
      </c>
      <c r="H14" s="134" t="s">
        <v>240</v>
      </c>
    </row>
    <row r="15" spans="1:8" x14ac:dyDescent="0.2">
      <c r="A15" s="138" t="s">
        <v>199</v>
      </c>
      <c r="B15" s="139" t="s">
        <v>3</v>
      </c>
      <c r="C15" s="20">
        <v>1989</v>
      </c>
      <c r="D15" s="20">
        <v>2181</v>
      </c>
      <c r="E15" s="20">
        <v>2440</v>
      </c>
      <c r="F15" s="22" t="s">
        <v>240</v>
      </c>
      <c r="G15" s="144">
        <v>22.674710910005032</v>
      </c>
      <c r="H15" s="141">
        <v>11.875286565795506</v>
      </c>
    </row>
    <row r="16" spans="1:8" x14ac:dyDescent="0.2">
      <c r="A16" s="142"/>
      <c r="B16" s="135" t="s">
        <v>240</v>
      </c>
      <c r="C16" s="26" t="s">
        <v>240</v>
      </c>
      <c r="D16" s="26" t="s">
        <v>240</v>
      </c>
      <c r="E16" s="26" t="s">
        <v>240</v>
      </c>
      <c r="F16" s="27"/>
      <c r="G16" s="136" t="s">
        <v>240</v>
      </c>
      <c r="H16" s="137" t="s">
        <v>240</v>
      </c>
    </row>
    <row r="17" spans="1:9" x14ac:dyDescent="0.2">
      <c r="A17" s="138" t="s">
        <v>200</v>
      </c>
      <c r="B17" s="139" t="s">
        <v>3</v>
      </c>
      <c r="C17" s="20">
        <v>385</v>
      </c>
      <c r="D17" s="20">
        <v>541</v>
      </c>
      <c r="E17" s="20">
        <v>502</v>
      </c>
      <c r="F17" s="22" t="s">
        <v>240</v>
      </c>
      <c r="G17" s="144">
        <v>30.389610389610397</v>
      </c>
      <c r="H17" s="141">
        <v>-7.2088724584103545</v>
      </c>
    </row>
    <row r="18" spans="1:9" x14ac:dyDescent="0.2">
      <c r="A18" s="138"/>
      <c r="B18" s="135" t="s">
        <v>240</v>
      </c>
      <c r="C18" s="26" t="s">
        <v>240</v>
      </c>
      <c r="D18" s="26" t="s">
        <v>240</v>
      </c>
      <c r="E18" s="26" t="s">
        <v>240</v>
      </c>
      <c r="F18" s="27"/>
      <c r="G18" s="136" t="s">
        <v>240</v>
      </c>
      <c r="H18" s="137" t="s">
        <v>240</v>
      </c>
    </row>
    <row r="19" spans="1:9" x14ac:dyDescent="0.2">
      <c r="A19" s="146" t="s">
        <v>201</v>
      </c>
      <c r="B19" s="139" t="s">
        <v>3</v>
      </c>
      <c r="C19" s="20">
        <v>33</v>
      </c>
      <c r="D19" s="20">
        <v>26</v>
      </c>
      <c r="E19" s="20">
        <v>31</v>
      </c>
      <c r="F19" s="22" t="s">
        <v>240</v>
      </c>
      <c r="G19" s="133">
        <v>-6.0606060606060623</v>
      </c>
      <c r="H19" s="134">
        <v>19.230769230769226</v>
      </c>
    </row>
    <row r="20" spans="1:9" x14ac:dyDescent="0.2">
      <c r="A20" s="142"/>
      <c r="B20" s="135" t="s">
        <v>240</v>
      </c>
      <c r="C20" s="26" t="s">
        <v>240</v>
      </c>
      <c r="D20" s="26" t="s">
        <v>240</v>
      </c>
      <c r="E20" s="26" t="s">
        <v>240</v>
      </c>
      <c r="F20" s="27"/>
      <c r="G20" s="145" t="s">
        <v>240</v>
      </c>
      <c r="H20" s="134" t="s">
        <v>240</v>
      </c>
    </row>
    <row r="21" spans="1:9" x14ac:dyDescent="0.2">
      <c r="A21" s="146" t="s">
        <v>202</v>
      </c>
      <c r="B21" s="139" t="s">
        <v>3</v>
      </c>
      <c r="C21" s="20">
        <v>19</v>
      </c>
      <c r="D21" s="20">
        <v>84</v>
      </c>
      <c r="E21" s="20">
        <v>9</v>
      </c>
      <c r="F21" s="22" t="s">
        <v>240</v>
      </c>
      <c r="G21" s="144">
        <v>-52.631578947368425</v>
      </c>
      <c r="H21" s="141">
        <v>-89.285714285714292</v>
      </c>
    </row>
    <row r="22" spans="1:9" x14ac:dyDescent="0.2">
      <c r="A22" s="142"/>
      <c r="B22" s="135" t="s">
        <v>240</v>
      </c>
      <c r="C22" s="26" t="s">
        <v>240</v>
      </c>
      <c r="D22" s="26" t="s">
        <v>240</v>
      </c>
      <c r="E22" s="26" t="s">
        <v>240</v>
      </c>
      <c r="F22" s="27"/>
      <c r="G22" s="136" t="s">
        <v>240</v>
      </c>
      <c r="H22" s="137" t="s">
        <v>240</v>
      </c>
    </row>
    <row r="23" spans="1:9" x14ac:dyDescent="0.2">
      <c r="A23" s="146" t="s">
        <v>203</v>
      </c>
      <c r="B23" s="139" t="s">
        <v>3</v>
      </c>
      <c r="C23" s="20">
        <v>178</v>
      </c>
      <c r="D23" s="20">
        <v>188</v>
      </c>
      <c r="E23" s="20">
        <v>213</v>
      </c>
      <c r="F23" s="22" t="s">
        <v>240</v>
      </c>
      <c r="G23" s="144">
        <v>19.662921348314597</v>
      </c>
      <c r="H23" s="141">
        <v>13.297872340425542</v>
      </c>
    </row>
    <row r="24" spans="1:9" x14ac:dyDescent="0.2">
      <c r="A24" s="142"/>
      <c r="B24" s="135" t="s">
        <v>240</v>
      </c>
      <c r="C24" s="26" t="s">
        <v>240</v>
      </c>
      <c r="D24" s="26" t="s">
        <v>240</v>
      </c>
      <c r="E24" s="26" t="s">
        <v>240</v>
      </c>
      <c r="F24" s="27"/>
      <c r="G24" s="136" t="s">
        <v>240</v>
      </c>
      <c r="H24" s="137" t="s">
        <v>240</v>
      </c>
    </row>
    <row r="25" spans="1:9" x14ac:dyDescent="0.2">
      <c r="A25" s="138" t="s">
        <v>24</v>
      </c>
      <c r="B25" s="139" t="s">
        <v>3</v>
      </c>
      <c r="C25" s="20">
        <v>1507</v>
      </c>
      <c r="D25" s="20">
        <v>1392</v>
      </c>
      <c r="E25" s="20">
        <v>1591</v>
      </c>
      <c r="F25" s="22" t="s">
        <v>240</v>
      </c>
      <c r="G25" s="133">
        <v>5.5739880557398749</v>
      </c>
      <c r="H25" s="134">
        <v>14.295977011494259</v>
      </c>
      <c r="I25" s="147"/>
    </row>
    <row r="26" spans="1:9" ht="13.5" thickBot="1" x14ac:dyDescent="0.25">
      <c r="A26" s="148"/>
      <c r="B26" s="149" t="s">
        <v>240</v>
      </c>
      <c r="C26" s="43" t="s">
        <v>240</v>
      </c>
      <c r="D26" s="43" t="s">
        <v>240</v>
      </c>
      <c r="E26" s="43" t="s">
        <v>240</v>
      </c>
      <c r="F26" s="44"/>
      <c r="G26" s="150" t="s">
        <v>240</v>
      </c>
      <c r="H26" s="151" t="s">
        <v>240</v>
      </c>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216</v>
      </c>
      <c r="B32" s="118"/>
      <c r="C32" s="118"/>
      <c r="D32" s="118"/>
      <c r="E32" s="118"/>
      <c r="F32" s="118"/>
      <c r="G32" s="118"/>
      <c r="H32" s="119"/>
    </row>
    <row r="33" spans="1:8" x14ac:dyDescent="0.2">
      <c r="A33" s="120"/>
      <c r="B33" s="121"/>
      <c r="C33" s="214" t="s">
        <v>16</v>
      </c>
      <c r="D33" s="210"/>
      <c r="E33" s="210"/>
      <c r="F33" s="215"/>
      <c r="G33" s="210" t="s">
        <v>1</v>
      </c>
      <c r="H33" s="211"/>
    </row>
    <row r="34" spans="1:8" x14ac:dyDescent="0.2">
      <c r="A34" s="125"/>
      <c r="B34" s="126"/>
      <c r="C34" s="127" t="s">
        <v>235</v>
      </c>
      <c r="D34" s="128" t="s">
        <v>236</v>
      </c>
      <c r="E34" s="128" t="s">
        <v>237</v>
      </c>
      <c r="F34" s="129"/>
      <c r="G34" s="130" t="s">
        <v>238</v>
      </c>
      <c r="H34" s="131" t="s">
        <v>239</v>
      </c>
    </row>
    <row r="35" spans="1:8" ht="12.75" customHeight="1" x14ac:dyDescent="0.2">
      <c r="A35" s="212" t="s">
        <v>196</v>
      </c>
      <c r="B35" s="132" t="s">
        <v>3</v>
      </c>
      <c r="C35" s="80">
        <v>831.72795936495015</v>
      </c>
      <c r="D35" s="80">
        <v>991.88485422989686</v>
      </c>
      <c r="E35" s="81">
        <v>1042.5229548825184</v>
      </c>
      <c r="F35" s="22" t="s">
        <v>240</v>
      </c>
      <c r="G35" s="133">
        <v>25.344223810693677</v>
      </c>
      <c r="H35" s="134">
        <v>5.1052398306794515</v>
      </c>
    </row>
    <row r="36" spans="1:8" ht="12.75" customHeight="1" x14ac:dyDescent="0.2">
      <c r="A36" s="213"/>
      <c r="B36" s="135" t="s">
        <v>240</v>
      </c>
      <c r="C36" s="82" t="s">
        <v>240</v>
      </c>
      <c r="D36" s="82" t="s">
        <v>240</v>
      </c>
      <c r="E36" s="82" t="s">
        <v>240</v>
      </c>
      <c r="F36" s="27"/>
      <c r="G36" s="136" t="s">
        <v>240</v>
      </c>
      <c r="H36" s="137" t="s">
        <v>240</v>
      </c>
    </row>
    <row r="37" spans="1:8" x14ac:dyDescent="0.2">
      <c r="A37" s="138" t="s">
        <v>197</v>
      </c>
      <c r="B37" s="139" t="s">
        <v>3</v>
      </c>
      <c r="C37" s="80">
        <v>412.13149725173218</v>
      </c>
      <c r="D37" s="80">
        <v>499.91934977461625</v>
      </c>
      <c r="E37" s="80">
        <v>518.2274594430562</v>
      </c>
      <c r="F37" s="22" t="s">
        <v>240</v>
      </c>
      <c r="G37" s="140">
        <v>25.743230716122639</v>
      </c>
      <c r="H37" s="141">
        <v>3.6622126502392689</v>
      </c>
    </row>
    <row r="38" spans="1:8" x14ac:dyDescent="0.2">
      <c r="A38" s="142"/>
      <c r="B38" s="135" t="s">
        <v>240</v>
      </c>
      <c r="C38" s="82" t="s">
        <v>240</v>
      </c>
      <c r="D38" s="82" t="s">
        <v>240</v>
      </c>
      <c r="E38" s="82" t="s">
        <v>240</v>
      </c>
      <c r="F38" s="27"/>
      <c r="G38" s="143" t="s">
        <v>240</v>
      </c>
      <c r="H38" s="137" t="s">
        <v>240</v>
      </c>
    </row>
    <row r="39" spans="1:8" x14ac:dyDescent="0.2">
      <c r="A39" s="138" t="s">
        <v>198</v>
      </c>
      <c r="B39" s="139" t="s">
        <v>3</v>
      </c>
      <c r="C39" s="80">
        <v>52.074247156466527</v>
      </c>
      <c r="D39" s="80">
        <v>57.699737556827024</v>
      </c>
      <c r="E39" s="80">
        <v>61.751132220382033</v>
      </c>
      <c r="F39" s="22" t="s">
        <v>240</v>
      </c>
      <c r="G39" s="144">
        <v>18.582861188255961</v>
      </c>
      <c r="H39" s="141">
        <v>7.0215131560431985</v>
      </c>
    </row>
    <row r="40" spans="1:8" x14ac:dyDescent="0.2">
      <c r="A40" s="142"/>
      <c r="B40" s="135" t="s">
        <v>240</v>
      </c>
      <c r="C40" s="82" t="s">
        <v>240</v>
      </c>
      <c r="D40" s="82" t="s">
        <v>240</v>
      </c>
      <c r="E40" s="82" t="s">
        <v>240</v>
      </c>
      <c r="F40" s="27"/>
      <c r="G40" s="136" t="s">
        <v>240</v>
      </c>
      <c r="H40" s="137" t="s">
        <v>240</v>
      </c>
    </row>
    <row r="41" spans="1:8" x14ac:dyDescent="0.2">
      <c r="A41" s="138" t="s">
        <v>231</v>
      </c>
      <c r="B41" s="139" t="s">
        <v>3</v>
      </c>
      <c r="C41" s="80">
        <v>85.579461268228329</v>
      </c>
      <c r="D41" s="80">
        <v>77.360013137417738</v>
      </c>
      <c r="E41" s="80">
        <v>90.45702397779776</v>
      </c>
      <c r="F41" s="22" t="s">
        <v>240</v>
      </c>
      <c r="G41" s="133">
        <v>5.699454795914022</v>
      </c>
      <c r="H41" s="134">
        <v>16.929949090255803</v>
      </c>
    </row>
    <row r="42" spans="1:8" x14ac:dyDescent="0.2">
      <c r="A42" s="142"/>
      <c r="B42" s="135" t="s">
        <v>240</v>
      </c>
      <c r="C42" s="82" t="s">
        <v>240</v>
      </c>
      <c r="D42" s="82" t="s">
        <v>240</v>
      </c>
      <c r="E42" s="82" t="s">
        <v>240</v>
      </c>
      <c r="F42" s="27"/>
      <c r="G42" s="145" t="s">
        <v>240</v>
      </c>
      <c r="H42" s="134" t="s">
        <v>240</v>
      </c>
    </row>
    <row r="43" spans="1:8" x14ac:dyDescent="0.2">
      <c r="A43" s="138" t="s">
        <v>199</v>
      </c>
      <c r="B43" s="139" t="s">
        <v>3</v>
      </c>
      <c r="C43" s="80">
        <v>34.345372111761804</v>
      </c>
      <c r="D43" s="80">
        <v>41.184975390590729</v>
      </c>
      <c r="E43" s="80">
        <v>41.031011127415731</v>
      </c>
      <c r="F43" s="22" t="s">
        <v>240</v>
      </c>
      <c r="G43" s="144">
        <v>19.465909392096464</v>
      </c>
      <c r="H43" s="141">
        <v>-0.37383599653716715</v>
      </c>
    </row>
    <row r="44" spans="1:8" x14ac:dyDescent="0.2">
      <c r="A44" s="142"/>
      <c r="B44" s="135" t="s">
        <v>240</v>
      </c>
      <c r="C44" s="82" t="s">
        <v>240</v>
      </c>
      <c r="D44" s="82" t="s">
        <v>240</v>
      </c>
      <c r="E44" s="82" t="s">
        <v>240</v>
      </c>
      <c r="F44" s="27"/>
      <c r="G44" s="136" t="s">
        <v>240</v>
      </c>
      <c r="H44" s="137" t="s">
        <v>240</v>
      </c>
    </row>
    <row r="45" spans="1:8" x14ac:dyDescent="0.2">
      <c r="A45" s="138" t="s">
        <v>200</v>
      </c>
      <c r="B45" s="139" t="s">
        <v>3</v>
      </c>
      <c r="C45" s="80">
        <v>11.843247022352362</v>
      </c>
      <c r="D45" s="80">
        <v>17.769426878118146</v>
      </c>
      <c r="E45" s="80">
        <v>18.10926248148315</v>
      </c>
      <c r="F45" s="22" t="s">
        <v>240</v>
      </c>
      <c r="G45" s="144">
        <v>52.907918304031142</v>
      </c>
      <c r="H45" s="141">
        <v>1.912473630668913</v>
      </c>
    </row>
    <row r="46" spans="1:8" x14ac:dyDescent="0.2">
      <c r="A46" s="138"/>
      <c r="B46" s="135" t="s">
        <v>240</v>
      </c>
      <c r="C46" s="82" t="s">
        <v>240</v>
      </c>
      <c r="D46" s="82" t="s">
        <v>240</v>
      </c>
      <c r="E46" s="82" t="s">
        <v>240</v>
      </c>
      <c r="F46" s="27"/>
      <c r="G46" s="136" t="s">
        <v>240</v>
      </c>
      <c r="H46" s="137" t="s">
        <v>240</v>
      </c>
    </row>
    <row r="47" spans="1:8" x14ac:dyDescent="0.2">
      <c r="A47" s="146" t="s">
        <v>201</v>
      </c>
      <c r="B47" s="139" t="s">
        <v>3</v>
      </c>
      <c r="C47" s="80">
        <v>8.7836500223523597</v>
      </c>
      <c r="D47" s="80">
        <v>7.2138101781181456</v>
      </c>
      <c r="E47" s="80">
        <v>7.8396207614831468</v>
      </c>
      <c r="F47" s="22" t="s">
        <v>240</v>
      </c>
      <c r="G47" s="133">
        <v>-10.747573713284069</v>
      </c>
      <c r="H47" s="134">
        <v>8.6751739775921664</v>
      </c>
    </row>
    <row r="48" spans="1:8" x14ac:dyDescent="0.2">
      <c r="A48" s="142"/>
      <c r="B48" s="135" t="s">
        <v>240</v>
      </c>
      <c r="C48" s="82" t="s">
        <v>240</v>
      </c>
      <c r="D48" s="82" t="s">
        <v>240</v>
      </c>
      <c r="E48" s="82" t="s">
        <v>240</v>
      </c>
      <c r="F48" s="27"/>
      <c r="G48" s="145" t="s">
        <v>240</v>
      </c>
      <c r="H48" s="134" t="s">
        <v>240</v>
      </c>
    </row>
    <row r="49" spans="1:9" x14ac:dyDescent="0.2">
      <c r="A49" s="146" t="s">
        <v>202</v>
      </c>
      <c r="B49" s="139" t="s">
        <v>3</v>
      </c>
      <c r="C49" s="80">
        <v>5.6724030223523609</v>
      </c>
      <c r="D49" s="80">
        <v>19.561452178118145</v>
      </c>
      <c r="E49" s="80">
        <v>5.8936577614831469</v>
      </c>
      <c r="F49" s="22" t="s">
        <v>240</v>
      </c>
      <c r="G49" s="144">
        <v>3.9005468803771777</v>
      </c>
      <c r="H49" s="141">
        <v>-69.871062189974225</v>
      </c>
    </row>
    <row r="50" spans="1:9" x14ac:dyDescent="0.2">
      <c r="A50" s="142"/>
      <c r="B50" s="135" t="s">
        <v>240</v>
      </c>
      <c r="C50" s="82" t="s">
        <v>240</v>
      </c>
      <c r="D50" s="82" t="s">
        <v>240</v>
      </c>
      <c r="E50" s="82" t="s">
        <v>240</v>
      </c>
      <c r="F50" s="27"/>
      <c r="G50" s="136" t="s">
        <v>240</v>
      </c>
      <c r="H50" s="137" t="s">
        <v>240</v>
      </c>
    </row>
    <row r="51" spans="1:9" x14ac:dyDescent="0.2">
      <c r="A51" s="146" t="s">
        <v>203</v>
      </c>
      <c r="B51" s="139" t="s">
        <v>3</v>
      </c>
      <c r="C51" s="80">
        <v>64.9146621117618</v>
      </c>
      <c r="D51" s="80">
        <v>59.65392889059072</v>
      </c>
      <c r="E51" s="80">
        <v>69.598649807415725</v>
      </c>
      <c r="F51" s="22" t="s">
        <v>240</v>
      </c>
      <c r="G51" s="144">
        <v>7.2156082205120811</v>
      </c>
      <c r="H51" s="141">
        <v>16.670688924889234</v>
      </c>
    </row>
    <row r="52" spans="1:9" x14ac:dyDescent="0.2">
      <c r="A52" s="142"/>
      <c r="B52" s="135" t="s">
        <v>240</v>
      </c>
      <c r="C52" s="82" t="s">
        <v>240</v>
      </c>
      <c r="D52" s="82" t="s">
        <v>240</v>
      </c>
      <c r="E52" s="82" t="s">
        <v>240</v>
      </c>
      <c r="F52" s="27"/>
      <c r="G52" s="136" t="s">
        <v>240</v>
      </c>
      <c r="H52" s="137" t="s">
        <v>240</v>
      </c>
    </row>
    <row r="53" spans="1:9" x14ac:dyDescent="0.2">
      <c r="A53" s="138" t="s">
        <v>24</v>
      </c>
      <c r="B53" s="139" t="s">
        <v>3</v>
      </c>
      <c r="C53" s="80">
        <v>156.38341939794262</v>
      </c>
      <c r="D53" s="80">
        <v>211.52216024550012</v>
      </c>
      <c r="E53" s="80">
        <v>229.6151373020013</v>
      </c>
      <c r="F53" s="22" t="s">
        <v>240</v>
      </c>
      <c r="G53" s="133">
        <v>46.828313504073492</v>
      </c>
      <c r="H53" s="134">
        <v>8.5537028534040189</v>
      </c>
      <c r="I53" s="147"/>
    </row>
    <row r="54" spans="1:9" ht="13.5" thickBot="1" x14ac:dyDescent="0.25">
      <c r="A54" s="148"/>
      <c r="B54" s="149" t="s">
        <v>240</v>
      </c>
      <c r="C54" s="86" t="s">
        <v>240</v>
      </c>
      <c r="D54" s="86" t="s">
        <v>240</v>
      </c>
      <c r="E54" s="86" t="s">
        <v>240</v>
      </c>
      <c r="F54" s="44"/>
      <c r="G54" s="150" t="s">
        <v>240</v>
      </c>
      <c r="H54" s="151" t="s">
        <v>240</v>
      </c>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241</v>
      </c>
      <c r="G61" s="162"/>
      <c r="H61" s="208">
        <v>21</v>
      </c>
    </row>
    <row r="62" spans="1:9" ht="12.75" customHeight="1" x14ac:dyDescent="0.2">
      <c r="A62" s="161" t="s">
        <v>242</v>
      </c>
      <c r="G62" s="162"/>
      <c r="H62" s="209"/>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217</v>
      </c>
      <c r="B4" s="118"/>
      <c r="C4" s="118"/>
      <c r="D4" s="118"/>
      <c r="E4" s="118"/>
      <c r="F4" s="118"/>
      <c r="G4" s="118"/>
      <c r="H4" s="119"/>
    </row>
    <row r="5" spans="1:8" x14ac:dyDescent="0.2">
      <c r="A5" s="120"/>
      <c r="B5" s="121"/>
      <c r="C5" s="122"/>
      <c r="D5" s="121"/>
      <c r="E5" s="123"/>
      <c r="F5" s="124"/>
      <c r="G5" s="210" t="s">
        <v>1</v>
      </c>
      <c r="H5" s="211"/>
    </row>
    <row r="6" spans="1:8" x14ac:dyDescent="0.2">
      <c r="A6" s="125"/>
      <c r="B6" s="126"/>
      <c r="C6" s="127" t="s">
        <v>235</v>
      </c>
      <c r="D6" s="128" t="s">
        <v>236</v>
      </c>
      <c r="E6" s="128" t="s">
        <v>237</v>
      </c>
      <c r="F6" s="129"/>
      <c r="G6" s="130" t="s">
        <v>238</v>
      </c>
      <c r="H6" s="131" t="s">
        <v>239</v>
      </c>
    </row>
    <row r="7" spans="1:8" ht="12.75" customHeight="1" x14ac:dyDescent="0.2">
      <c r="A7" s="212" t="s">
        <v>204</v>
      </c>
      <c r="B7" s="132" t="s">
        <v>3</v>
      </c>
      <c r="C7" s="20">
        <v>918</v>
      </c>
      <c r="D7" s="20">
        <v>978</v>
      </c>
      <c r="E7" s="79">
        <v>1154</v>
      </c>
      <c r="F7" s="22" t="s">
        <v>240</v>
      </c>
      <c r="G7" s="133">
        <v>25.708061002178638</v>
      </c>
      <c r="H7" s="134">
        <v>17.995910020449884</v>
      </c>
    </row>
    <row r="8" spans="1:8" ht="12.75" customHeight="1" x14ac:dyDescent="0.2">
      <c r="A8" s="213"/>
      <c r="B8" s="135" t="s">
        <v>240</v>
      </c>
      <c r="C8" s="26" t="s">
        <v>240</v>
      </c>
      <c r="D8" s="26" t="s">
        <v>240</v>
      </c>
      <c r="E8" s="26" t="s">
        <v>240</v>
      </c>
      <c r="F8" s="27"/>
      <c r="G8" s="136" t="s">
        <v>240</v>
      </c>
      <c r="H8" s="137" t="s">
        <v>240</v>
      </c>
    </row>
    <row r="9" spans="1:8" x14ac:dyDescent="0.2">
      <c r="A9" s="138" t="s">
        <v>205</v>
      </c>
      <c r="B9" s="139" t="s">
        <v>3</v>
      </c>
      <c r="C9" s="20">
        <v>318</v>
      </c>
      <c r="D9" s="20">
        <v>355</v>
      </c>
      <c r="E9" s="20">
        <v>395</v>
      </c>
      <c r="F9" s="22" t="s">
        <v>240</v>
      </c>
      <c r="G9" s="140">
        <v>24.213836477987428</v>
      </c>
      <c r="H9" s="141">
        <v>11.26760563380283</v>
      </c>
    </row>
    <row r="10" spans="1:8" x14ac:dyDescent="0.2">
      <c r="A10" s="142"/>
      <c r="B10" s="135" t="s">
        <v>240</v>
      </c>
      <c r="C10" s="26" t="s">
        <v>240</v>
      </c>
      <c r="D10" s="26" t="s">
        <v>240</v>
      </c>
      <c r="E10" s="26" t="s">
        <v>240</v>
      </c>
      <c r="F10" s="27"/>
      <c r="G10" s="143" t="s">
        <v>240</v>
      </c>
      <c r="H10" s="137" t="s">
        <v>240</v>
      </c>
    </row>
    <row r="11" spans="1:8" x14ac:dyDescent="0.2">
      <c r="A11" s="138" t="s">
        <v>206</v>
      </c>
      <c r="B11" s="139" t="s">
        <v>3</v>
      </c>
      <c r="C11" s="20">
        <v>86</v>
      </c>
      <c r="D11" s="20">
        <v>98</v>
      </c>
      <c r="E11" s="20">
        <v>114</v>
      </c>
      <c r="F11" s="22" t="s">
        <v>240</v>
      </c>
      <c r="G11" s="144">
        <v>32.558139534883708</v>
      </c>
      <c r="H11" s="141">
        <v>16.326530612244895</v>
      </c>
    </row>
    <row r="12" spans="1:8" x14ac:dyDescent="0.2">
      <c r="A12" s="142"/>
      <c r="B12" s="135" t="s">
        <v>240</v>
      </c>
      <c r="C12" s="26" t="s">
        <v>240</v>
      </c>
      <c r="D12" s="26" t="s">
        <v>240</v>
      </c>
      <c r="E12" s="26" t="s">
        <v>240</v>
      </c>
      <c r="F12" s="27"/>
      <c r="G12" s="136" t="s">
        <v>240</v>
      </c>
      <c r="H12" s="137" t="s">
        <v>240</v>
      </c>
    </row>
    <row r="13" spans="1:8" x14ac:dyDescent="0.2">
      <c r="A13" s="138" t="s">
        <v>207</v>
      </c>
      <c r="B13" s="139" t="s">
        <v>3</v>
      </c>
      <c r="C13" s="20">
        <v>38</v>
      </c>
      <c r="D13" s="20">
        <v>51</v>
      </c>
      <c r="E13" s="20">
        <v>74</v>
      </c>
      <c r="F13" s="22" t="s">
        <v>240</v>
      </c>
      <c r="G13" s="133">
        <v>94.73684210526315</v>
      </c>
      <c r="H13" s="134">
        <v>45.098039215686271</v>
      </c>
    </row>
    <row r="14" spans="1:8" x14ac:dyDescent="0.2">
      <c r="A14" s="142"/>
      <c r="B14" s="135" t="s">
        <v>240</v>
      </c>
      <c r="C14" s="26" t="s">
        <v>240</v>
      </c>
      <c r="D14" s="26" t="s">
        <v>240</v>
      </c>
      <c r="E14" s="26" t="s">
        <v>240</v>
      </c>
      <c r="F14" s="27"/>
      <c r="G14" s="145" t="s">
        <v>240</v>
      </c>
      <c r="H14" s="134" t="s">
        <v>240</v>
      </c>
    </row>
    <row r="15" spans="1:8" x14ac:dyDescent="0.2">
      <c r="A15" s="138" t="s">
        <v>208</v>
      </c>
      <c r="B15" s="139" t="s">
        <v>3</v>
      </c>
      <c r="C15" s="20">
        <v>5</v>
      </c>
      <c r="D15" s="20">
        <v>4</v>
      </c>
      <c r="E15" s="20">
        <v>7</v>
      </c>
      <c r="F15" s="22" t="s">
        <v>240</v>
      </c>
      <c r="G15" s="144">
        <v>40</v>
      </c>
      <c r="H15" s="141">
        <v>75</v>
      </c>
    </row>
    <row r="16" spans="1:8" x14ac:dyDescent="0.2">
      <c r="A16" s="142"/>
      <c r="B16" s="135" t="s">
        <v>240</v>
      </c>
      <c r="C16" s="26" t="s">
        <v>240</v>
      </c>
      <c r="D16" s="26" t="s">
        <v>240</v>
      </c>
      <c r="E16" s="26" t="s">
        <v>240</v>
      </c>
      <c r="F16" s="27"/>
      <c r="G16" s="136" t="s">
        <v>240</v>
      </c>
      <c r="H16" s="137" t="s">
        <v>240</v>
      </c>
    </row>
    <row r="17" spans="1:9" x14ac:dyDescent="0.2">
      <c r="A17" s="138" t="s">
        <v>209</v>
      </c>
      <c r="B17" s="139" t="s">
        <v>3</v>
      </c>
      <c r="C17" s="20">
        <v>53</v>
      </c>
      <c r="D17" s="20">
        <v>49</v>
      </c>
      <c r="E17" s="20">
        <v>46</v>
      </c>
      <c r="F17" s="22" t="s">
        <v>240</v>
      </c>
      <c r="G17" s="144">
        <v>-13.20754716981132</v>
      </c>
      <c r="H17" s="141">
        <v>-6.1224489795918373</v>
      </c>
    </row>
    <row r="18" spans="1:9" x14ac:dyDescent="0.2">
      <c r="A18" s="142"/>
      <c r="B18" s="135" t="s">
        <v>240</v>
      </c>
      <c r="C18" s="26" t="s">
        <v>240</v>
      </c>
      <c r="D18" s="26" t="s">
        <v>240</v>
      </c>
      <c r="E18" s="26" t="s">
        <v>240</v>
      </c>
      <c r="F18" s="27"/>
      <c r="G18" s="136" t="s">
        <v>240</v>
      </c>
      <c r="H18" s="137" t="s">
        <v>240</v>
      </c>
    </row>
    <row r="19" spans="1:9" x14ac:dyDescent="0.2">
      <c r="A19" s="138" t="s">
        <v>210</v>
      </c>
      <c r="B19" s="139" t="s">
        <v>3</v>
      </c>
      <c r="C19" s="20">
        <v>431</v>
      </c>
      <c r="D19" s="20">
        <v>441</v>
      </c>
      <c r="E19" s="20">
        <v>546</v>
      </c>
      <c r="F19" s="22" t="s">
        <v>240</v>
      </c>
      <c r="G19" s="133">
        <v>26.682134570765669</v>
      </c>
      <c r="H19" s="134">
        <v>23.80952380952381</v>
      </c>
    </row>
    <row r="20" spans="1:9" ht="13.5" thickBot="1" x14ac:dyDescent="0.25">
      <c r="A20" s="148"/>
      <c r="B20" s="149" t="s">
        <v>240</v>
      </c>
      <c r="C20" s="43" t="s">
        <v>240</v>
      </c>
      <c r="D20" s="43" t="s">
        <v>240</v>
      </c>
      <c r="E20" s="43" t="s">
        <v>240</v>
      </c>
      <c r="F20" s="44"/>
      <c r="G20" s="150" t="s">
        <v>240</v>
      </c>
      <c r="H20" s="151" t="s">
        <v>240</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218</v>
      </c>
      <c r="B32" s="118"/>
      <c r="C32" s="118"/>
      <c r="D32" s="118"/>
      <c r="E32" s="118"/>
      <c r="F32" s="118"/>
      <c r="G32" s="118"/>
      <c r="H32" s="119"/>
    </row>
    <row r="33" spans="1:8" x14ac:dyDescent="0.2">
      <c r="A33" s="120"/>
      <c r="B33" s="121"/>
      <c r="C33" s="214" t="s">
        <v>16</v>
      </c>
      <c r="D33" s="210"/>
      <c r="E33" s="210"/>
      <c r="F33" s="215"/>
      <c r="G33" s="210" t="s">
        <v>1</v>
      </c>
      <c r="H33" s="211"/>
    </row>
    <row r="34" spans="1:8" x14ac:dyDescent="0.2">
      <c r="A34" s="125"/>
      <c r="B34" s="126"/>
      <c r="C34" s="127" t="s">
        <v>235</v>
      </c>
      <c r="D34" s="128" t="s">
        <v>236</v>
      </c>
      <c r="E34" s="128" t="s">
        <v>237</v>
      </c>
      <c r="F34" s="129"/>
      <c r="G34" s="130" t="s">
        <v>238</v>
      </c>
      <c r="H34" s="131" t="s">
        <v>239</v>
      </c>
    </row>
    <row r="35" spans="1:8" ht="12.75" customHeight="1" x14ac:dyDescent="0.2">
      <c r="A35" s="212" t="s">
        <v>204</v>
      </c>
      <c r="B35" s="132" t="s">
        <v>3</v>
      </c>
      <c r="C35" s="80">
        <v>330.10029545906696</v>
      </c>
      <c r="D35" s="80">
        <v>415.12542028118122</v>
      </c>
      <c r="E35" s="81">
        <v>442.39533603703228</v>
      </c>
      <c r="F35" s="22" t="s">
        <v>240</v>
      </c>
      <c r="G35" s="133">
        <v>34.018461092801431</v>
      </c>
      <c r="H35" s="134">
        <v>6.5690787467026297</v>
      </c>
    </row>
    <row r="36" spans="1:8" ht="12.75" customHeight="1" x14ac:dyDescent="0.2">
      <c r="A36" s="213"/>
      <c r="B36" s="135" t="s">
        <v>240</v>
      </c>
      <c r="C36" s="82" t="s">
        <v>240</v>
      </c>
      <c r="D36" s="82" t="s">
        <v>240</v>
      </c>
      <c r="E36" s="82" t="s">
        <v>240</v>
      </c>
      <c r="F36" s="27"/>
      <c r="G36" s="136" t="s">
        <v>240</v>
      </c>
      <c r="H36" s="137" t="s">
        <v>240</v>
      </c>
    </row>
    <row r="37" spans="1:8" x14ac:dyDescent="0.2">
      <c r="A37" s="138" t="s">
        <v>205</v>
      </c>
      <c r="B37" s="139" t="s">
        <v>3</v>
      </c>
      <c r="C37" s="80">
        <v>144.50953465707752</v>
      </c>
      <c r="D37" s="80">
        <v>207.30359711746152</v>
      </c>
      <c r="E37" s="80">
        <v>232.19116150073808</v>
      </c>
      <c r="F37" s="22" t="s">
        <v>240</v>
      </c>
      <c r="G37" s="140">
        <v>60.675322947880147</v>
      </c>
      <c r="H37" s="141">
        <v>12.005370253741845</v>
      </c>
    </row>
    <row r="38" spans="1:8" x14ac:dyDescent="0.2">
      <c r="A38" s="142"/>
      <c r="B38" s="135" t="s">
        <v>240</v>
      </c>
      <c r="C38" s="82" t="s">
        <v>240</v>
      </c>
      <c r="D38" s="82" t="s">
        <v>240</v>
      </c>
      <c r="E38" s="82" t="s">
        <v>240</v>
      </c>
      <c r="F38" s="27"/>
      <c r="G38" s="143" t="s">
        <v>240</v>
      </c>
      <c r="H38" s="137" t="s">
        <v>240</v>
      </c>
    </row>
    <row r="39" spans="1:8" x14ac:dyDescent="0.2">
      <c r="A39" s="138" t="s">
        <v>206</v>
      </c>
      <c r="B39" s="139" t="s">
        <v>3</v>
      </c>
      <c r="C39" s="80">
        <v>46.373355378041389</v>
      </c>
      <c r="D39" s="80">
        <v>50.908147267800821</v>
      </c>
      <c r="E39" s="80">
        <v>61.2755973662955</v>
      </c>
      <c r="F39" s="22" t="s">
        <v>240</v>
      </c>
      <c r="G39" s="144">
        <v>32.135354163547504</v>
      </c>
      <c r="H39" s="141">
        <v>20.365011604050352</v>
      </c>
    </row>
    <row r="40" spans="1:8" x14ac:dyDescent="0.2">
      <c r="A40" s="142"/>
      <c r="B40" s="135" t="s">
        <v>240</v>
      </c>
      <c r="C40" s="82" t="s">
        <v>240</v>
      </c>
      <c r="D40" s="82" t="s">
        <v>240</v>
      </c>
      <c r="E40" s="82" t="s">
        <v>240</v>
      </c>
      <c r="F40" s="27"/>
      <c r="G40" s="136" t="s">
        <v>240</v>
      </c>
      <c r="H40" s="137" t="s">
        <v>240</v>
      </c>
    </row>
    <row r="41" spans="1:8" x14ac:dyDescent="0.2">
      <c r="A41" s="138" t="s">
        <v>207</v>
      </c>
      <c r="B41" s="139" t="s">
        <v>3</v>
      </c>
      <c r="C41" s="80">
        <v>17.830273332134695</v>
      </c>
      <c r="D41" s="80">
        <v>28.439677639682689</v>
      </c>
      <c r="E41" s="80">
        <v>32.595159562592265</v>
      </c>
      <c r="F41" s="22" t="s">
        <v>240</v>
      </c>
      <c r="G41" s="133">
        <v>82.80796348672618</v>
      </c>
      <c r="H41" s="134">
        <v>14.611564784796698</v>
      </c>
    </row>
    <row r="42" spans="1:8" x14ac:dyDescent="0.2">
      <c r="A42" s="142"/>
      <c r="B42" s="135" t="s">
        <v>240</v>
      </c>
      <c r="C42" s="82" t="s">
        <v>240</v>
      </c>
      <c r="D42" s="82" t="s">
        <v>240</v>
      </c>
      <c r="E42" s="82" t="s">
        <v>240</v>
      </c>
      <c r="F42" s="27"/>
      <c r="G42" s="145" t="s">
        <v>240</v>
      </c>
      <c r="H42" s="134" t="s">
        <v>240</v>
      </c>
    </row>
    <row r="43" spans="1:8" x14ac:dyDescent="0.2">
      <c r="A43" s="138" t="s">
        <v>208</v>
      </c>
      <c r="B43" s="139" t="s">
        <v>3</v>
      </c>
      <c r="C43" s="80">
        <v>2.0636149045906702</v>
      </c>
      <c r="D43" s="80">
        <v>2.426936662811813</v>
      </c>
      <c r="E43" s="80">
        <v>3.1888580803703235</v>
      </c>
      <c r="F43" s="22" t="s">
        <v>240</v>
      </c>
      <c r="G43" s="144">
        <v>54.52776936609942</v>
      </c>
      <c r="H43" s="141">
        <v>31.394367608908226</v>
      </c>
    </row>
    <row r="44" spans="1:8" x14ac:dyDescent="0.2">
      <c r="A44" s="142"/>
      <c r="B44" s="135" t="s">
        <v>240</v>
      </c>
      <c r="C44" s="82" t="s">
        <v>240</v>
      </c>
      <c r="D44" s="82" t="s">
        <v>240</v>
      </c>
      <c r="E44" s="82" t="s">
        <v>240</v>
      </c>
      <c r="F44" s="27"/>
      <c r="G44" s="136" t="s">
        <v>240</v>
      </c>
      <c r="H44" s="137" t="s">
        <v>240</v>
      </c>
    </row>
    <row r="45" spans="1:8" x14ac:dyDescent="0.2">
      <c r="A45" s="138" t="s">
        <v>209</v>
      </c>
      <c r="B45" s="139" t="s">
        <v>3</v>
      </c>
      <c r="C45" s="80">
        <v>17.034349522953349</v>
      </c>
      <c r="D45" s="80">
        <v>21.842891314059059</v>
      </c>
      <c r="E45" s="80">
        <v>21.259768401851616</v>
      </c>
      <c r="F45" s="22" t="s">
        <v>240</v>
      </c>
      <c r="G45" s="144">
        <v>24.805284599829449</v>
      </c>
      <c r="H45" s="141">
        <v>-2.6696232830317683</v>
      </c>
    </row>
    <row r="46" spans="1:8" x14ac:dyDescent="0.2">
      <c r="A46" s="142"/>
      <c r="B46" s="135" t="s">
        <v>240</v>
      </c>
      <c r="C46" s="82" t="s">
        <v>240</v>
      </c>
      <c r="D46" s="82" t="s">
        <v>240</v>
      </c>
      <c r="E46" s="82" t="s">
        <v>240</v>
      </c>
      <c r="F46" s="27"/>
      <c r="G46" s="136" t="s">
        <v>240</v>
      </c>
      <c r="H46" s="137" t="s">
        <v>240</v>
      </c>
    </row>
    <row r="47" spans="1:8" x14ac:dyDescent="0.2">
      <c r="A47" s="138" t="s">
        <v>210</v>
      </c>
      <c r="B47" s="139" t="s">
        <v>3</v>
      </c>
      <c r="C47" s="80">
        <v>102.28916766426937</v>
      </c>
      <c r="D47" s="80">
        <v>104.20417027936539</v>
      </c>
      <c r="E47" s="80">
        <v>91.88479112518452</v>
      </c>
      <c r="F47" s="22" t="s">
        <v>240</v>
      </c>
      <c r="G47" s="133">
        <v>-10.171533092569291</v>
      </c>
      <c r="H47" s="134">
        <v>-11.822347532880229</v>
      </c>
    </row>
    <row r="48" spans="1:8" ht="13.5" thickBot="1" x14ac:dyDescent="0.25">
      <c r="A48" s="148"/>
      <c r="B48" s="149" t="s">
        <v>240</v>
      </c>
      <c r="C48" s="86" t="s">
        <v>240</v>
      </c>
      <c r="D48" s="86" t="s">
        <v>240</v>
      </c>
      <c r="E48" s="86" t="s">
        <v>240</v>
      </c>
      <c r="F48" s="44"/>
      <c r="G48" s="150" t="s">
        <v>240</v>
      </c>
      <c r="H48" s="151" t="s">
        <v>240</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241</v>
      </c>
      <c r="G61" s="162"/>
      <c r="H61" s="208">
        <v>22</v>
      </c>
    </row>
    <row r="62" spans="1:9" ht="12.75" customHeight="1" x14ac:dyDescent="0.2">
      <c r="A62" s="161" t="s">
        <v>242</v>
      </c>
      <c r="G62" s="162"/>
      <c r="H62" s="209"/>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219</v>
      </c>
      <c r="B4" s="118"/>
      <c r="C4" s="118"/>
      <c r="D4" s="118"/>
      <c r="E4" s="118"/>
      <c r="F4" s="118"/>
      <c r="G4" s="118"/>
      <c r="H4" s="119"/>
    </row>
    <row r="5" spans="1:8" x14ac:dyDescent="0.2">
      <c r="A5" s="120"/>
      <c r="B5" s="121"/>
      <c r="C5" s="122"/>
      <c r="D5" s="121"/>
      <c r="E5" s="123"/>
      <c r="F5" s="124"/>
      <c r="G5" s="210" t="s">
        <v>1</v>
      </c>
      <c r="H5" s="211"/>
    </row>
    <row r="6" spans="1:8" x14ac:dyDescent="0.2">
      <c r="A6" s="125"/>
      <c r="B6" s="126"/>
      <c r="C6" s="127" t="s">
        <v>235</v>
      </c>
      <c r="D6" s="128" t="s">
        <v>236</v>
      </c>
      <c r="E6" s="128" t="s">
        <v>237</v>
      </c>
      <c r="F6" s="129"/>
      <c r="G6" s="130" t="s">
        <v>238</v>
      </c>
      <c r="H6" s="131" t="s">
        <v>239</v>
      </c>
    </row>
    <row r="7" spans="1:8" ht="12.75" customHeight="1" x14ac:dyDescent="0.2">
      <c r="A7" s="212" t="s">
        <v>211</v>
      </c>
      <c r="B7" s="132" t="s">
        <v>3</v>
      </c>
      <c r="C7" s="20">
        <v>247116.93649583758</v>
      </c>
      <c r="D7" s="20">
        <v>269991.33667365054</v>
      </c>
      <c r="E7" s="79">
        <v>281795.98794041621</v>
      </c>
      <c r="F7" s="22" t="s">
        <v>240</v>
      </c>
      <c r="G7" s="133">
        <v>14.033457979988654</v>
      </c>
      <c r="H7" s="134">
        <v>4.3722333509665248</v>
      </c>
    </row>
    <row r="8" spans="1:8" ht="12.75" customHeight="1" x14ac:dyDescent="0.2">
      <c r="A8" s="213"/>
      <c r="B8" s="135" t="s">
        <v>240</v>
      </c>
      <c r="C8" s="26" t="s">
        <v>240</v>
      </c>
      <c r="D8" s="26" t="s">
        <v>240</v>
      </c>
      <c r="E8" s="26" t="s">
        <v>240</v>
      </c>
      <c r="F8" s="27"/>
      <c r="G8" s="136" t="s">
        <v>240</v>
      </c>
      <c r="H8" s="137" t="s">
        <v>240</v>
      </c>
    </row>
    <row r="9" spans="1:8" x14ac:dyDescent="0.2">
      <c r="A9" s="138" t="s">
        <v>230</v>
      </c>
      <c r="B9" s="139" t="s">
        <v>3</v>
      </c>
      <c r="C9" s="20">
        <v>10549.791249242462</v>
      </c>
      <c r="D9" s="20">
        <v>11637.129718670916</v>
      </c>
      <c r="E9" s="20">
        <v>11206.538595687682</v>
      </c>
      <c r="F9" s="22" t="s">
        <v>240</v>
      </c>
      <c r="G9" s="140">
        <v>6.2252165083586561</v>
      </c>
      <c r="H9" s="141">
        <v>-3.7001488631030952</v>
      </c>
    </row>
    <row r="10" spans="1:8" x14ac:dyDescent="0.2">
      <c r="A10" s="142"/>
      <c r="B10" s="135" t="s">
        <v>240</v>
      </c>
      <c r="C10" s="26" t="s">
        <v>240</v>
      </c>
      <c r="D10" s="26" t="s">
        <v>240</v>
      </c>
      <c r="E10" s="26" t="s">
        <v>240</v>
      </c>
      <c r="F10" s="27"/>
      <c r="G10" s="143" t="s">
        <v>240</v>
      </c>
      <c r="H10" s="137" t="s">
        <v>240</v>
      </c>
    </row>
    <row r="11" spans="1:8" x14ac:dyDescent="0.2">
      <c r="A11" s="138" t="s">
        <v>234</v>
      </c>
      <c r="B11" s="139" t="s">
        <v>3</v>
      </c>
      <c r="C11" s="20">
        <v>151361.056871704</v>
      </c>
      <c r="D11" s="20">
        <v>152231.31228188321</v>
      </c>
      <c r="E11" s="20">
        <v>165152.23248157973</v>
      </c>
      <c r="F11" s="22" t="s">
        <v>240</v>
      </c>
      <c r="G11" s="144">
        <v>9.1114424640714304</v>
      </c>
      <c r="H11" s="141">
        <v>8.4876889031680633</v>
      </c>
    </row>
    <row r="12" spans="1:8" x14ac:dyDescent="0.2">
      <c r="A12" s="142"/>
      <c r="B12" s="135" t="s">
        <v>240</v>
      </c>
      <c r="C12" s="26" t="s">
        <v>240</v>
      </c>
      <c r="D12" s="26" t="s">
        <v>240</v>
      </c>
      <c r="E12" s="26" t="s">
        <v>240</v>
      </c>
      <c r="F12" s="27"/>
      <c r="G12" s="136" t="s">
        <v>240</v>
      </c>
      <c r="H12" s="137" t="s">
        <v>240</v>
      </c>
    </row>
    <row r="13" spans="1:8" x14ac:dyDescent="0.2">
      <c r="A13" s="138" t="s">
        <v>212</v>
      </c>
      <c r="B13" s="139" t="s">
        <v>3</v>
      </c>
      <c r="C13" s="20">
        <v>87322.360329718533</v>
      </c>
      <c r="D13" s="20">
        <v>101479.15804518112</v>
      </c>
      <c r="E13" s="20">
        <v>102402.04104909507</v>
      </c>
      <c r="F13" s="22" t="s">
        <v>240</v>
      </c>
      <c r="G13" s="133">
        <v>17.268979746353068</v>
      </c>
      <c r="H13" s="134">
        <v>0.90943108091521196</v>
      </c>
    </row>
    <row r="14" spans="1:8" x14ac:dyDescent="0.2">
      <c r="A14" s="142"/>
      <c r="B14" s="135" t="s">
        <v>240</v>
      </c>
      <c r="C14" s="26" t="s">
        <v>240</v>
      </c>
      <c r="D14" s="26" t="s">
        <v>240</v>
      </c>
      <c r="E14" s="26" t="s">
        <v>240</v>
      </c>
      <c r="F14" s="27"/>
      <c r="G14" s="145" t="s">
        <v>240</v>
      </c>
      <c r="H14" s="134" t="s">
        <v>240</v>
      </c>
    </row>
    <row r="15" spans="1:8" x14ac:dyDescent="0.2">
      <c r="A15" s="138" t="s">
        <v>213</v>
      </c>
      <c r="B15" s="139" t="s">
        <v>3</v>
      </c>
      <c r="C15" s="20">
        <v>5622</v>
      </c>
      <c r="D15" s="20">
        <v>6395</v>
      </c>
      <c r="E15" s="20">
        <v>9250</v>
      </c>
      <c r="F15" s="22" t="s">
        <v>240</v>
      </c>
      <c r="G15" s="144">
        <v>64.532194948416929</v>
      </c>
      <c r="H15" s="141">
        <v>44.644253322908526</v>
      </c>
    </row>
    <row r="16" spans="1:8" x14ac:dyDescent="0.2">
      <c r="A16" s="142"/>
      <c r="B16" s="135" t="s">
        <v>240</v>
      </c>
      <c r="C16" s="26" t="s">
        <v>240</v>
      </c>
      <c r="D16" s="26" t="s">
        <v>240</v>
      </c>
      <c r="E16" s="26" t="s">
        <v>240</v>
      </c>
      <c r="F16" s="27"/>
      <c r="G16" s="136" t="s">
        <v>240</v>
      </c>
      <c r="H16" s="137" t="s">
        <v>240</v>
      </c>
    </row>
    <row r="17" spans="1:9" x14ac:dyDescent="0.2">
      <c r="A17" s="138" t="s">
        <v>214</v>
      </c>
      <c r="B17" s="139" t="s">
        <v>3</v>
      </c>
      <c r="C17" s="20">
        <v>12116.728045172593</v>
      </c>
      <c r="D17" s="20">
        <v>15147.73662791529</v>
      </c>
      <c r="E17" s="20">
        <v>10392.175814053724</v>
      </c>
      <c r="F17" s="22" t="s">
        <v>240</v>
      </c>
      <c r="G17" s="133">
        <v>-14.232821143542509</v>
      </c>
      <c r="H17" s="134">
        <v>-31.394530619826682</v>
      </c>
    </row>
    <row r="18" spans="1:9" ht="13.5" thickBot="1" x14ac:dyDescent="0.25">
      <c r="A18" s="148"/>
      <c r="B18" s="149" t="s">
        <v>240</v>
      </c>
      <c r="C18" s="43" t="s">
        <v>240</v>
      </c>
      <c r="D18" s="43" t="s">
        <v>240</v>
      </c>
      <c r="E18" s="43" t="s">
        <v>240</v>
      </c>
      <c r="F18" s="44"/>
      <c r="G18" s="150" t="s">
        <v>240</v>
      </c>
      <c r="H18" s="151" t="s">
        <v>240</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220</v>
      </c>
      <c r="B32" s="118"/>
      <c r="C32" s="118"/>
      <c r="D32" s="118"/>
      <c r="E32" s="118"/>
      <c r="F32" s="118"/>
      <c r="G32" s="118"/>
      <c r="H32" s="119"/>
    </row>
    <row r="33" spans="1:8" x14ac:dyDescent="0.2">
      <c r="A33" s="120"/>
      <c r="B33" s="121"/>
      <c r="C33" s="214" t="s">
        <v>16</v>
      </c>
      <c r="D33" s="210"/>
      <c r="E33" s="210"/>
      <c r="F33" s="215"/>
      <c r="G33" s="210" t="s">
        <v>1</v>
      </c>
      <c r="H33" s="211"/>
    </row>
    <row r="34" spans="1:8" x14ac:dyDescent="0.2">
      <c r="A34" s="125"/>
      <c r="B34" s="126"/>
      <c r="C34" s="127" t="s">
        <v>235</v>
      </c>
      <c r="D34" s="128" t="s">
        <v>236</v>
      </c>
      <c r="E34" s="128" t="s">
        <v>237</v>
      </c>
      <c r="F34" s="129"/>
      <c r="G34" s="130" t="s">
        <v>238</v>
      </c>
      <c r="H34" s="131" t="s">
        <v>239</v>
      </c>
    </row>
    <row r="35" spans="1:8" ht="12.75" customHeight="1" x14ac:dyDescent="0.2">
      <c r="A35" s="212" t="s">
        <v>211</v>
      </c>
      <c r="B35" s="132" t="s">
        <v>3</v>
      </c>
      <c r="C35" s="80">
        <v>889.62084010833598</v>
      </c>
      <c r="D35" s="80">
        <v>982.35582708179106</v>
      </c>
      <c r="E35" s="81">
        <v>1097.9652333987906</v>
      </c>
      <c r="F35" s="22" t="s">
        <v>240</v>
      </c>
      <c r="G35" s="133">
        <v>23.419459605407056</v>
      </c>
      <c r="H35" s="134">
        <v>11.768587626790136</v>
      </c>
    </row>
    <row r="36" spans="1:8" ht="12.75" customHeight="1" x14ac:dyDescent="0.2">
      <c r="A36" s="213"/>
      <c r="B36" s="135" t="s">
        <v>240</v>
      </c>
      <c r="C36" s="82" t="s">
        <v>240</v>
      </c>
      <c r="D36" s="82" t="s">
        <v>240</v>
      </c>
      <c r="E36" s="82" t="s">
        <v>240</v>
      </c>
      <c r="F36" s="27"/>
      <c r="G36" s="136" t="s">
        <v>240</v>
      </c>
      <c r="H36" s="137" t="s">
        <v>240</v>
      </c>
    </row>
    <row r="37" spans="1:8" x14ac:dyDescent="0.2">
      <c r="A37" s="138" t="s">
        <v>230</v>
      </c>
      <c r="B37" s="139" t="s">
        <v>3</v>
      </c>
      <c r="C37" s="80">
        <v>299.2670865534875</v>
      </c>
      <c r="D37" s="80">
        <v>317.98876156719399</v>
      </c>
      <c r="E37" s="80">
        <v>326.23983367946346</v>
      </c>
      <c r="F37" s="22" t="s">
        <v>240</v>
      </c>
      <c r="G37" s="140">
        <v>9.0129347121355323</v>
      </c>
      <c r="H37" s="141">
        <v>2.5947684665346173</v>
      </c>
    </row>
    <row r="38" spans="1:8" x14ac:dyDescent="0.2">
      <c r="A38" s="142"/>
      <c r="B38" s="135" t="s">
        <v>240</v>
      </c>
      <c r="C38" s="82" t="s">
        <v>240</v>
      </c>
      <c r="D38" s="82" t="s">
        <v>240</v>
      </c>
      <c r="E38" s="82" t="s">
        <v>240</v>
      </c>
      <c r="F38" s="27"/>
      <c r="G38" s="143" t="s">
        <v>240</v>
      </c>
      <c r="H38" s="137" t="s">
        <v>240</v>
      </c>
    </row>
    <row r="39" spans="1:8" x14ac:dyDescent="0.2">
      <c r="A39" s="138" t="s">
        <v>234</v>
      </c>
      <c r="B39" s="139" t="s">
        <v>3</v>
      </c>
      <c r="C39" s="80">
        <v>217.65020579376716</v>
      </c>
      <c r="D39" s="80">
        <v>227.19536181345052</v>
      </c>
      <c r="E39" s="80">
        <v>256.23559530104421</v>
      </c>
      <c r="F39" s="22" t="s">
        <v>240</v>
      </c>
      <c r="G39" s="144">
        <v>17.728165873566113</v>
      </c>
      <c r="H39" s="141">
        <v>12.782053848193684</v>
      </c>
    </row>
    <row r="40" spans="1:8" x14ac:dyDescent="0.2">
      <c r="A40" s="142"/>
      <c r="B40" s="135" t="s">
        <v>240</v>
      </c>
      <c r="C40" s="82" t="s">
        <v>240</v>
      </c>
      <c r="D40" s="82" t="s">
        <v>240</v>
      </c>
      <c r="E40" s="82" t="s">
        <v>240</v>
      </c>
      <c r="F40" s="27"/>
      <c r="G40" s="136" t="s">
        <v>240</v>
      </c>
      <c r="H40" s="137" t="s">
        <v>240</v>
      </c>
    </row>
    <row r="41" spans="1:8" x14ac:dyDescent="0.2">
      <c r="A41" s="138" t="s">
        <v>212</v>
      </c>
      <c r="B41" s="139" t="s">
        <v>3</v>
      </c>
      <c r="C41" s="80">
        <v>269.30721068588025</v>
      </c>
      <c r="D41" s="80">
        <v>283.77362038047022</v>
      </c>
      <c r="E41" s="80">
        <v>345.55780100399937</v>
      </c>
      <c r="F41" s="22" t="s">
        <v>240</v>
      </c>
      <c r="G41" s="133">
        <v>28.313608879584649</v>
      </c>
      <c r="H41" s="134">
        <v>21.772348162839037</v>
      </c>
    </row>
    <row r="42" spans="1:8" x14ac:dyDescent="0.2">
      <c r="A42" s="142"/>
      <c r="B42" s="135" t="s">
        <v>240</v>
      </c>
      <c r="C42" s="82" t="s">
        <v>240</v>
      </c>
      <c r="D42" s="82" t="s">
        <v>240</v>
      </c>
      <c r="E42" s="82" t="s">
        <v>240</v>
      </c>
      <c r="F42" s="27"/>
      <c r="G42" s="145" t="s">
        <v>240</v>
      </c>
      <c r="H42" s="134" t="s">
        <v>240</v>
      </c>
    </row>
    <row r="43" spans="1:8" x14ac:dyDescent="0.2">
      <c r="A43" s="138" t="s">
        <v>213</v>
      </c>
      <c r="B43" s="139" t="s">
        <v>3</v>
      </c>
      <c r="C43" s="80">
        <v>27.488966675166722</v>
      </c>
      <c r="D43" s="80">
        <v>31.958343427435825</v>
      </c>
      <c r="E43" s="80">
        <v>50.626081812198294</v>
      </c>
      <c r="F43" s="22" t="s">
        <v>240</v>
      </c>
      <c r="G43" s="144">
        <v>84.168733624801632</v>
      </c>
      <c r="H43" s="141">
        <v>58.412722258740274</v>
      </c>
    </row>
    <row r="44" spans="1:8" x14ac:dyDescent="0.2">
      <c r="A44" s="142"/>
      <c r="B44" s="135" t="s">
        <v>240</v>
      </c>
      <c r="C44" s="82" t="s">
        <v>240</v>
      </c>
      <c r="D44" s="82" t="s">
        <v>240</v>
      </c>
      <c r="E44" s="82" t="s">
        <v>240</v>
      </c>
      <c r="F44" s="27"/>
      <c r="G44" s="136" t="s">
        <v>240</v>
      </c>
      <c r="H44" s="137" t="s">
        <v>240</v>
      </c>
    </row>
    <row r="45" spans="1:8" x14ac:dyDescent="0.2">
      <c r="A45" s="138" t="s">
        <v>214</v>
      </c>
      <c r="B45" s="139" t="s">
        <v>3</v>
      </c>
      <c r="C45" s="80">
        <v>75.907370400034452</v>
      </c>
      <c r="D45" s="80">
        <v>121.43973989324058</v>
      </c>
      <c r="E45" s="80">
        <v>119.30592160208494</v>
      </c>
      <c r="F45" s="22" t="s">
        <v>240</v>
      </c>
      <c r="G45" s="133">
        <v>57.173039947687045</v>
      </c>
      <c r="H45" s="134">
        <v>-1.7571005117694654</v>
      </c>
    </row>
    <row r="46" spans="1:8" ht="13.5" thickBot="1" x14ac:dyDescent="0.25">
      <c r="A46" s="148"/>
      <c r="B46" s="149" t="s">
        <v>240</v>
      </c>
      <c r="C46" s="86" t="s">
        <v>240</v>
      </c>
      <c r="D46" s="86" t="s">
        <v>240</v>
      </c>
      <c r="E46" s="86" t="s">
        <v>240</v>
      </c>
      <c r="F46" s="44"/>
      <c r="G46" s="150" t="s">
        <v>240</v>
      </c>
      <c r="H46" s="151" t="s">
        <v>240</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241</v>
      </c>
      <c r="G61" s="162"/>
      <c r="H61" s="208">
        <v>23</v>
      </c>
    </row>
    <row r="62" spans="1:9" ht="12.75" customHeight="1" x14ac:dyDescent="0.2">
      <c r="A62" s="161" t="s">
        <v>242</v>
      </c>
      <c r="G62" s="162"/>
      <c r="H62" s="209"/>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2018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132</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133</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134</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135</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136</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137</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138</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167</v>
      </c>
      <c r="C40" s="73"/>
      <c r="D40" s="73"/>
      <c r="E40" s="73"/>
      <c r="F40" s="73"/>
      <c r="G40" s="73"/>
      <c r="H40" s="76">
        <f>+H38+1</f>
        <v>17</v>
      </c>
      <c r="N40" s="77"/>
    </row>
    <row r="41" spans="1:14" ht="12.75" customHeight="1" x14ac:dyDescent="0.25">
      <c r="B41" s="73" t="s">
        <v>168</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173</v>
      </c>
      <c r="B43" s="73" t="s">
        <v>139</v>
      </c>
      <c r="H43" s="76">
        <f>+H40+1</f>
        <v>18</v>
      </c>
      <c r="N43" s="77"/>
    </row>
    <row r="44" spans="1:14" ht="12.75" customHeight="1" x14ac:dyDescent="0.25">
      <c r="B44" s="73" t="s">
        <v>104</v>
      </c>
      <c r="H44" s="76">
        <f>+H43</f>
        <v>18</v>
      </c>
      <c r="N44" s="77"/>
    </row>
    <row r="45" spans="1:14" ht="12.75" customHeight="1" x14ac:dyDescent="0.25">
      <c r="A45" s="91" t="s">
        <v>125</v>
      </c>
      <c r="B45" s="73" t="s">
        <v>140</v>
      </c>
      <c r="H45" s="76">
        <f>+H43+1</f>
        <v>19</v>
      </c>
      <c r="N45" s="77"/>
    </row>
    <row r="46" spans="1:14" ht="12.75" customHeight="1" x14ac:dyDescent="0.25">
      <c r="B46" s="73" t="s">
        <v>102</v>
      </c>
      <c r="H46" s="76">
        <f>+H45</f>
        <v>19</v>
      </c>
      <c r="N46" s="77"/>
    </row>
    <row r="47" spans="1:14" ht="12.75" customHeight="1" x14ac:dyDescent="0.25">
      <c r="A47" s="91" t="s">
        <v>126</v>
      </c>
      <c r="B47" s="73" t="s">
        <v>141</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Skadestatistikk</v>
      </c>
      <c r="H61" s="196">
        <v>1</v>
      </c>
      <c r="I61" s="77"/>
    </row>
    <row r="62" spans="1:14" ht="12.75" customHeight="1" x14ac:dyDescent="0.2">
      <c r="B62" s="54" t="str">
        <f>+B124</f>
        <v>Skadestatistikk for landbasert forsikring 4. kvartal 2018</v>
      </c>
      <c r="H62" s="197"/>
      <c r="I62" s="77"/>
    </row>
    <row r="63" spans="1:14" ht="12.75" customHeight="1" x14ac:dyDescent="0.2">
      <c r="I63" s="77"/>
    </row>
    <row r="64" spans="1:14" ht="12.75" customHeight="1" x14ac:dyDescent="0.2">
      <c r="I64" s="77"/>
    </row>
    <row r="66" spans="1:13" ht="12.75" customHeight="1" x14ac:dyDescent="0.25">
      <c r="A66" s="91" t="s">
        <v>127</v>
      </c>
      <c r="B66" s="73" t="s">
        <v>221</v>
      </c>
      <c r="H66" s="76">
        <f>H48+1</f>
        <v>21</v>
      </c>
    </row>
    <row r="67" spans="1:13" ht="12.75" customHeight="1" x14ac:dyDescent="0.25">
      <c r="B67" s="73" t="s">
        <v>222</v>
      </c>
      <c r="H67" s="76">
        <f>H66</f>
        <v>21</v>
      </c>
    </row>
    <row r="68" spans="1:13" ht="12.75" customHeight="1" x14ac:dyDescent="0.25">
      <c r="A68" s="91" t="s">
        <v>128</v>
      </c>
      <c r="B68" s="73" t="s">
        <v>223</v>
      </c>
      <c r="H68" s="76">
        <f>H67+1</f>
        <v>22</v>
      </c>
    </row>
    <row r="69" spans="1:13" ht="12.75" customHeight="1" x14ac:dyDescent="0.25">
      <c r="B69" s="73" t="s">
        <v>224</v>
      </c>
      <c r="H69" s="76">
        <f>H68</f>
        <v>22</v>
      </c>
    </row>
    <row r="70" spans="1:13" ht="12.75" customHeight="1" x14ac:dyDescent="0.25">
      <c r="A70" s="91" t="s">
        <v>129</v>
      </c>
      <c r="B70" s="73" t="s">
        <v>225</v>
      </c>
      <c r="H70" s="76">
        <f>H69+1</f>
        <v>23</v>
      </c>
      <c r="J70"/>
      <c r="K70"/>
      <c r="L70"/>
      <c r="M70"/>
    </row>
    <row r="71" spans="1:13" ht="12.75" customHeight="1" x14ac:dyDescent="0.25">
      <c r="B71" s="73" t="s">
        <v>226</v>
      </c>
      <c r="H71" s="76">
        <f>H70</f>
        <v>23</v>
      </c>
      <c r="J71"/>
      <c r="K71" s="71"/>
      <c r="L71" s="72"/>
      <c r="M71" s="72"/>
    </row>
    <row r="72" spans="1:13" ht="12.75" customHeight="1" x14ac:dyDescent="0.2">
      <c r="J72"/>
      <c r="K72" s="70"/>
      <c r="L72"/>
      <c r="M72"/>
    </row>
    <row r="73" spans="1:13" ht="12.75" customHeight="1" x14ac:dyDescent="0.25">
      <c r="A73" s="91" t="s">
        <v>130</v>
      </c>
      <c r="B73" s="73" t="s">
        <v>142</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227</v>
      </c>
      <c r="B75" s="73" t="s">
        <v>143</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228</v>
      </c>
      <c r="B77" s="73" t="s">
        <v>144</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229</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Skadestatistikk"</f>
        <v>Finans Norge / Skadestatistikk</v>
      </c>
      <c r="H123" s="196">
        <v>2</v>
      </c>
      <c r="I123"/>
      <c r="J123" s="69"/>
      <c r="K123" s="69"/>
      <c r="L123" s="69"/>
    </row>
    <row r="124" spans="2:13" ht="12.75" customHeight="1" x14ac:dyDescent="0.2">
      <c r="B124" s="54" t="str">
        <f>"Skadestatistikk for landbasert forsikring 4. kvartal 2018"</f>
        <v>Skadestatistikk for landbasert forsikring 4. kvartal 2018</v>
      </c>
      <c r="H124" s="197"/>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x14ac:dyDescent="0.2">
      <c r="A7" s="201" t="s">
        <v>61</v>
      </c>
      <c r="B7" s="19" t="s">
        <v>3</v>
      </c>
      <c r="C7" s="20">
        <v>311962</v>
      </c>
      <c r="D7" s="20">
        <v>320312</v>
      </c>
      <c r="E7" s="79">
        <v>334023</v>
      </c>
      <c r="F7" s="22" t="s">
        <v>240</v>
      </c>
      <c r="G7" s="23">
        <v>7.071694629474095</v>
      </c>
      <c r="H7" s="24">
        <v>4.28051399885112</v>
      </c>
    </row>
    <row r="8" spans="1:8" x14ac:dyDescent="0.2">
      <c r="A8" s="202"/>
      <c r="B8" s="25" t="s">
        <v>240</v>
      </c>
      <c r="C8" s="26" t="s">
        <v>240</v>
      </c>
      <c r="D8" s="26" t="s">
        <v>240</v>
      </c>
      <c r="E8" s="26" t="s">
        <v>240</v>
      </c>
      <c r="F8" s="27"/>
      <c r="G8" s="28" t="s">
        <v>240</v>
      </c>
      <c r="H8" s="29" t="s">
        <v>240</v>
      </c>
    </row>
    <row r="9" spans="1:8" x14ac:dyDescent="0.2">
      <c r="A9" s="30" t="s">
        <v>62</v>
      </c>
      <c r="B9" s="31" t="s">
        <v>3</v>
      </c>
      <c r="C9" s="20">
        <v>101646.25</v>
      </c>
      <c r="D9" s="20">
        <v>95488</v>
      </c>
      <c r="E9" s="21">
        <v>93992</v>
      </c>
      <c r="F9" s="22" t="s">
        <v>240</v>
      </c>
      <c r="G9" s="32">
        <v>-7.5302827207103036</v>
      </c>
      <c r="H9" s="33">
        <v>-1.5666890080428999</v>
      </c>
    </row>
    <row r="10" spans="1:8" x14ac:dyDescent="0.2">
      <c r="A10" s="34"/>
      <c r="B10" s="25" t="s">
        <v>240</v>
      </c>
      <c r="C10" s="26" t="s">
        <v>240</v>
      </c>
      <c r="D10" s="26" t="s">
        <v>240</v>
      </c>
      <c r="E10" s="26" t="s">
        <v>240</v>
      </c>
      <c r="F10" s="27"/>
      <c r="G10" s="35" t="s">
        <v>240</v>
      </c>
      <c r="H10" s="29" t="s">
        <v>240</v>
      </c>
    </row>
    <row r="11" spans="1:8" x14ac:dyDescent="0.2">
      <c r="A11" s="30" t="s">
        <v>47</v>
      </c>
      <c r="B11" s="31" t="s">
        <v>3</v>
      </c>
      <c r="C11" s="20">
        <v>11526.5</v>
      </c>
      <c r="D11" s="20">
        <v>11450</v>
      </c>
      <c r="E11" s="21">
        <v>11791</v>
      </c>
      <c r="F11" s="22" t="s">
        <v>240</v>
      </c>
      <c r="G11" s="37">
        <v>2.2947121849650927</v>
      </c>
      <c r="H11" s="33">
        <v>2.9781659388646204</v>
      </c>
    </row>
    <row r="12" spans="1:8" x14ac:dyDescent="0.2">
      <c r="A12" s="34"/>
      <c r="B12" s="25" t="s">
        <v>240</v>
      </c>
      <c r="C12" s="26" t="s">
        <v>240</v>
      </c>
      <c r="D12" s="26" t="s">
        <v>240</v>
      </c>
      <c r="E12" s="26" t="s">
        <v>240</v>
      </c>
      <c r="F12" s="27"/>
      <c r="G12" s="28" t="s">
        <v>240</v>
      </c>
      <c r="H12" s="29" t="s">
        <v>240</v>
      </c>
    </row>
    <row r="13" spans="1:8" x14ac:dyDescent="0.2">
      <c r="A13" s="30" t="s">
        <v>48</v>
      </c>
      <c r="B13" s="31" t="s">
        <v>3</v>
      </c>
      <c r="C13" s="20">
        <v>94852.25</v>
      </c>
      <c r="D13" s="20">
        <v>94408</v>
      </c>
      <c r="E13" s="21">
        <v>97931</v>
      </c>
      <c r="F13" s="22" t="s">
        <v>240</v>
      </c>
      <c r="G13" s="23">
        <v>3.2458376053282905</v>
      </c>
      <c r="H13" s="24">
        <v>3.7316752817557699</v>
      </c>
    </row>
    <row r="14" spans="1:8" x14ac:dyDescent="0.2">
      <c r="A14" s="34"/>
      <c r="B14" s="25" t="s">
        <v>240</v>
      </c>
      <c r="C14" s="26" t="s">
        <v>240</v>
      </c>
      <c r="D14" s="26" t="s">
        <v>240</v>
      </c>
      <c r="E14" s="26" t="s">
        <v>240</v>
      </c>
      <c r="F14" s="27"/>
      <c r="G14" s="38" t="s">
        <v>240</v>
      </c>
      <c r="H14" s="24" t="s">
        <v>240</v>
      </c>
    </row>
    <row r="15" spans="1:8" x14ac:dyDescent="0.2">
      <c r="A15" s="30" t="s">
        <v>49</v>
      </c>
      <c r="B15" s="31" t="s">
        <v>3</v>
      </c>
      <c r="C15" s="20">
        <v>76225.75</v>
      </c>
      <c r="D15" s="20">
        <v>80714</v>
      </c>
      <c r="E15" s="21">
        <v>84431</v>
      </c>
      <c r="F15" s="22" t="s">
        <v>240</v>
      </c>
      <c r="G15" s="37">
        <v>10.764407040927779</v>
      </c>
      <c r="H15" s="33">
        <v>4.6051490447753736</v>
      </c>
    </row>
    <row r="16" spans="1:8" x14ac:dyDescent="0.2">
      <c r="A16" s="34"/>
      <c r="B16" s="25" t="s">
        <v>240</v>
      </c>
      <c r="C16" s="26" t="s">
        <v>240</v>
      </c>
      <c r="D16" s="26" t="s">
        <v>240</v>
      </c>
      <c r="E16" s="26" t="s">
        <v>240</v>
      </c>
      <c r="F16" s="27"/>
      <c r="G16" s="28" t="s">
        <v>240</v>
      </c>
      <c r="H16" s="29" t="s">
        <v>240</v>
      </c>
    </row>
    <row r="17" spans="1:9" x14ac:dyDescent="0.2">
      <c r="A17" s="30" t="s">
        <v>50</v>
      </c>
      <c r="B17" s="31" t="s">
        <v>3</v>
      </c>
      <c r="C17" s="20">
        <v>42717.25</v>
      </c>
      <c r="D17" s="20">
        <v>50788</v>
      </c>
      <c r="E17" s="21">
        <v>58963</v>
      </c>
      <c r="F17" s="22" t="s">
        <v>240</v>
      </c>
      <c r="G17" s="37">
        <v>38.03088916070206</v>
      </c>
      <c r="H17" s="33">
        <v>16.096321965818689</v>
      </c>
    </row>
    <row r="18" spans="1:9" ht="13.5" thickBot="1" x14ac:dyDescent="0.25">
      <c r="A18" s="56"/>
      <c r="B18" s="42" t="s">
        <v>240</v>
      </c>
      <c r="C18" s="43" t="s">
        <v>240</v>
      </c>
      <c r="D18" s="43" t="s">
        <v>240</v>
      </c>
      <c r="E18" s="43" t="s">
        <v>240</v>
      </c>
      <c r="F18" s="44"/>
      <c r="G18" s="57" t="s">
        <v>240</v>
      </c>
      <c r="H18" s="46" t="s">
        <v>240</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5" t="s">
        <v>16</v>
      </c>
      <c r="D33" s="199"/>
      <c r="E33" s="199"/>
      <c r="F33" s="206"/>
      <c r="G33" s="199" t="s">
        <v>1</v>
      </c>
      <c r="H33" s="200"/>
    </row>
    <row r="34" spans="1:9" x14ac:dyDescent="0.2">
      <c r="A34" s="12"/>
      <c r="B34" s="13"/>
      <c r="C34" s="14" t="s">
        <v>235</v>
      </c>
      <c r="D34" s="15" t="s">
        <v>236</v>
      </c>
      <c r="E34" s="15" t="s">
        <v>237</v>
      </c>
      <c r="F34" s="16"/>
      <c r="G34" s="17" t="s">
        <v>238</v>
      </c>
      <c r="H34" s="18" t="s">
        <v>239</v>
      </c>
    </row>
    <row r="35" spans="1:9" ht="12.75" customHeight="1" x14ac:dyDescent="0.2">
      <c r="A35" s="201" t="s">
        <v>61</v>
      </c>
      <c r="B35" s="19" t="s">
        <v>3</v>
      </c>
      <c r="C35" s="80">
        <v>2043.5081056764259</v>
      </c>
      <c r="D35" s="80">
        <v>2078.8919979673683</v>
      </c>
      <c r="E35" s="81">
        <v>2198.9291608924541</v>
      </c>
      <c r="F35" s="22" t="s">
        <v>240</v>
      </c>
      <c r="G35" s="23">
        <v>7.605600133628144</v>
      </c>
      <c r="H35" s="24">
        <v>5.7740932690323348</v>
      </c>
    </row>
    <row r="36" spans="1:9" ht="12.75" customHeight="1" x14ac:dyDescent="0.2">
      <c r="A36" s="202"/>
      <c r="B36" s="25" t="s">
        <v>240</v>
      </c>
      <c r="C36" s="82" t="s">
        <v>240</v>
      </c>
      <c r="D36" s="82" t="s">
        <v>240</v>
      </c>
      <c r="E36" s="82" t="s">
        <v>240</v>
      </c>
      <c r="F36" s="27"/>
      <c r="G36" s="28" t="s">
        <v>240</v>
      </c>
      <c r="H36" s="29" t="s">
        <v>240</v>
      </c>
    </row>
    <row r="37" spans="1:9" x14ac:dyDescent="0.2">
      <c r="A37" s="30" t="s">
        <v>62</v>
      </c>
      <c r="B37" s="31" t="s">
        <v>3</v>
      </c>
      <c r="C37" s="80">
        <v>329.54042657650552</v>
      </c>
      <c r="D37" s="80">
        <v>319.84506398723425</v>
      </c>
      <c r="E37" s="83">
        <v>322.94753879669884</v>
      </c>
      <c r="F37" s="22" t="s">
        <v>240</v>
      </c>
      <c r="G37" s="32">
        <v>-2.0006309539312639</v>
      </c>
      <c r="H37" s="33">
        <v>0.96999302436896073</v>
      </c>
    </row>
    <row r="38" spans="1:9" x14ac:dyDescent="0.2">
      <c r="A38" s="34"/>
      <c r="B38" s="25" t="s">
        <v>240</v>
      </c>
      <c r="C38" s="82" t="s">
        <v>240</v>
      </c>
      <c r="D38" s="82" t="s">
        <v>240</v>
      </c>
      <c r="E38" s="82" t="s">
        <v>240</v>
      </c>
      <c r="F38" s="27"/>
      <c r="G38" s="35" t="s">
        <v>240</v>
      </c>
      <c r="H38" s="29" t="s">
        <v>240</v>
      </c>
    </row>
    <row r="39" spans="1:9" x14ac:dyDescent="0.2">
      <c r="A39" s="30" t="s">
        <v>47</v>
      </c>
      <c r="B39" s="31" t="s">
        <v>3</v>
      </c>
      <c r="C39" s="80">
        <v>199.75558718437267</v>
      </c>
      <c r="D39" s="80">
        <v>202.57119352030472</v>
      </c>
      <c r="E39" s="83">
        <v>210.44794721508862</v>
      </c>
      <c r="F39" s="22" t="s">
        <v>240</v>
      </c>
      <c r="G39" s="37">
        <v>5.3527213838815015</v>
      </c>
      <c r="H39" s="33">
        <v>3.8883878590537932</v>
      </c>
    </row>
    <row r="40" spans="1:9" x14ac:dyDescent="0.2">
      <c r="A40" s="34"/>
      <c r="B40" s="25" t="s">
        <v>240</v>
      </c>
      <c r="C40" s="82" t="s">
        <v>240</v>
      </c>
      <c r="D40" s="82" t="s">
        <v>240</v>
      </c>
      <c r="E40" s="82" t="s">
        <v>240</v>
      </c>
      <c r="F40" s="27"/>
      <c r="G40" s="28" t="s">
        <v>240</v>
      </c>
      <c r="H40" s="29" t="s">
        <v>240</v>
      </c>
    </row>
    <row r="41" spans="1:9" x14ac:dyDescent="0.2">
      <c r="A41" s="30" t="s">
        <v>48</v>
      </c>
      <c r="B41" s="31" t="s">
        <v>3</v>
      </c>
      <c r="C41" s="80">
        <v>980.79099407097351</v>
      </c>
      <c r="D41" s="80">
        <v>965.91741902220758</v>
      </c>
      <c r="E41" s="83">
        <v>1026.836047991254</v>
      </c>
      <c r="F41" s="22" t="s">
        <v>240</v>
      </c>
      <c r="G41" s="23">
        <v>4.6946856362496874</v>
      </c>
      <c r="H41" s="24">
        <v>6.3068154450215843</v>
      </c>
    </row>
    <row r="42" spans="1:9" x14ac:dyDescent="0.2">
      <c r="A42" s="34"/>
      <c r="B42" s="25" t="s">
        <v>240</v>
      </c>
      <c r="C42" s="82" t="s">
        <v>240</v>
      </c>
      <c r="D42" s="82" t="s">
        <v>240</v>
      </c>
      <c r="E42" s="82" t="s">
        <v>240</v>
      </c>
      <c r="F42" s="27"/>
      <c r="G42" s="38" t="s">
        <v>240</v>
      </c>
      <c r="H42" s="24" t="s">
        <v>240</v>
      </c>
    </row>
    <row r="43" spans="1:9" x14ac:dyDescent="0.2">
      <c r="A43" s="30" t="s">
        <v>49</v>
      </c>
      <c r="B43" s="31" t="s">
        <v>3</v>
      </c>
      <c r="C43" s="80">
        <v>411.2482137154077</v>
      </c>
      <c r="D43" s="80">
        <v>435.81523128285698</v>
      </c>
      <c r="E43" s="83">
        <v>482.10113965634264</v>
      </c>
      <c r="F43" s="22" t="s">
        <v>240</v>
      </c>
      <c r="G43" s="37">
        <v>17.228749834757124</v>
      </c>
      <c r="H43" s="33">
        <v>10.620534816380626</v>
      </c>
    </row>
    <row r="44" spans="1:9" x14ac:dyDescent="0.2">
      <c r="A44" s="34"/>
      <c r="B44" s="25" t="s">
        <v>240</v>
      </c>
      <c r="C44" s="82" t="s">
        <v>240</v>
      </c>
      <c r="D44" s="82" t="s">
        <v>240</v>
      </c>
      <c r="E44" s="82" t="s">
        <v>240</v>
      </c>
      <c r="F44" s="27"/>
      <c r="G44" s="28" t="s">
        <v>240</v>
      </c>
      <c r="H44" s="29" t="s">
        <v>240</v>
      </c>
    </row>
    <row r="45" spans="1:9" x14ac:dyDescent="0.2">
      <c r="A45" s="30" t="s">
        <v>50</v>
      </c>
      <c r="B45" s="31" t="s">
        <v>3</v>
      </c>
      <c r="C45" s="80">
        <v>122.1728841291667</v>
      </c>
      <c r="D45" s="80">
        <v>154.74309015476484</v>
      </c>
      <c r="E45" s="83">
        <v>156.59648723306978</v>
      </c>
      <c r="F45" s="22" t="s">
        <v>240</v>
      </c>
      <c r="G45" s="37">
        <v>28.176140187956037</v>
      </c>
      <c r="H45" s="33">
        <v>1.1977252596230699</v>
      </c>
    </row>
    <row r="46" spans="1:9" ht="13.5" thickBot="1" x14ac:dyDescent="0.25">
      <c r="A46" s="56"/>
      <c r="B46" s="42" t="s">
        <v>240</v>
      </c>
      <c r="C46" s="86" t="s">
        <v>240</v>
      </c>
      <c r="D46" s="86" t="s">
        <v>240</v>
      </c>
      <c r="E46" s="86" t="s">
        <v>240</v>
      </c>
      <c r="F46" s="44"/>
      <c r="G46" s="57" t="s">
        <v>240</v>
      </c>
      <c r="H46" s="46" t="s">
        <v>240</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G61" s="53"/>
      <c r="H61" s="204">
        <v>24</v>
      </c>
    </row>
    <row r="62" spans="1:9" ht="12.75" customHeight="1" x14ac:dyDescent="0.2">
      <c r="A62" s="54" t="s">
        <v>242</v>
      </c>
      <c r="G62" s="53"/>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x14ac:dyDescent="0.2">
      <c r="A7" s="201" t="s">
        <v>51</v>
      </c>
      <c r="B7" s="19" t="s">
        <v>3</v>
      </c>
      <c r="C7" s="20">
        <v>10018.849101246882</v>
      </c>
      <c r="D7" s="20">
        <v>9835.3017456359103</v>
      </c>
      <c r="E7" s="79">
        <v>12219.194513715711</v>
      </c>
      <c r="F7" s="22" t="s">
        <v>240</v>
      </c>
      <c r="G7" s="23">
        <v>21.962057619921509</v>
      </c>
      <c r="H7" s="24">
        <v>24.238125374623863</v>
      </c>
    </row>
    <row r="8" spans="1:8" x14ac:dyDescent="0.2">
      <c r="A8" s="202"/>
      <c r="B8" s="25" t="s">
        <v>240</v>
      </c>
      <c r="C8" s="26" t="s">
        <v>240</v>
      </c>
      <c r="D8" s="26" t="s">
        <v>240</v>
      </c>
      <c r="E8" s="26" t="s">
        <v>240</v>
      </c>
      <c r="F8" s="27"/>
      <c r="G8" s="28" t="s">
        <v>240</v>
      </c>
      <c r="H8" s="29" t="s">
        <v>240</v>
      </c>
    </row>
    <row r="9" spans="1:8" x14ac:dyDescent="0.2">
      <c r="A9" s="30" t="s">
        <v>12</v>
      </c>
      <c r="B9" s="31" t="s">
        <v>3</v>
      </c>
      <c r="C9" s="20">
        <v>236.87614895999999</v>
      </c>
      <c r="D9" s="20">
        <v>251.97450000000001</v>
      </c>
      <c r="E9" s="21">
        <v>318.09050000000002</v>
      </c>
      <c r="F9" s="22" t="s">
        <v>240</v>
      </c>
      <c r="G9" s="32">
        <v>34.285575561984615</v>
      </c>
      <c r="H9" s="33">
        <v>26.239163089915849</v>
      </c>
    </row>
    <row r="10" spans="1:8" x14ac:dyDescent="0.2">
      <c r="A10" s="34"/>
      <c r="B10" s="25" t="s">
        <v>240</v>
      </c>
      <c r="C10" s="26" t="s">
        <v>240</v>
      </c>
      <c r="D10" s="26" t="s">
        <v>240</v>
      </c>
      <c r="E10" s="26" t="s">
        <v>240</v>
      </c>
      <c r="F10" s="27"/>
      <c r="G10" s="35" t="s">
        <v>240</v>
      </c>
      <c r="H10" s="29" t="s">
        <v>240</v>
      </c>
    </row>
    <row r="11" spans="1:8" x14ac:dyDescent="0.2">
      <c r="A11" s="30" t="s">
        <v>18</v>
      </c>
      <c r="B11" s="31" t="s">
        <v>3</v>
      </c>
      <c r="C11" s="20">
        <v>447.35045958399996</v>
      </c>
      <c r="D11" s="20">
        <v>273.38980000000004</v>
      </c>
      <c r="E11" s="21">
        <v>261.43619999999999</v>
      </c>
      <c r="F11" s="22" t="s">
        <v>240</v>
      </c>
      <c r="G11" s="37">
        <v>-41.558973641579655</v>
      </c>
      <c r="H11" s="33">
        <v>-4.3723650260543963</v>
      </c>
    </row>
    <row r="12" spans="1:8" x14ac:dyDescent="0.2">
      <c r="A12" s="34"/>
      <c r="B12" s="25" t="s">
        <v>240</v>
      </c>
      <c r="C12" s="26" t="s">
        <v>240</v>
      </c>
      <c r="D12" s="26" t="s">
        <v>240</v>
      </c>
      <c r="E12" s="26" t="s">
        <v>240</v>
      </c>
      <c r="F12" s="27"/>
      <c r="G12" s="28" t="s">
        <v>240</v>
      </c>
      <c r="H12" s="29" t="s">
        <v>240</v>
      </c>
    </row>
    <row r="13" spans="1:8" x14ac:dyDescent="0.2">
      <c r="A13" s="30" t="s">
        <v>63</v>
      </c>
      <c r="B13" s="31" t="s">
        <v>3</v>
      </c>
      <c r="C13" s="20">
        <v>1366.2855586000001</v>
      </c>
      <c r="D13" s="20">
        <v>1360.6543750000001</v>
      </c>
      <c r="E13" s="21">
        <v>1294.089375</v>
      </c>
      <c r="F13" s="22" t="s">
        <v>240</v>
      </c>
      <c r="G13" s="23">
        <v>-5.2841211081801731</v>
      </c>
      <c r="H13" s="24">
        <v>-4.8921314055231733</v>
      </c>
    </row>
    <row r="14" spans="1:8" x14ac:dyDescent="0.2">
      <c r="A14" s="34"/>
      <c r="B14" s="25" t="s">
        <v>240</v>
      </c>
      <c r="C14" s="26" t="s">
        <v>240</v>
      </c>
      <c r="D14" s="26" t="s">
        <v>240</v>
      </c>
      <c r="E14" s="26" t="s">
        <v>240</v>
      </c>
      <c r="F14" s="27"/>
      <c r="G14" s="38" t="s">
        <v>240</v>
      </c>
      <c r="H14" s="24" t="s">
        <v>240</v>
      </c>
    </row>
    <row r="15" spans="1:8" x14ac:dyDescent="0.2">
      <c r="A15" s="30" t="s">
        <v>52</v>
      </c>
      <c r="B15" s="31" t="s">
        <v>3</v>
      </c>
      <c r="C15" s="20">
        <v>4753.3326067999997</v>
      </c>
      <c r="D15" s="20">
        <v>4984.05375</v>
      </c>
      <c r="E15" s="21">
        <v>6454.0837499999998</v>
      </c>
      <c r="F15" s="22" t="s">
        <v>240</v>
      </c>
      <c r="G15" s="37">
        <v>35.780183797088966</v>
      </c>
      <c r="H15" s="33">
        <v>29.494665863103904</v>
      </c>
    </row>
    <row r="16" spans="1:8" x14ac:dyDescent="0.2">
      <c r="A16" s="34"/>
      <c r="B16" s="25" t="s">
        <v>240</v>
      </c>
      <c r="C16" s="26" t="s">
        <v>240</v>
      </c>
      <c r="D16" s="26" t="s">
        <v>240</v>
      </c>
      <c r="E16" s="26" t="s">
        <v>240</v>
      </c>
      <c r="F16" s="27"/>
      <c r="G16" s="28" t="s">
        <v>240</v>
      </c>
      <c r="H16" s="29" t="s">
        <v>240</v>
      </c>
    </row>
    <row r="17" spans="1:9" x14ac:dyDescent="0.2">
      <c r="A17" s="30" t="s">
        <v>50</v>
      </c>
      <c r="B17" s="31" t="s">
        <v>3</v>
      </c>
      <c r="C17" s="20">
        <v>3921.3807447999998</v>
      </c>
      <c r="D17" s="20">
        <v>3582.8724999999999</v>
      </c>
      <c r="E17" s="21">
        <v>4582.4524999999994</v>
      </c>
      <c r="F17" s="22" t="s">
        <v>240</v>
      </c>
      <c r="G17" s="37">
        <v>16.858137432245584</v>
      </c>
      <c r="H17" s="33">
        <v>27.898843735019852</v>
      </c>
    </row>
    <row r="18" spans="1:9" ht="13.5" thickBot="1" x14ac:dyDescent="0.25">
      <c r="A18" s="56"/>
      <c r="B18" s="42" t="s">
        <v>240</v>
      </c>
      <c r="C18" s="43" t="s">
        <v>240</v>
      </c>
      <c r="D18" s="43" t="s">
        <v>240</v>
      </c>
      <c r="E18" s="43" t="s">
        <v>240</v>
      </c>
      <c r="F18" s="44"/>
      <c r="G18" s="57" t="s">
        <v>240</v>
      </c>
      <c r="H18" s="46" t="s">
        <v>240</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5" t="s">
        <v>16</v>
      </c>
      <c r="D33" s="199"/>
      <c r="E33" s="199"/>
      <c r="F33" s="206"/>
      <c r="G33" s="199" t="s">
        <v>1</v>
      </c>
      <c r="H33" s="200"/>
    </row>
    <row r="34" spans="1:9" x14ac:dyDescent="0.2">
      <c r="A34" s="12"/>
      <c r="B34" s="13"/>
      <c r="C34" s="14" t="s">
        <v>235</v>
      </c>
      <c r="D34" s="15" t="s">
        <v>236</v>
      </c>
      <c r="E34" s="15" t="s">
        <v>237</v>
      </c>
      <c r="F34" s="16"/>
      <c r="G34" s="17" t="s">
        <v>238</v>
      </c>
      <c r="H34" s="18" t="s">
        <v>239</v>
      </c>
    </row>
    <row r="35" spans="1:9" ht="12.75" customHeight="1" x14ac:dyDescent="0.2">
      <c r="A35" s="201" t="s">
        <v>51</v>
      </c>
      <c r="B35" s="19" t="s">
        <v>3</v>
      </c>
      <c r="C35" s="80">
        <v>453.98179332223094</v>
      </c>
      <c r="D35" s="80">
        <v>468.76565664708278</v>
      </c>
      <c r="E35" s="81">
        <v>540.13259437321699</v>
      </c>
      <c r="F35" s="22" t="s">
        <v>240</v>
      </c>
      <c r="G35" s="23">
        <v>18.976708387474289</v>
      </c>
      <c r="H35" s="24">
        <v>15.224438205775797</v>
      </c>
    </row>
    <row r="36" spans="1:9" ht="12.75" customHeight="1" x14ac:dyDescent="0.2">
      <c r="A36" s="202"/>
      <c r="B36" s="25" t="s">
        <v>240</v>
      </c>
      <c r="C36" s="82" t="s">
        <v>240</v>
      </c>
      <c r="D36" s="82" t="s">
        <v>240</v>
      </c>
      <c r="E36" s="82" t="s">
        <v>240</v>
      </c>
      <c r="F36" s="27"/>
      <c r="G36" s="28" t="s">
        <v>240</v>
      </c>
      <c r="H36" s="29" t="s">
        <v>240</v>
      </c>
    </row>
    <row r="37" spans="1:9" x14ac:dyDescent="0.2">
      <c r="A37" s="30" t="s">
        <v>12</v>
      </c>
      <c r="B37" s="31" t="s">
        <v>3</v>
      </c>
      <c r="C37" s="80">
        <v>2.5057842983399548</v>
      </c>
      <c r="D37" s="80">
        <v>2.9888742341862047</v>
      </c>
      <c r="E37" s="83">
        <v>4.6908872103842141</v>
      </c>
      <c r="F37" s="22" t="s">
        <v>240</v>
      </c>
      <c r="G37" s="32">
        <v>87.202354707540394</v>
      </c>
      <c r="H37" s="33">
        <v>56.944951270638683</v>
      </c>
    </row>
    <row r="38" spans="1:9" x14ac:dyDescent="0.2">
      <c r="A38" s="34"/>
      <c r="B38" s="25" t="s">
        <v>240</v>
      </c>
      <c r="C38" s="82" t="s">
        <v>240</v>
      </c>
      <c r="D38" s="82" t="s">
        <v>240</v>
      </c>
      <c r="E38" s="82" t="s">
        <v>240</v>
      </c>
      <c r="F38" s="27"/>
      <c r="G38" s="35" t="s">
        <v>240</v>
      </c>
      <c r="H38" s="29" t="s">
        <v>240</v>
      </c>
    </row>
    <row r="39" spans="1:9" x14ac:dyDescent="0.2">
      <c r="A39" s="30" t="s">
        <v>18</v>
      </c>
      <c r="B39" s="31" t="s">
        <v>3</v>
      </c>
      <c r="C39" s="80">
        <v>29.545403822723433</v>
      </c>
      <c r="D39" s="80">
        <v>31.574270388376657</v>
      </c>
      <c r="E39" s="83">
        <v>30.739915328211762</v>
      </c>
      <c r="F39" s="22" t="s">
        <v>240</v>
      </c>
      <c r="G39" s="37">
        <v>4.0429689594211169</v>
      </c>
      <c r="H39" s="33">
        <v>-2.6425157253104601</v>
      </c>
    </row>
    <row r="40" spans="1:9" x14ac:dyDescent="0.2">
      <c r="A40" s="34"/>
      <c r="B40" s="25" t="s">
        <v>240</v>
      </c>
      <c r="C40" s="82" t="s">
        <v>240</v>
      </c>
      <c r="D40" s="82" t="s">
        <v>240</v>
      </c>
      <c r="E40" s="82" t="s">
        <v>240</v>
      </c>
      <c r="F40" s="27"/>
      <c r="G40" s="28" t="s">
        <v>240</v>
      </c>
      <c r="H40" s="29" t="s">
        <v>240</v>
      </c>
    </row>
    <row r="41" spans="1:9" x14ac:dyDescent="0.2">
      <c r="A41" s="30" t="s">
        <v>63</v>
      </c>
      <c r="B41" s="31" t="s">
        <v>3</v>
      </c>
      <c r="C41" s="80">
        <v>60.209540358460089</v>
      </c>
      <c r="D41" s="80">
        <v>63.538101099784924</v>
      </c>
      <c r="E41" s="83">
        <v>59.443278673136291</v>
      </c>
      <c r="F41" s="22" t="s">
        <v>240</v>
      </c>
      <c r="G41" s="23">
        <v>-1.2726582544258349</v>
      </c>
      <c r="H41" s="24">
        <v>-6.4446723395428904</v>
      </c>
    </row>
    <row r="42" spans="1:9" x14ac:dyDescent="0.2">
      <c r="A42" s="34"/>
      <c r="B42" s="25" t="s">
        <v>240</v>
      </c>
      <c r="C42" s="82" t="s">
        <v>240</v>
      </c>
      <c r="D42" s="82" t="s">
        <v>240</v>
      </c>
      <c r="E42" s="82" t="s">
        <v>240</v>
      </c>
      <c r="F42" s="27"/>
      <c r="G42" s="38" t="s">
        <v>240</v>
      </c>
      <c r="H42" s="24" t="s">
        <v>240</v>
      </c>
    </row>
    <row r="43" spans="1:9" x14ac:dyDescent="0.2">
      <c r="A43" s="30" t="s">
        <v>52</v>
      </c>
      <c r="B43" s="31" t="s">
        <v>3</v>
      </c>
      <c r="C43" s="80">
        <v>222.12260316066809</v>
      </c>
      <c r="D43" s="80">
        <v>234.64305984490014</v>
      </c>
      <c r="E43" s="83">
        <v>293.85709474175275</v>
      </c>
      <c r="F43" s="22" t="s">
        <v>240</v>
      </c>
      <c r="G43" s="37">
        <v>32.294998600028521</v>
      </c>
      <c r="H43" s="33">
        <v>25.235792158520809</v>
      </c>
    </row>
    <row r="44" spans="1:9" x14ac:dyDescent="0.2">
      <c r="A44" s="34"/>
      <c r="B44" s="25" t="s">
        <v>240</v>
      </c>
      <c r="C44" s="82" t="s">
        <v>240</v>
      </c>
      <c r="D44" s="82" t="s">
        <v>240</v>
      </c>
      <c r="E44" s="82" t="s">
        <v>240</v>
      </c>
      <c r="F44" s="27"/>
      <c r="G44" s="28" t="s">
        <v>240</v>
      </c>
      <c r="H44" s="29" t="s">
        <v>240</v>
      </c>
    </row>
    <row r="45" spans="1:9" x14ac:dyDescent="0.2">
      <c r="A45" s="30" t="s">
        <v>50</v>
      </c>
      <c r="B45" s="31" t="s">
        <v>3</v>
      </c>
      <c r="C45" s="80">
        <v>139.59846168203939</v>
      </c>
      <c r="D45" s="80">
        <v>136.02135107983486</v>
      </c>
      <c r="E45" s="83">
        <v>151.40141841973207</v>
      </c>
      <c r="F45" s="22" t="s">
        <v>240</v>
      </c>
      <c r="G45" s="37">
        <v>8.4549332388605052</v>
      </c>
      <c r="H45" s="33">
        <v>11.307097906173723</v>
      </c>
    </row>
    <row r="46" spans="1:9" ht="13.5" thickBot="1" x14ac:dyDescent="0.25">
      <c r="A46" s="56"/>
      <c r="B46" s="42" t="s">
        <v>240</v>
      </c>
      <c r="C46" s="86" t="s">
        <v>240</v>
      </c>
      <c r="D46" s="86" t="s">
        <v>240</v>
      </c>
      <c r="E46" s="86" t="s">
        <v>240</v>
      </c>
      <c r="F46" s="44"/>
      <c r="G46" s="57" t="s">
        <v>240</v>
      </c>
      <c r="H46" s="46" t="s">
        <v>240</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H61" s="196">
        <v>25</v>
      </c>
    </row>
    <row r="62" spans="1:9" ht="12.75" customHeight="1" x14ac:dyDescent="0.2">
      <c r="A62" s="54" t="s">
        <v>242</v>
      </c>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157</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ht="12.75" customHeight="1" x14ac:dyDescent="0.2">
      <c r="A7" s="201" t="s">
        <v>64</v>
      </c>
      <c r="B7" s="19" t="s">
        <v>3</v>
      </c>
      <c r="C7" s="20">
        <v>8825.3934933599994</v>
      </c>
      <c r="D7" s="20">
        <v>9480.0519999999997</v>
      </c>
      <c r="E7" s="79">
        <v>11145.096</v>
      </c>
      <c r="F7" s="22" t="s">
        <v>240</v>
      </c>
      <c r="G7" s="23">
        <v>26.284408829875787</v>
      </c>
      <c r="H7" s="24">
        <v>17.563658933516393</v>
      </c>
    </row>
    <row r="8" spans="1:8" ht="12.75" customHeight="1" x14ac:dyDescent="0.2">
      <c r="A8" s="202"/>
      <c r="B8" s="25" t="s">
        <v>240</v>
      </c>
      <c r="C8" s="26" t="s">
        <v>240</v>
      </c>
      <c r="D8" s="26" t="s">
        <v>240</v>
      </c>
      <c r="E8" s="26" t="s">
        <v>240</v>
      </c>
      <c r="F8" s="27"/>
      <c r="G8" s="28" t="s">
        <v>240</v>
      </c>
      <c r="H8" s="29" t="s">
        <v>240</v>
      </c>
    </row>
    <row r="9" spans="1:8" x14ac:dyDescent="0.2">
      <c r="A9" s="30" t="s">
        <v>53</v>
      </c>
      <c r="B9" s="31" t="s">
        <v>3</v>
      </c>
      <c r="C9" s="20">
        <v>2.1039349335999997</v>
      </c>
      <c r="D9" s="20">
        <v>3.12052</v>
      </c>
      <c r="E9" s="21">
        <v>3.13096</v>
      </c>
      <c r="F9" s="22" t="s">
        <v>240</v>
      </c>
      <c r="G9" s="32">
        <v>48.814488033747267</v>
      </c>
      <c r="H9" s="33">
        <v>0.33455962467795075</v>
      </c>
    </row>
    <row r="10" spans="1:8" x14ac:dyDescent="0.2">
      <c r="A10" s="34"/>
      <c r="B10" s="25" t="s">
        <v>240</v>
      </c>
      <c r="C10" s="26" t="s">
        <v>240</v>
      </c>
      <c r="D10" s="26" t="s">
        <v>240</v>
      </c>
      <c r="E10" s="26" t="s">
        <v>240</v>
      </c>
      <c r="F10" s="27"/>
      <c r="G10" s="35" t="s">
        <v>240</v>
      </c>
      <c r="H10" s="29" t="s">
        <v>240</v>
      </c>
    </row>
    <row r="11" spans="1:8" x14ac:dyDescent="0.2">
      <c r="A11" s="30" t="s">
        <v>54</v>
      </c>
      <c r="B11" s="31" t="s">
        <v>3</v>
      </c>
      <c r="C11" s="20">
        <v>697.51967466799999</v>
      </c>
      <c r="D11" s="20">
        <v>781.60259999999994</v>
      </c>
      <c r="E11" s="21">
        <v>956.65480000000002</v>
      </c>
      <c r="F11" s="22" t="s">
        <v>240</v>
      </c>
      <c r="G11" s="37">
        <v>37.15094136310077</v>
      </c>
      <c r="H11" s="33">
        <v>22.396573399320843</v>
      </c>
    </row>
    <row r="12" spans="1:8" x14ac:dyDescent="0.2">
      <c r="A12" s="34"/>
      <c r="B12" s="25" t="s">
        <v>240</v>
      </c>
      <c r="C12" s="26" t="s">
        <v>240</v>
      </c>
      <c r="D12" s="26" t="s">
        <v>240</v>
      </c>
      <c r="E12" s="26" t="s">
        <v>240</v>
      </c>
      <c r="F12" s="27"/>
      <c r="G12" s="28" t="s">
        <v>240</v>
      </c>
      <c r="H12" s="29" t="s">
        <v>240</v>
      </c>
    </row>
    <row r="13" spans="1:8" x14ac:dyDescent="0.2">
      <c r="A13" s="30" t="s">
        <v>66</v>
      </c>
      <c r="B13" s="31" t="s">
        <v>3</v>
      </c>
      <c r="C13" s="20">
        <v>108.2078698672</v>
      </c>
      <c r="D13" s="20">
        <v>370.24104</v>
      </c>
      <c r="E13" s="21">
        <v>56.261920000000003</v>
      </c>
      <c r="F13" s="22" t="s">
        <v>240</v>
      </c>
      <c r="G13" s="23">
        <v>-48.005704142361893</v>
      </c>
      <c r="H13" s="24">
        <v>-84.803975269732391</v>
      </c>
    </row>
    <row r="14" spans="1:8" x14ac:dyDescent="0.2">
      <c r="A14" s="34"/>
      <c r="B14" s="25" t="s">
        <v>240</v>
      </c>
      <c r="C14" s="26" t="s">
        <v>240</v>
      </c>
      <c r="D14" s="26" t="s">
        <v>240</v>
      </c>
      <c r="E14" s="26" t="s">
        <v>240</v>
      </c>
      <c r="F14" s="27"/>
      <c r="G14" s="38" t="s">
        <v>240</v>
      </c>
      <c r="H14" s="24" t="s">
        <v>240</v>
      </c>
    </row>
    <row r="15" spans="1:8" x14ac:dyDescent="0.2">
      <c r="A15" s="30" t="s">
        <v>55</v>
      </c>
      <c r="B15" s="31" t="s">
        <v>3</v>
      </c>
      <c r="C15" s="20">
        <v>6271.3147946879999</v>
      </c>
      <c r="D15" s="20">
        <v>6849.6415999999999</v>
      </c>
      <c r="E15" s="21">
        <v>7915.4768000000004</v>
      </c>
      <c r="F15" s="22" t="s">
        <v>240</v>
      </c>
      <c r="G15" s="37">
        <v>26.217181869177693</v>
      </c>
      <c r="H15" s="33">
        <v>15.560452097230922</v>
      </c>
    </row>
    <row r="16" spans="1:8" x14ac:dyDescent="0.2">
      <c r="A16" s="34"/>
      <c r="B16" s="25" t="s">
        <v>240</v>
      </c>
      <c r="C16" s="26" t="s">
        <v>240</v>
      </c>
      <c r="D16" s="26" t="s">
        <v>240</v>
      </c>
      <c r="E16" s="26" t="s">
        <v>240</v>
      </c>
      <c r="F16" s="27"/>
      <c r="G16" s="28" t="s">
        <v>240</v>
      </c>
      <c r="H16" s="29" t="s">
        <v>240</v>
      </c>
    </row>
    <row r="17" spans="1:9" x14ac:dyDescent="0.2">
      <c r="A17" s="30" t="s">
        <v>67</v>
      </c>
      <c r="B17" s="31" t="s">
        <v>3</v>
      </c>
      <c r="C17" s="20">
        <v>424.51967466799999</v>
      </c>
      <c r="D17" s="20">
        <v>355.6026</v>
      </c>
      <c r="E17" s="21">
        <v>408.65480000000002</v>
      </c>
      <c r="F17" s="22" t="s">
        <v>240</v>
      </c>
      <c r="G17" s="37">
        <v>-3.7371353119045096</v>
      </c>
      <c r="H17" s="33">
        <v>14.918957285464174</v>
      </c>
    </row>
    <row r="18" spans="1:9" x14ac:dyDescent="0.2">
      <c r="A18" s="30"/>
      <c r="B18" s="25" t="s">
        <v>240</v>
      </c>
      <c r="C18" s="26" t="s">
        <v>240</v>
      </c>
      <c r="D18" s="26" t="s">
        <v>240</v>
      </c>
      <c r="E18" s="26" t="s">
        <v>240</v>
      </c>
      <c r="F18" s="27"/>
      <c r="G18" s="28" t="s">
        <v>240</v>
      </c>
      <c r="H18" s="29" t="s">
        <v>240</v>
      </c>
    </row>
    <row r="19" spans="1:9" x14ac:dyDescent="0.2">
      <c r="A19" s="39" t="s">
        <v>56</v>
      </c>
      <c r="B19" s="31" t="s">
        <v>3</v>
      </c>
      <c r="C19" s="20">
        <v>14.1039349336</v>
      </c>
      <c r="D19" s="20">
        <v>8.1205199999999991</v>
      </c>
      <c r="E19" s="21">
        <v>29.130960000000002</v>
      </c>
      <c r="F19" s="22" t="s">
        <v>240</v>
      </c>
      <c r="G19" s="23">
        <v>106.54491202026827</v>
      </c>
      <c r="H19" s="24">
        <v>258.732691995094</v>
      </c>
    </row>
    <row r="20" spans="1:9" x14ac:dyDescent="0.2">
      <c r="A20" s="34"/>
      <c r="B20" s="25" t="s">
        <v>240</v>
      </c>
      <c r="C20" s="26" t="s">
        <v>240</v>
      </c>
      <c r="D20" s="26" t="s">
        <v>240</v>
      </c>
      <c r="E20" s="26" t="s">
        <v>240</v>
      </c>
      <c r="F20" s="27"/>
      <c r="G20" s="38" t="s">
        <v>240</v>
      </c>
      <c r="H20" s="24" t="s">
        <v>240</v>
      </c>
    </row>
    <row r="21" spans="1:9" x14ac:dyDescent="0.2">
      <c r="A21" s="39" t="s">
        <v>68</v>
      </c>
      <c r="B21" s="31" t="s">
        <v>3</v>
      </c>
      <c r="C21" s="20">
        <v>82.103934933600002</v>
      </c>
      <c r="D21" s="20">
        <v>103.12052</v>
      </c>
      <c r="E21" s="21">
        <v>51.130960000000002</v>
      </c>
      <c r="F21" s="22" t="s">
        <v>240</v>
      </c>
      <c r="G21" s="37">
        <v>-37.724105377712782</v>
      </c>
      <c r="H21" s="33">
        <v>-50.416308994562861</v>
      </c>
    </row>
    <row r="22" spans="1:9" x14ac:dyDescent="0.2">
      <c r="A22" s="34"/>
      <c r="B22" s="25" t="s">
        <v>240</v>
      </c>
      <c r="C22" s="26" t="s">
        <v>240</v>
      </c>
      <c r="D22" s="26" t="s">
        <v>240</v>
      </c>
      <c r="E22" s="26" t="s">
        <v>240</v>
      </c>
      <c r="F22" s="27"/>
      <c r="G22" s="28" t="s">
        <v>240</v>
      </c>
      <c r="H22" s="29" t="s">
        <v>240</v>
      </c>
    </row>
    <row r="23" spans="1:9" x14ac:dyDescent="0.2">
      <c r="A23" s="30" t="s">
        <v>69</v>
      </c>
      <c r="B23" s="31" t="s">
        <v>3</v>
      </c>
      <c r="C23" s="20">
        <v>1299.5196746679999</v>
      </c>
      <c r="D23" s="20">
        <v>1266.6025999999999</v>
      </c>
      <c r="E23" s="21">
        <v>1746.6548</v>
      </c>
      <c r="F23" s="22" t="s">
        <v>240</v>
      </c>
      <c r="G23" s="23">
        <v>34.40772264153938</v>
      </c>
      <c r="H23" s="24">
        <v>37.900774876034546</v>
      </c>
    </row>
    <row r="24" spans="1:9" ht="13.5" thickBot="1" x14ac:dyDescent="0.25">
      <c r="A24" s="56"/>
      <c r="B24" s="42" t="s">
        <v>240</v>
      </c>
      <c r="C24" s="43" t="s">
        <v>240</v>
      </c>
      <c r="D24" s="43" t="s">
        <v>240</v>
      </c>
      <c r="E24" s="43" t="s">
        <v>240</v>
      </c>
      <c r="F24" s="44"/>
      <c r="G24" s="57" t="s">
        <v>240</v>
      </c>
      <c r="H24" s="46" t="s">
        <v>240</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5" t="s">
        <v>16</v>
      </c>
      <c r="D33" s="199"/>
      <c r="E33" s="199"/>
      <c r="F33" s="206"/>
      <c r="G33" s="199" t="s">
        <v>1</v>
      </c>
      <c r="H33" s="200"/>
    </row>
    <row r="34" spans="1:8" x14ac:dyDescent="0.2">
      <c r="A34" s="12"/>
      <c r="B34" s="13"/>
      <c r="C34" s="14" t="s">
        <v>235</v>
      </c>
      <c r="D34" s="15" t="s">
        <v>236</v>
      </c>
      <c r="E34" s="15" t="s">
        <v>237</v>
      </c>
      <c r="F34" s="16"/>
      <c r="G34" s="17" t="s">
        <v>238</v>
      </c>
      <c r="H34" s="18" t="s">
        <v>239</v>
      </c>
    </row>
    <row r="35" spans="1:8" ht="12.75" customHeight="1" x14ac:dyDescent="0.2">
      <c r="A35" s="201" t="s">
        <v>64</v>
      </c>
      <c r="B35" s="19" t="s">
        <v>3</v>
      </c>
      <c r="C35" s="80">
        <v>1026.439315556577</v>
      </c>
      <c r="D35" s="80">
        <v>963.64843128868392</v>
      </c>
      <c r="E35" s="81">
        <v>1093.9784121220591</v>
      </c>
      <c r="F35" s="22" t="s">
        <v>240</v>
      </c>
      <c r="G35" s="23">
        <v>6.5799405324668214</v>
      </c>
      <c r="H35" s="24">
        <v>13.524639962219979</v>
      </c>
    </row>
    <row r="36" spans="1:8" ht="12.75" customHeight="1" x14ac:dyDescent="0.2">
      <c r="A36" s="202"/>
      <c r="B36" s="25" t="s">
        <v>240</v>
      </c>
      <c r="C36" s="82" t="s">
        <v>240</v>
      </c>
      <c r="D36" s="82" t="s">
        <v>240</v>
      </c>
      <c r="E36" s="82" t="s">
        <v>240</v>
      </c>
      <c r="F36" s="27"/>
      <c r="G36" s="28" t="s">
        <v>240</v>
      </c>
      <c r="H36" s="29" t="s">
        <v>240</v>
      </c>
    </row>
    <row r="37" spans="1:8" x14ac:dyDescent="0.2">
      <c r="A37" s="30" t="s">
        <v>53</v>
      </c>
      <c r="B37" s="31" t="s">
        <v>3</v>
      </c>
      <c r="C37" s="80">
        <v>0.16332212620604297</v>
      </c>
      <c r="D37" s="80">
        <v>0.22367484399517759</v>
      </c>
      <c r="E37" s="83">
        <v>0.132257286811863</v>
      </c>
      <c r="F37" s="22" t="s">
        <v>240</v>
      </c>
      <c r="G37" s="32">
        <v>-19.020594524338591</v>
      </c>
      <c r="H37" s="33">
        <v>-40.870736981618528</v>
      </c>
    </row>
    <row r="38" spans="1:8" x14ac:dyDescent="0.2">
      <c r="A38" s="34"/>
      <c r="B38" s="25" t="s">
        <v>240</v>
      </c>
      <c r="C38" s="82" t="s">
        <v>240</v>
      </c>
      <c r="D38" s="82" t="s">
        <v>240</v>
      </c>
      <c r="E38" s="82" t="s">
        <v>240</v>
      </c>
      <c r="F38" s="27"/>
      <c r="G38" s="35" t="s">
        <v>240</v>
      </c>
      <c r="H38" s="29" t="s">
        <v>240</v>
      </c>
    </row>
    <row r="39" spans="1:8" x14ac:dyDescent="0.2">
      <c r="A39" s="30" t="s">
        <v>54</v>
      </c>
      <c r="B39" s="31" t="s">
        <v>3</v>
      </c>
      <c r="C39" s="80">
        <v>52.123447637133694</v>
      </c>
      <c r="D39" s="80">
        <v>49.903237326064755</v>
      </c>
      <c r="E39" s="83">
        <v>57.866684124532405</v>
      </c>
      <c r="F39" s="22" t="s">
        <v>240</v>
      </c>
      <c r="G39" s="37">
        <v>11.018527644950197</v>
      </c>
      <c r="H39" s="33">
        <v>15.957775938332347</v>
      </c>
    </row>
    <row r="40" spans="1:8" x14ac:dyDescent="0.2">
      <c r="A40" s="34"/>
      <c r="B40" s="25" t="s">
        <v>240</v>
      </c>
      <c r="C40" s="82" t="s">
        <v>240</v>
      </c>
      <c r="D40" s="82" t="s">
        <v>240</v>
      </c>
      <c r="E40" s="82" t="s">
        <v>240</v>
      </c>
      <c r="F40" s="27"/>
      <c r="G40" s="28" t="s">
        <v>240</v>
      </c>
      <c r="H40" s="29" t="s">
        <v>240</v>
      </c>
    </row>
    <row r="41" spans="1:8" x14ac:dyDescent="0.2">
      <c r="A41" s="30" t="s">
        <v>66</v>
      </c>
      <c r="B41" s="31" t="s">
        <v>3</v>
      </c>
      <c r="C41" s="80">
        <v>9.8222711028970142</v>
      </c>
      <c r="D41" s="80">
        <v>29.691987090402723</v>
      </c>
      <c r="E41" s="83">
        <v>25.332420010772623</v>
      </c>
      <c r="F41" s="22" t="s">
        <v>240</v>
      </c>
      <c r="G41" s="23">
        <v>157.90797001419554</v>
      </c>
      <c r="H41" s="24">
        <v>-14.682638337261139</v>
      </c>
    </row>
    <row r="42" spans="1:8" x14ac:dyDescent="0.2">
      <c r="A42" s="34"/>
      <c r="B42" s="25" t="s">
        <v>240</v>
      </c>
      <c r="C42" s="82" t="s">
        <v>240</v>
      </c>
      <c r="D42" s="82" t="s">
        <v>240</v>
      </c>
      <c r="E42" s="82" t="s">
        <v>240</v>
      </c>
      <c r="F42" s="27"/>
      <c r="G42" s="38" t="s">
        <v>240</v>
      </c>
      <c r="H42" s="24" t="s">
        <v>240</v>
      </c>
    </row>
    <row r="43" spans="1:8" x14ac:dyDescent="0.2">
      <c r="A43" s="30" t="s">
        <v>55</v>
      </c>
      <c r="B43" s="31" t="s">
        <v>3</v>
      </c>
      <c r="C43" s="80">
        <v>660.72391437901263</v>
      </c>
      <c r="D43" s="80">
        <v>639.02268746624645</v>
      </c>
      <c r="E43" s="83">
        <v>708.58016793359445</v>
      </c>
      <c r="F43" s="22" t="s">
        <v>240</v>
      </c>
      <c r="G43" s="37">
        <v>7.2430030929877773</v>
      </c>
      <c r="H43" s="33">
        <v>10.884978238119601</v>
      </c>
    </row>
    <row r="44" spans="1:8" x14ac:dyDescent="0.2">
      <c r="A44" s="34"/>
      <c r="B44" s="25" t="s">
        <v>240</v>
      </c>
      <c r="C44" s="82" t="s">
        <v>240</v>
      </c>
      <c r="D44" s="82" t="s">
        <v>240</v>
      </c>
      <c r="E44" s="82" t="s">
        <v>240</v>
      </c>
      <c r="F44" s="27"/>
      <c r="G44" s="28" t="s">
        <v>240</v>
      </c>
      <c r="H44" s="29" t="s">
        <v>240</v>
      </c>
    </row>
    <row r="45" spans="1:8" x14ac:dyDescent="0.2">
      <c r="A45" s="30" t="s">
        <v>67</v>
      </c>
      <c r="B45" s="31" t="s">
        <v>3</v>
      </c>
      <c r="C45" s="80">
        <v>162.56982649689499</v>
      </c>
      <c r="D45" s="80">
        <v>123.46069868687357</v>
      </c>
      <c r="E45" s="83">
        <v>109.72973136447268</v>
      </c>
      <c r="F45" s="22" t="s">
        <v>240</v>
      </c>
      <c r="G45" s="37">
        <v>-32.50301502501236</v>
      </c>
      <c r="H45" s="33">
        <v>-11.121731424204853</v>
      </c>
    </row>
    <row r="46" spans="1:8" x14ac:dyDescent="0.2">
      <c r="A46" s="30"/>
      <c r="B46" s="25" t="s">
        <v>240</v>
      </c>
      <c r="C46" s="82" t="s">
        <v>240</v>
      </c>
      <c r="D46" s="82" t="s">
        <v>240</v>
      </c>
      <c r="E46" s="82" t="s">
        <v>240</v>
      </c>
      <c r="F46" s="27"/>
      <c r="G46" s="28" t="s">
        <v>240</v>
      </c>
      <c r="H46" s="29" t="s">
        <v>240</v>
      </c>
    </row>
    <row r="47" spans="1:8" x14ac:dyDescent="0.2">
      <c r="A47" s="39" t="s">
        <v>56</v>
      </c>
      <c r="B47" s="31" t="s">
        <v>3</v>
      </c>
      <c r="C47" s="80">
        <v>11.886587321759423</v>
      </c>
      <c r="D47" s="80">
        <v>3.9777678179466296</v>
      </c>
      <c r="E47" s="83">
        <v>4.6671651927617948</v>
      </c>
      <c r="F47" s="22" t="s">
        <v>240</v>
      </c>
      <c r="G47" s="23">
        <v>-60.735869207656037</v>
      </c>
      <c r="H47" s="24">
        <v>17.331262315130317</v>
      </c>
    </row>
    <row r="48" spans="1:8" x14ac:dyDescent="0.2">
      <c r="A48" s="34"/>
      <c r="B48" s="25" t="s">
        <v>240</v>
      </c>
      <c r="C48" s="82" t="s">
        <v>240</v>
      </c>
      <c r="D48" s="82" t="s">
        <v>240</v>
      </c>
      <c r="E48" s="82" t="s">
        <v>240</v>
      </c>
      <c r="F48" s="27"/>
      <c r="G48" s="38" t="s">
        <v>240</v>
      </c>
      <c r="H48" s="24" t="s">
        <v>240</v>
      </c>
    </row>
    <row r="49" spans="1:9" x14ac:dyDescent="0.2">
      <c r="A49" s="39" t="s">
        <v>68</v>
      </c>
      <c r="B49" s="31" t="s">
        <v>3</v>
      </c>
      <c r="C49" s="80">
        <v>12.62628916857609</v>
      </c>
      <c r="D49" s="80">
        <v>12.016896349864272</v>
      </c>
      <c r="E49" s="83">
        <v>7.8416505044696772</v>
      </c>
      <c r="F49" s="22" t="s">
        <v>240</v>
      </c>
      <c r="G49" s="37">
        <v>-37.894258560260688</v>
      </c>
      <c r="H49" s="33">
        <v>-34.744793695767811</v>
      </c>
    </row>
    <row r="50" spans="1:9" x14ac:dyDescent="0.2">
      <c r="A50" s="34"/>
      <c r="B50" s="25" t="s">
        <v>240</v>
      </c>
      <c r="C50" s="82" t="s">
        <v>240</v>
      </c>
      <c r="D50" s="82" t="s">
        <v>240</v>
      </c>
      <c r="E50" s="82" t="s">
        <v>240</v>
      </c>
      <c r="F50" s="27"/>
      <c r="G50" s="28" t="s">
        <v>240</v>
      </c>
      <c r="H50" s="29" t="s">
        <v>240</v>
      </c>
    </row>
    <row r="51" spans="1:9" x14ac:dyDescent="0.2">
      <c r="A51" s="30" t="s">
        <v>69</v>
      </c>
      <c r="B51" s="31" t="s">
        <v>3</v>
      </c>
      <c r="C51" s="80">
        <v>116.52365732409686</v>
      </c>
      <c r="D51" s="80">
        <v>105.35148170729047</v>
      </c>
      <c r="E51" s="83">
        <v>179.82833570464365</v>
      </c>
      <c r="F51" s="22" t="s">
        <v>240</v>
      </c>
      <c r="G51" s="23">
        <v>54.327747544408311</v>
      </c>
      <c r="H51" s="24">
        <v>70.693693900082366</v>
      </c>
    </row>
    <row r="52" spans="1:9" ht="13.5" thickBot="1" x14ac:dyDescent="0.25">
      <c r="A52" s="56"/>
      <c r="B52" s="42" t="s">
        <v>240</v>
      </c>
      <c r="C52" s="86" t="s">
        <v>240</v>
      </c>
      <c r="D52" s="86" t="s">
        <v>240</v>
      </c>
      <c r="E52" s="86" t="s">
        <v>240</v>
      </c>
      <c r="F52" s="44"/>
      <c r="G52" s="57" t="s">
        <v>240</v>
      </c>
      <c r="H52" s="46" t="s">
        <v>240</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241</v>
      </c>
      <c r="G61" s="53"/>
      <c r="H61" s="204">
        <v>26</v>
      </c>
    </row>
    <row r="62" spans="1:9" ht="12.75" customHeight="1" x14ac:dyDescent="0.2">
      <c r="A62" s="54" t="s">
        <v>242</v>
      </c>
      <c r="G62" s="53"/>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Skadestatistikk</v>
      </c>
      <c r="G52" s="196">
        <v>27</v>
      </c>
      <c r="H52" s="54" t="str">
        <f>+Innhold!B123</f>
        <v>Finans Norge / Skadestatistikk</v>
      </c>
      <c r="N52" s="196">
        <v>28</v>
      </c>
    </row>
    <row r="53" spans="1:14" ht="12.75" customHeight="1" x14ac:dyDescent="0.2">
      <c r="A53" s="54" t="str">
        <f>+Innhold!B124</f>
        <v>Skadestatistikk for landbasert forsikring 4. kvartal 2018</v>
      </c>
      <c r="G53" s="197"/>
      <c r="H53" s="54" t="str">
        <f>+Innhold!B124</f>
        <v>Skadestatistikk for landbasert forsikring 4. kvartal 2018</v>
      </c>
      <c r="N53" s="197"/>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
      <c r="A46" s="163" t="s">
        <v>191</v>
      </c>
      <c r="M46" s="77"/>
    </row>
    <row r="47" spans="1:13" ht="15.6" customHeight="1" x14ac:dyDescent="0.2">
      <c r="A47" s="163" t="s">
        <v>192</v>
      </c>
      <c r="M47" s="77"/>
    </row>
    <row r="48" spans="1:13" ht="15.6" customHeight="1" x14ac:dyDescent="0.2">
      <c r="A48" s="163" t="s">
        <v>131</v>
      </c>
      <c r="M48" s="77"/>
    </row>
    <row r="49" spans="1:13" ht="15.6" customHeight="1" x14ac:dyDescent="0.2">
      <c r="A49" s="163" t="s">
        <v>243</v>
      </c>
      <c r="M49" s="77"/>
    </row>
    <row r="50" spans="1:13" ht="15.6" customHeight="1" x14ac:dyDescent="0.2">
      <c r="A50" s="52"/>
      <c r="B50" s="52"/>
      <c r="C50" s="52"/>
      <c r="D50" s="52"/>
      <c r="E50" s="52"/>
      <c r="F50" s="52"/>
      <c r="G50" s="52"/>
      <c r="H50" s="77"/>
    </row>
    <row r="51" spans="1:13" ht="15.6" customHeight="1" x14ac:dyDescent="0.2">
      <c r="A51" s="54" t="str">
        <f>+Innhold!B123</f>
        <v>Finans Norge / Skadestatistikk</v>
      </c>
      <c r="G51" s="196">
        <v>3</v>
      </c>
      <c r="H51" s="77"/>
    </row>
    <row r="52" spans="1:13" ht="15.6" customHeight="1" x14ac:dyDescent="0.2">
      <c r="A52" s="54" t="str">
        <f>+Innhold!B124</f>
        <v>Skadestatistikk for landbasert forsikring 4. kvartal 2018</v>
      </c>
      <c r="G52" s="197"/>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17"/>
  <sheetViews>
    <sheetView showGridLines="0" showRowColHeaders="0" zoomScaleNormal="100" workbookViewId="0"/>
  </sheetViews>
  <sheetFormatPr defaultColWidth="11.42578125" defaultRowHeight="12.75" x14ac:dyDescent="0.2"/>
  <cols>
    <col min="1" max="1" width="26.42578125" style="164" customWidth="1"/>
    <col min="2" max="2" width="8.140625" style="164" customWidth="1"/>
    <col min="3" max="4" width="10.42578125" style="164" customWidth="1"/>
    <col min="5" max="5" width="9.85546875" style="164" customWidth="1"/>
    <col min="6" max="6" width="1.5703125" style="164" customWidth="1"/>
    <col min="7" max="7" width="7.5703125" style="164" customWidth="1"/>
    <col min="8" max="8" width="8.85546875" style="164" customWidth="1"/>
    <col min="9" max="21" width="11.42578125" style="164" customWidth="1"/>
    <col min="22" max="22" width="15.42578125" style="164" customWidth="1"/>
    <col min="23" max="16384" width="11.42578125" style="164"/>
  </cols>
  <sheetData>
    <row r="1" spans="1:36" s="1" customFormat="1" ht="5.25" customHeight="1" x14ac:dyDescent="0.2"/>
    <row r="2" spans="1:36" s="1" customFormat="1" x14ac:dyDescent="0.2">
      <c r="A2" s="92" t="s">
        <v>0</v>
      </c>
      <c r="B2" s="2"/>
      <c r="C2" s="2"/>
      <c r="D2" s="2"/>
      <c r="E2" s="2"/>
      <c r="F2" s="2"/>
      <c r="G2" s="2"/>
    </row>
    <row r="3" spans="1:36" s="1" customFormat="1" ht="6" customHeight="1" x14ac:dyDescent="0.2">
      <c r="A3" s="3"/>
      <c r="B3" s="2"/>
      <c r="C3" s="2"/>
      <c r="D3" s="2"/>
      <c r="E3" s="2"/>
      <c r="F3" s="2"/>
      <c r="G3" s="2"/>
    </row>
    <row r="4" spans="1:36" s="1" customFormat="1" ht="12.75" customHeight="1" x14ac:dyDescent="0.2">
      <c r="A4" s="198" t="s">
        <v>90</v>
      </c>
      <c r="B4" s="2"/>
      <c r="C4" s="2"/>
      <c r="D4" s="2"/>
      <c r="E4" s="2"/>
      <c r="F4" s="2"/>
      <c r="G4" s="2"/>
      <c r="H4" s="67"/>
    </row>
    <row r="5" spans="1:36" s="1" customFormat="1" ht="12.75" customHeight="1" x14ac:dyDescent="0.2">
      <c r="A5" s="198"/>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3"/>
      <c r="B7" s="2"/>
      <c r="C7" s="2"/>
      <c r="D7" s="2"/>
      <c r="E7" s="2"/>
      <c r="F7" s="2"/>
      <c r="G7" s="2"/>
      <c r="H7" s="67"/>
      <c r="V7" s="88"/>
      <c r="AJ7" s="88"/>
    </row>
    <row r="8" spans="1:36" s="1" customFormat="1" x14ac:dyDescent="0.2">
      <c r="A8" s="3"/>
      <c r="B8" s="2"/>
      <c r="C8" s="2"/>
      <c r="D8" s="2"/>
      <c r="E8" s="2"/>
      <c r="F8" s="2"/>
      <c r="G8" s="2"/>
      <c r="H8" s="67"/>
    </row>
    <row r="9" spans="1:36" s="1" customFormat="1" x14ac:dyDescent="0.2">
      <c r="A9" s="3"/>
      <c r="B9" s="2"/>
      <c r="C9" s="2"/>
      <c r="D9" s="2"/>
      <c r="E9" s="2"/>
      <c r="F9" s="2"/>
      <c r="G9" s="2"/>
      <c r="H9" s="67"/>
    </row>
    <row r="10" spans="1:36" s="1" customFormat="1" x14ac:dyDescent="0.2">
      <c r="A10" s="3"/>
      <c r="B10" s="2"/>
      <c r="C10" s="2"/>
      <c r="D10" s="2"/>
      <c r="E10" s="2"/>
      <c r="F10" s="2"/>
      <c r="G10" s="2"/>
      <c r="H10" s="67"/>
    </row>
    <row r="11" spans="1:36" s="1" customFormat="1" x14ac:dyDescent="0.2">
      <c r="A11" s="3"/>
      <c r="B11" s="2"/>
      <c r="C11" s="2"/>
      <c r="D11" s="2"/>
      <c r="E11" s="2"/>
      <c r="F11" s="2"/>
      <c r="G11" s="2"/>
      <c r="H11" s="67"/>
    </row>
    <row r="12" spans="1:36" s="1" customFormat="1" x14ac:dyDescent="0.2">
      <c r="A12" s="3"/>
      <c r="B12" s="2"/>
      <c r="C12" s="2"/>
      <c r="D12" s="2"/>
      <c r="E12" s="2"/>
      <c r="F12" s="2"/>
      <c r="G12" s="2"/>
      <c r="H12" s="67"/>
    </row>
    <row r="13" spans="1:36" s="1" customFormat="1" x14ac:dyDescent="0.2">
      <c r="A13" s="3"/>
      <c r="B13" s="2"/>
      <c r="C13" s="2"/>
      <c r="D13" s="2"/>
      <c r="E13" s="2"/>
      <c r="F13" s="2"/>
      <c r="G13" s="2"/>
      <c r="H13" s="67"/>
    </row>
    <row r="14" spans="1:36" s="1" customFormat="1" x14ac:dyDescent="0.2">
      <c r="A14" s="3"/>
      <c r="B14" s="2"/>
      <c r="C14" s="2"/>
      <c r="D14" s="2"/>
      <c r="E14" s="2"/>
      <c r="F14" s="2"/>
      <c r="G14" s="2"/>
      <c r="H14" s="67"/>
    </row>
    <row r="15" spans="1:36" s="1" customFormat="1" x14ac:dyDescent="0.2">
      <c r="A15" s="3"/>
      <c r="B15" s="2"/>
      <c r="C15" s="2"/>
      <c r="D15" s="2"/>
      <c r="E15" s="2"/>
      <c r="F15" s="2"/>
      <c r="G15" s="2"/>
      <c r="H15" s="67"/>
    </row>
    <row r="16" spans="1:36" s="1" customFormat="1" x14ac:dyDescent="0.2">
      <c r="A16" s="3"/>
      <c r="B16" s="2"/>
      <c r="C16" s="2"/>
      <c r="D16" s="2"/>
      <c r="E16" s="2"/>
      <c r="F16" s="2"/>
      <c r="G16" s="2"/>
      <c r="H16" s="67"/>
    </row>
    <row r="17" spans="1:30" s="1" customFormat="1" x14ac:dyDescent="0.2">
      <c r="A17" s="3"/>
      <c r="B17" s="2"/>
      <c r="C17" s="2"/>
      <c r="D17" s="2"/>
      <c r="E17" s="2"/>
      <c r="F17" s="2"/>
      <c r="G17" s="2"/>
      <c r="H17" s="67"/>
    </row>
    <row r="18" spans="1:30" s="1" customFormat="1" x14ac:dyDescent="0.2">
      <c r="A18" s="3"/>
      <c r="B18" s="2"/>
      <c r="C18" s="2"/>
      <c r="D18" s="2"/>
      <c r="E18" s="2"/>
      <c r="F18" s="2"/>
      <c r="G18" s="2"/>
      <c r="H18" s="67"/>
    </row>
    <row r="19" spans="1:30" s="1" customFormat="1" x14ac:dyDescent="0.2">
      <c r="A19" s="3"/>
      <c r="B19" s="2"/>
      <c r="C19" s="2"/>
      <c r="D19" s="2"/>
      <c r="E19" s="2"/>
      <c r="F19" s="2"/>
      <c r="G19" s="2"/>
      <c r="H19" s="67"/>
    </row>
    <row r="20" spans="1:30" s="1" customFormat="1" x14ac:dyDescent="0.2">
      <c r="A20" s="3"/>
      <c r="B20" s="2"/>
      <c r="C20" s="2"/>
      <c r="D20" s="2"/>
      <c r="E20" s="2"/>
      <c r="F20" s="2"/>
      <c r="G20" s="2"/>
      <c r="H20" s="67"/>
    </row>
    <row r="21" spans="1:30" s="1" customFormat="1" x14ac:dyDescent="0.2">
      <c r="A21" s="3"/>
      <c r="B21" s="2"/>
      <c r="C21" s="2"/>
      <c r="D21" s="2"/>
      <c r="E21" s="2"/>
      <c r="F21" s="2"/>
      <c r="G21" s="2"/>
      <c r="H21" s="67"/>
    </row>
    <row r="22" spans="1:30" s="1" customFormat="1" x14ac:dyDescent="0.2">
      <c r="A22" s="3"/>
      <c r="B22" s="2"/>
      <c r="C22" s="2"/>
      <c r="D22" s="2"/>
      <c r="E22" s="2"/>
      <c r="F22" s="2"/>
      <c r="G22" s="2"/>
      <c r="H22" s="67"/>
    </row>
    <row r="23" spans="1:30" s="1" customFormat="1" x14ac:dyDescent="0.2">
      <c r="A23" s="3"/>
      <c r="B23" s="2"/>
      <c r="C23" s="2"/>
      <c r="D23" s="2"/>
      <c r="E23" s="2"/>
      <c r="F23" s="2"/>
      <c r="G23" s="2"/>
      <c r="H23" s="67"/>
    </row>
    <row r="24" spans="1:30" s="1" customFormat="1" x14ac:dyDescent="0.2">
      <c r="A24" s="3"/>
      <c r="B24" s="2"/>
      <c r="C24" s="2"/>
      <c r="D24" s="2"/>
      <c r="E24" s="2"/>
      <c r="F24" s="2"/>
      <c r="G24" s="2"/>
      <c r="H24" s="67"/>
    </row>
    <row r="25" spans="1:30" s="1" customFormat="1" x14ac:dyDescent="0.2">
      <c r="A25" s="3"/>
      <c r="B25" s="2"/>
      <c r="C25" s="2"/>
      <c r="D25" s="2"/>
      <c r="E25" s="2"/>
      <c r="F25" s="2"/>
      <c r="G25" s="2"/>
      <c r="H25" s="67"/>
    </row>
    <row r="26" spans="1:30" s="1" customFormat="1" x14ac:dyDescent="0.2">
      <c r="A26" s="3"/>
      <c r="B26" s="2"/>
      <c r="C26" s="2"/>
      <c r="D26" s="2"/>
      <c r="E26" s="2"/>
      <c r="F26" s="2"/>
      <c r="G26" s="2"/>
      <c r="H26" s="67"/>
    </row>
    <row r="27" spans="1:30" s="1" customFormat="1" x14ac:dyDescent="0.2">
      <c r="A27" s="3"/>
      <c r="B27" s="2"/>
      <c r="C27" s="2"/>
      <c r="D27" s="2"/>
      <c r="E27" s="2"/>
      <c r="F27" s="2"/>
      <c r="G27" s="2"/>
      <c r="H27" s="67"/>
    </row>
    <row r="28" spans="1:30" s="1" customFormat="1" x14ac:dyDescent="0.2">
      <c r="A28" s="3"/>
      <c r="B28" s="2"/>
      <c r="C28" s="2"/>
      <c r="D28" s="2"/>
      <c r="E28" s="2"/>
      <c r="F28" s="2"/>
      <c r="G28" s="2"/>
      <c r="H28" s="67"/>
    </row>
    <row r="29" spans="1:30" s="1" customFormat="1" x14ac:dyDescent="0.2">
      <c r="A29" s="3"/>
      <c r="B29" s="2"/>
      <c r="C29" s="2"/>
      <c r="D29" s="2"/>
      <c r="E29" s="2"/>
      <c r="F29" s="2"/>
      <c r="G29" s="2"/>
      <c r="H29" s="67"/>
    </row>
    <row r="30" spans="1:30" s="1" customFormat="1" x14ac:dyDescent="0.2">
      <c r="A30" s="3"/>
      <c r="B30" s="2"/>
      <c r="C30" s="2"/>
      <c r="D30" s="2"/>
      <c r="E30" s="2"/>
      <c r="F30" s="2"/>
      <c r="G30" s="2"/>
      <c r="H30" s="67"/>
    </row>
    <row r="31" spans="1:30" s="1" customFormat="1" x14ac:dyDescent="0.2">
      <c r="A31" s="3"/>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2018</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
      <c r="A33" s="3"/>
      <c r="B33" s="2"/>
      <c r="C33" s="2"/>
      <c r="D33" s="2"/>
      <c r="E33" s="2"/>
      <c r="F33" s="2"/>
      <c r="G33" s="2"/>
      <c r="H33" s="67"/>
    </row>
    <row r="34" spans="1:8" s="1" customFormat="1" x14ac:dyDescent="0.2">
      <c r="A34" s="3"/>
      <c r="B34" s="2"/>
      <c r="C34" s="2"/>
      <c r="D34" s="2"/>
      <c r="E34" s="2"/>
      <c r="F34" s="2"/>
      <c r="G34" s="2"/>
      <c r="H34" s="67"/>
    </row>
    <row r="35" spans="1:8" s="1" customFormat="1" x14ac:dyDescent="0.2">
      <c r="A35" s="3"/>
      <c r="B35" s="2"/>
      <c r="C35" s="2"/>
      <c r="D35" s="2"/>
      <c r="E35" s="2"/>
      <c r="F35" s="2"/>
      <c r="G35" s="2"/>
      <c r="H35" s="67"/>
    </row>
    <row r="36" spans="1:8" s="1" customFormat="1" x14ac:dyDescent="0.2">
      <c r="A36" s="3"/>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7"/>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Skadestatistikk</v>
      </c>
      <c r="H61" s="196">
        <v>4</v>
      </c>
      <c r="I61" s="54" t="str">
        <f>+Innhold!B123</f>
        <v>Finans Norge / Skadestatistikk</v>
      </c>
      <c r="O61" s="196">
        <v>5</v>
      </c>
      <c r="P61" s="54" t="str">
        <f>+Innhold!B123</f>
        <v>Finans Norge / Skadestatistikk</v>
      </c>
      <c r="V61" s="196">
        <v>6</v>
      </c>
      <c r="W61" s="54" t="str">
        <f>+Innhold!B123</f>
        <v>Finans Norge / Skadestatistikk</v>
      </c>
      <c r="AC61" s="196">
        <v>7</v>
      </c>
      <c r="AD61" s="54" t="str">
        <f>+Innhold!B123</f>
        <v>Finans Norge / Skadestatistikk</v>
      </c>
      <c r="AJ61" s="196">
        <v>8</v>
      </c>
    </row>
    <row r="62" spans="1:36" s="1" customFormat="1" x14ac:dyDescent="0.2">
      <c r="A62" s="54" t="str">
        <f>+Innhold!B124</f>
        <v>Skadestatistikk for landbasert forsikring 4. kvartal 2018</v>
      </c>
      <c r="H62" s="197"/>
      <c r="I62" s="54" t="str">
        <f>+Innhold!B124</f>
        <v>Skadestatistikk for landbasert forsikring 4. kvartal 2018</v>
      </c>
      <c r="O62" s="197"/>
      <c r="P62" s="54" t="str">
        <f>+Innhold!B124</f>
        <v>Skadestatistikk for landbasert forsikring 4. kvartal 2018</v>
      </c>
      <c r="V62" s="197"/>
      <c r="W62" s="54" t="str">
        <f>+Innhold!B124</f>
        <v>Skadestatistikk for landbasert forsikring 4. kvartal 2018</v>
      </c>
      <c r="AC62" s="197"/>
      <c r="AD62" s="54" t="str">
        <f>+Innhold!B124</f>
        <v>Skadestatistikk for landbasert forsikring 4. kvartal 2018</v>
      </c>
      <c r="AJ62" s="197"/>
    </row>
    <row r="67" spans="1:26" ht="12.75" customHeight="1" x14ac:dyDescent="0.2"/>
    <row r="68" spans="1:26" ht="12.75" customHeight="1" x14ac:dyDescent="0.2">
      <c r="M68" s="165" t="s">
        <v>178</v>
      </c>
      <c r="P68" s="165" t="s">
        <v>180</v>
      </c>
      <c r="S68" s="165" t="s">
        <v>179</v>
      </c>
    </row>
    <row r="69" spans="1:26" x14ac:dyDescent="0.2">
      <c r="A69" s="166" t="s">
        <v>184</v>
      </c>
      <c r="B69" s="167"/>
      <c r="C69" s="167"/>
      <c r="D69" s="167" t="s">
        <v>74</v>
      </c>
      <c r="E69" s="167"/>
      <c r="F69" s="167"/>
      <c r="G69" s="167"/>
      <c r="H69" s="166"/>
      <c r="I69" s="168">
        <v>147.6</v>
      </c>
      <c r="J69" s="169" t="s">
        <v>233</v>
      </c>
      <c r="M69" s="165" t="s">
        <v>162</v>
      </c>
      <c r="P69" s="165" t="s">
        <v>176</v>
      </c>
      <c r="S69" s="165" t="s">
        <v>177</v>
      </c>
      <c r="V69" s="166" t="s">
        <v>185</v>
      </c>
      <c r="W69" s="167"/>
      <c r="X69" s="167"/>
      <c r="Y69" s="167"/>
      <c r="Z69" s="167"/>
    </row>
    <row r="70" spans="1:26" x14ac:dyDescent="0.2">
      <c r="A70" s="167" t="s">
        <v>75</v>
      </c>
      <c r="B70" s="167" t="s">
        <v>76</v>
      </c>
      <c r="C70" s="167" t="s">
        <v>26</v>
      </c>
      <c r="D70" s="167" t="s">
        <v>77</v>
      </c>
      <c r="E70" s="167"/>
      <c r="F70" s="167"/>
      <c r="G70" s="167"/>
      <c r="I70" s="170" t="s">
        <v>160</v>
      </c>
      <c r="J70" s="164" t="s">
        <v>232</v>
      </c>
      <c r="K70" s="170" t="s">
        <v>76</v>
      </c>
      <c r="L70" s="170" t="s">
        <v>108</v>
      </c>
      <c r="M70" s="170" t="s">
        <v>158</v>
      </c>
      <c r="N70" s="170" t="s">
        <v>159</v>
      </c>
      <c r="O70" s="170" t="s">
        <v>108</v>
      </c>
      <c r="P70" s="170" t="s">
        <v>158</v>
      </c>
      <c r="Q70" s="170" t="s">
        <v>159</v>
      </c>
      <c r="R70" s="170" t="s">
        <v>108</v>
      </c>
      <c r="S70" s="170" t="s">
        <v>158</v>
      </c>
      <c r="T70" s="170" t="s">
        <v>159</v>
      </c>
      <c r="V70" s="167" t="s">
        <v>81</v>
      </c>
      <c r="W70" s="167"/>
      <c r="X70" s="171" t="str">
        <f>+'Tab3'!C6</f>
        <v>2016</v>
      </c>
      <c r="Y70" s="171" t="str">
        <f>+'Tab3'!D6</f>
        <v>2017</v>
      </c>
      <c r="Z70" s="171" t="str">
        <f>+'Tab3'!E6</f>
        <v>2018</v>
      </c>
    </row>
    <row r="71" spans="1:26" x14ac:dyDescent="0.2">
      <c r="A71" s="167">
        <v>1</v>
      </c>
      <c r="B71" s="167">
        <v>1983</v>
      </c>
      <c r="C71" s="167">
        <v>97</v>
      </c>
      <c r="D71" s="167">
        <v>78.3</v>
      </c>
      <c r="E71" s="167"/>
      <c r="F71" s="167"/>
      <c r="G71" s="167"/>
      <c r="I71" s="172">
        <v>53.8</v>
      </c>
      <c r="J71" s="164">
        <v>1</v>
      </c>
      <c r="K71" s="164">
        <v>1983</v>
      </c>
      <c r="L71" s="173">
        <v>11621</v>
      </c>
      <c r="M71" s="172">
        <v>80.900000000000006</v>
      </c>
      <c r="N71" s="172">
        <f t="shared" ref="N71:N102" si="0">M71/I71*$I$69</f>
        <v>221.94869888475839</v>
      </c>
      <c r="V71" s="167"/>
      <c r="W71" s="167"/>
      <c r="X71" s="167"/>
      <c r="Y71" s="167"/>
      <c r="Z71" s="167"/>
    </row>
    <row r="72" spans="1:26" x14ac:dyDescent="0.2">
      <c r="A72" s="167">
        <v>2</v>
      </c>
      <c r="B72" s="167"/>
      <c r="C72" s="167">
        <v>78.8</v>
      </c>
      <c r="D72" s="167">
        <v>61.3</v>
      </c>
      <c r="E72" s="167"/>
      <c r="F72" s="167"/>
      <c r="G72" s="167"/>
      <c r="I72" s="172">
        <v>54.7</v>
      </c>
      <c r="J72" s="164">
        <v>2</v>
      </c>
      <c r="L72" s="173">
        <v>11120</v>
      </c>
      <c r="M72" s="172">
        <v>68.900000000000006</v>
      </c>
      <c r="N72" s="172">
        <f t="shared" si="0"/>
        <v>185.9166361974406</v>
      </c>
      <c r="V72" s="167" t="s">
        <v>26</v>
      </c>
      <c r="W72" s="167"/>
      <c r="X72" s="174">
        <f>IF('Tab6'!C36="",'Tab6'!C35,'Tab6'!C36)</f>
        <v>12755.754436418403</v>
      </c>
      <c r="Y72" s="174">
        <f>IF('Tab6'!D36="",'Tab6'!D35,'Tab6'!D36)</f>
        <v>13878.920128694612</v>
      </c>
      <c r="Z72" s="174">
        <f>IF('Tab6'!E36="",'Tab6'!E35,'Tab6'!E36)</f>
        <v>15159.572619238015</v>
      </c>
    </row>
    <row r="73" spans="1:26" x14ac:dyDescent="0.2">
      <c r="A73" s="167">
        <v>3</v>
      </c>
      <c r="B73" s="167"/>
      <c r="C73" s="167">
        <v>84.8</v>
      </c>
      <c r="D73" s="167">
        <v>63</v>
      </c>
      <c r="E73" s="167"/>
      <c r="F73" s="167"/>
      <c r="G73" s="167"/>
      <c r="I73" s="172">
        <v>55.3</v>
      </c>
      <c r="J73" s="164">
        <v>3</v>
      </c>
      <c r="L73" s="173">
        <v>11918</v>
      </c>
      <c r="M73" s="172">
        <v>63.7</v>
      </c>
      <c r="N73" s="172">
        <f t="shared" si="0"/>
        <v>170.02025316455698</v>
      </c>
      <c r="V73" s="167"/>
      <c r="W73" s="167"/>
      <c r="X73" s="174"/>
      <c r="Y73" s="174"/>
      <c r="Z73" s="174"/>
    </row>
    <row r="74" spans="1:26" x14ac:dyDescent="0.2">
      <c r="A74" s="167">
        <v>4</v>
      </c>
      <c r="B74" s="167"/>
      <c r="C74" s="167">
        <v>91.2</v>
      </c>
      <c r="D74" s="167">
        <v>70.8</v>
      </c>
      <c r="E74" s="167"/>
      <c r="F74" s="167"/>
      <c r="G74" s="167"/>
      <c r="I74" s="172">
        <v>56.2</v>
      </c>
      <c r="J74" s="164">
        <v>4</v>
      </c>
      <c r="L74" s="173">
        <v>11905</v>
      </c>
      <c r="M74" s="172">
        <v>79.3</v>
      </c>
      <c r="N74" s="172">
        <f t="shared" si="0"/>
        <v>208.26832740213521</v>
      </c>
      <c r="V74" s="167" t="s">
        <v>63</v>
      </c>
      <c r="W74" s="167"/>
      <c r="X74" s="174">
        <f>IF('Tab6'!C36="",'Tab6'!C45+'Tab6'!C47,'Tab6'!C46+'Tab6'!C48)</f>
        <v>223.20845500382353</v>
      </c>
      <c r="Y74" s="174">
        <f>IF('Tab6'!D36="",'Tab6'!D45+'Tab6'!D47,'Tab6'!D46+'Tab6'!D48)</f>
        <v>217.48893842633109</v>
      </c>
      <c r="Z74" s="174">
        <f>IF('Tab6'!E36="",'Tab6'!E45+'Tab6'!E47,'Tab6'!E46+'Tab6'!E48)</f>
        <v>218.23876054289406</v>
      </c>
    </row>
    <row r="75" spans="1:26" x14ac:dyDescent="0.2">
      <c r="A75" s="167">
        <v>1</v>
      </c>
      <c r="B75" s="167">
        <v>1984</v>
      </c>
      <c r="C75" s="167">
        <v>112.2</v>
      </c>
      <c r="D75" s="167">
        <v>90.4</v>
      </c>
      <c r="E75" s="167"/>
      <c r="F75" s="167"/>
      <c r="G75" s="167"/>
      <c r="I75" s="172">
        <v>57.3</v>
      </c>
      <c r="J75" s="164">
        <v>1</v>
      </c>
      <c r="K75" s="164">
        <v>1984</v>
      </c>
      <c r="L75" s="173">
        <v>13205</v>
      </c>
      <c r="M75" s="172">
        <v>86.7</v>
      </c>
      <c r="N75" s="172">
        <f t="shared" si="0"/>
        <v>223.3319371727749</v>
      </c>
      <c r="V75" s="167" t="s">
        <v>39</v>
      </c>
      <c r="W75" s="167"/>
      <c r="X75" s="174">
        <f>IF('Tab6'!C36="",'Tab6'!C49,'Tab6'!C50)</f>
        <v>1471.1466948414441</v>
      </c>
      <c r="Y75" s="174">
        <f>IF('Tab6'!D36="",'Tab6'!D49,'Tab6'!D50)</f>
        <v>1584.2496189421051</v>
      </c>
      <c r="Z75" s="174">
        <f>IF('Tab6'!E36="",'Tab6'!E49,'Tab6'!E50)</f>
        <v>1617.8431538693196</v>
      </c>
    </row>
    <row r="76" spans="1:26" x14ac:dyDescent="0.2">
      <c r="A76" s="167">
        <v>2</v>
      </c>
      <c r="B76" s="167"/>
      <c r="C76" s="167">
        <v>81.8</v>
      </c>
      <c r="D76" s="167">
        <v>64.400000000000006</v>
      </c>
      <c r="E76" s="167"/>
      <c r="F76" s="167"/>
      <c r="G76" s="167"/>
      <c r="I76" s="172">
        <v>58.2</v>
      </c>
      <c r="J76" s="164">
        <v>2</v>
      </c>
      <c r="L76" s="173">
        <v>12453</v>
      </c>
      <c r="M76" s="172">
        <v>83.3</v>
      </c>
      <c r="N76" s="172">
        <f t="shared" si="0"/>
        <v>211.25567010309274</v>
      </c>
      <c r="V76" s="167" t="s">
        <v>18</v>
      </c>
      <c r="W76" s="167"/>
      <c r="X76" s="174">
        <f>IF('Tab6'!C36="",'Tab6'!C43,'Tab6'!C44)</f>
        <v>196.17641437935978</v>
      </c>
      <c r="Y76" s="174">
        <f>IF('Tab6'!D36="",'Tab6'!D43,'Tab6'!D44)</f>
        <v>225.16202558953503</v>
      </c>
      <c r="Z76" s="174">
        <f>IF('Tab6'!E36="",'Tab6'!E43,'Tab6'!E44)</f>
        <v>278.09146904358499</v>
      </c>
    </row>
    <row r="77" spans="1:26" x14ac:dyDescent="0.2">
      <c r="A77" s="167">
        <v>3</v>
      </c>
      <c r="B77" s="167"/>
      <c r="C77" s="167">
        <v>90.4</v>
      </c>
      <c r="D77" s="167">
        <v>71.099999999999994</v>
      </c>
      <c r="E77" s="167"/>
      <c r="F77" s="167"/>
      <c r="G77" s="167"/>
      <c r="I77" s="172">
        <v>58.7</v>
      </c>
      <c r="J77" s="164">
        <v>3</v>
      </c>
      <c r="L77" s="173">
        <v>12278</v>
      </c>
      <c r="M77" s="172">
        <v>83.3</v>
      </c>
      <c r="N77" s="172">
        <f t="shared" si="0"/>
        <v>209.4562180579216</v>
      </c>
      <c r="V77" s="167" t="s">
        <v>82</v>
      </c>
      <c r="W77" s="167"/>
      <c r="X77" s="174">
        <f>IF('Tab6'!C36="",'Tab6'!C37+'Tab6'!C39,'Tab6'!C38+'Tab6'!C40)</f>
        <v>1178.1485436951511</v>
      </c>
      <c r="Y77" s="174">
        <f>IF('Tab6'!D36="",'Tab6'!D37+'Tab6'!D39,'Tab6'!D38+'Tab6'!D40)</f>
        <v>1266.1856045826992</v>
      </c>
      <c r="Z77" s="174">
        <f>IF('Tab6'!E36="",'Tab6'!E37+'Tab6'!E39,'Tab6'!E38+'Tab6'!E40)</f>
        <v>1200.3276238735052</v>
      </c>
    </row>
    <row r="78" spans="1:26" x14ac:dyDescent="0.2">
      <c r="A78" s="167">
        <v>4</v>
      </c>
      <c r="B78" s="167"/>
      <c r="C78" s="167">
        <v>92.9</v>
      </c>
      <c r="D78" s="167">
        <v>73.900000000000006</v>
      </c>
      <c r="E78" s="167"/>
      <c r="F78" s="167"/>
      <c r="G78" s="167"/>
      <c r="I78" s="172">
        <v>59.6</v>
      </c>
      <c r="J78" s="164">
        <v>4</v>
      </c>
      <c r="L78" s="173">
        <v>11449</v>
      </c>
      <c r="M78" s="172">
        <v>94.6</v>
      </c>
      <c r="N78" s="172">
        <f t="shared" si="0"/>
        <v>234.27785234899324</v>
      </c>
      <c r="V78" s="167" t="s">
        <v>83</v>
      </c>
      <c r="W78" s="167"/>
      <c r="X78" s="175">
        <f>X72-X77-X76-X75-X74</f>
        <v>9687.0743284986256</v>
      </c>
      <c r="Y78" s="175">
        <f>Y72-Y77-Y76-Y75-Y74</f>
        <v>10585.83394115394</v>
      </c>
      <c r="Z78" s="175">
        <f>Z72-Z77-Z76-Z75-Z74</f>
        <v>11845.07161190871</v>
      </c>
    </row>
    <row r="79" spans="1:26" x14ac:dyDescent="0.2">
      <c r="A79" s="167">
        <v>1</v>
      </c>
      <c r="B79" s="167">
        <v>1985</v>
      </c>
      <c r="C79" s="167">
        <v>123.4</v>
      </c>
      <c r="D79" s="167">
        <v>100.8</v>
      </c>
      <c r="E79" s="167"/>
      <c r="F79" s="167"/>
      <c r="G79" s="167"/>
      <c r="I79" s="172">
        <v>60.4</v>
      </c>
      <c r="J79" s="164">
        <v>1</v>
      </c>
      <c r="K79" s="164">
        <v>1985</v>
      </c>
      <c r="L79" s="173">
        <v>16918</v>
      </c>
      <c r="M79" s="172">
        <v>103.6</v>
      </c>
      <c r="N79" s="172">
        <f t="shared" si="0"/>
        <v>253.16821192052979</v>
      </c>
      <c r="V79" s="167"/>
      <c r="W79" s="167"/>
      <c r="X79" s="167"/>
      <c r="Y79" s="167"/>
      <c r="Z79" s="167"/>
    </row>
    <row r="80" spans="1:26" x14ac:dyDescent="0.2">
      <c r="A80" s="167">
        <v>2</v>
      </c>
      <c r="B80" s="167"/>
      <c r="C80" s="167">
        <v>102</v>
      </c>
      <c r="D80" s="167">
        <v>81.099999999999994</v>
      </c>
      <c r="E80" s="167"/>
      <c r="F80" s="167"/>
      <c r="G80" s="167"/>
      <c r="I80" s="172">
        <v>61.5</v>
      </c>
      <c r="J80" s="164">
        <v>2</v>
      </c>
      <c r="L80" s="173">
        <v>14237</v>
      </c>
      <c r="M80" s="172">
        <v>115.3</v>
      </c>
      <c r="N80" s="172">
        <f t="shared" si="0"/>
        <v>276.71999999999997</v>
      </c>
      <c r="V80" s="166" t="s">
        <v>163</v>
      </c>
      <c r="W80" s="167"/>
      <c r="X80" s="167"/>
      <c r="Y80" s="167"/>
    </row>
    <row r="81" spans="1:25" x14ac:dyDescent="0.2">
      <c r="A81" s="167">
        <v>3</v>
      </c>
      <c r="B81" s="167"/>
      <c r="C81" s="167">
        <v>108.4</v>
      </c>
      <c r="D81" s="167">
        <v>86</v>
      </c>
      <c r="E81" s="167"/>
      <c r="F81" s="167"/>
      <c r="G81" s="167"/>
      <c r="I81" s="172">
        <v>62</v>
      </c>
      <c r="J81" s="164">
        <v>3</v>
      </c>
      <c r="L81" s="173">
        <v>14329</v>
      </c>
      <c r="M81" s="172">
        <v>103</v>
      </c>
      <c r="N81" s="172">
        <f t="shared" si="0"/>
        <v>245.20645161290324</v>
      </c>
      <c r="V81" s="167"/>
      <c r="W81" s="167"/>
      <c r="X81" s="167"/>
      <c r="Y81" s="167"/>
    </row>
    <row r="82" spans="1:25" x14ac:dyDescent="0.2">
      <c r="A82" s="167">
        <v>4</v>
      </c>
      <c r="B82" s="167"/>
      <c r="C82" s="167">
        <v>109.6</v>
      </c>
      <c r="D82" s="167">
        <v>87.1</v>
      </c>
      <c r="E82" s="167"/>
      <c r="F82" s="167"/>
      <c r="G82" s="167"/>
      <c r="I82" s="172">
        <v>63</v>
      </c>
      <c r="J82" s="164">
        <v>4</v>
      </c>
      <c r="L82" s="173">
        <v>13060</v>
      </c>
      <c r="M82" s="172">
        <v>118.7</v>
      </c>
      <c r="N82" s="172">
        <f t="shared" si="0"/>
        <v>278.09714285714284</v>
      </c>
      <c r="V82" s="167"/>
      <c r="W82" s="171" t="str">
        <f>+'Tab4'!C6</f>
        <v>2016</v>
      </c>
      <c r="X82" s="171" t="str">
        <f>+'Tab4'!D6</f>
        <v>2017</v>
      </c>
      <c r="Y82" s="171" t="str">
        <f>+'Tab4'!E6</f>
        <v>2018</v>
      </c>
    </row>
    <row r="83" spans="1:25" x14ac:dyDescent="0.2">
      <c r="A83" s="167">
        <v>1</v>
      </c>
      <c r="B83" s="167">
        <v>1986</v>
      </c>
      <c r="C83" s="167">
        <v>141</v>
      </c>
      <c r="D83" s="167">
        <v>115.2</v>
      </c>
      <c r="E83" s="167"/>
      <c r="F83" s="167"/>
      <c r="G83" s="167"/>
      <c r="I83" s="172">
        <v>64</v>
      </c>
      <c r="J83" s="164">
        <v>1</v>
      </c>
      <c r="K83" s="164">
        <v>1986</v>
      </c>
      <c r="L83" s="173">
        <v>14314</v>
      </c>
      <c r="M83" s="172">
        <v>111.8</v>
      </c>
      <c r="N83" s="172">
        <f t="shared" si="0"/>
        <v>257.83875</v>
      </c>
      <c r="V83" s="167" t="s">
        <v>84</v>
      </c>
      <c r="W83" s="174">
        <f>IF('Tab4'!C14="",'Tab4'!C13,'Tab4'!C14)</f>
        <v>7461.0390863119937</v>
      </c>
      <c r="X83" s="174">
        <f>IF('Tab4'!D14="",'Tab4'!D13,'Tab4'!D14)</f>
        <v>7171.790369567203</v>
      </c>
      <c r="Y83" s="174">
        <f>IF('Tab4'!E14="",'Tab4'!E13,'Tab4'!E14)</f>
        <v>8904.1419745772455</v>
      </c>
    </row>
    <row r="84" spans="1:25" x14ac:dyDescent="0.2">
      <c r="A84" s="167">
        <v>2</v>
      </c>
      <c r="B84" s="167"/>
      <c r="C84" s="167">
        <v>120.5</v>
      </c>
      <c r="D84" s="167">
        <v>93.2</v>
      </c>
      <c r="E84" s="167"/>
      <c r="F84" s="167"/>
      <c r="G84" s="167"/>
      <c r="I84" s="172">
        <v>65</v>
      </c>
      <c r="J84" s="164">
        <v>2</v>
      </c>
      <c r="L84" s="173">
        <v>13505</v>
      </c>
      <c r="M84" s="172">
        <v>121.5</v>
      </c>
      <c r="N84" s="172">
        <f t="shared" si="0"/>
        <v>275.8984615384615</v>
      </c>
      <c r="V84" s="167" t="s">
        <v>170</v>
      </c>
      <c r="W84" s="174">
        <f>IF('Tab4'!C16="",'Tab4'!C15,'Tab4'!C16)</f>
        <v>5391.9695681264966</v>
      </c>
      <c r="X84" s="174">
        <f>IF('Tab4'!D16="",'Tab4'!D15,'Tab4'!D16)</f>
        <v>5239.1371201696156</v>
      </c>
      <c r="Y84" s="174">
        <f>IF('Tab4'!E16="",'Tab4'!E15,'Tab4'!E16)</f>
        <v>6748.7843414238068</v>
      </c>
    </row>
    <row r="85" spans="1:25" x14ac:dyDescent="0.2">
      <c r="A85" s="167">
        <v>3</v>
      </c>
      <c r="B85" s="167"/>
      <c r="C85" s="167">
        <v>115.7</v>
      </c>
      <c r="D85" s="167">
        <v>91.1</v>
      </c>
      <c r="E85" s="167"/>
      <c r="F85" s="167"/>
      <c r="G85" s="167"/>
      <c r="I85" s="172">
        <v>67</v>
      </c>
      <c r="J85" s="164">
        <v>3</v>
      </c>
      <c r="L85" s="173">
        <v>12132</v>
      </c>
      <c r="M85" s="172">
        <v>100.8</v>
      </c>
      <c r="N85" s="172">
        <f t="shared" si="0"/>
        <v>222.06089552238805</v>
      </c>
      <c r="V85" s="167" t="s">
        <v>7</v>
      </c>
      <c r="W85" s="174">
        <f>IF('Tab4'!C18="",'Tab4'!C17,'Tab4'!C18)</f>
        <v>1966.9772293059962</v>
      </c>
      <c r="X85" s="174">
        <f>IF('Tab4'!D18="",'Tab4'!D17,'Tab4'!D18)</f>
        <v>1881.4521582849889</v>
      </c>
      <c r="Y85" s="174">
        <f>IF('Tab4'!E18="",'Tab4'!E17,'Tab4'!E18)</f>
        <v>1876.3099251303952</v>
      </c>
    </row>
    <row r="86" spans="1:25" x14ac:dyDescent="0.2">
      <c r="A86" s="167">
        <v>4</v>
      </c>
      <c r="B86" s="167"/>
      <c r="C86" s="167">
        <v>114.4</v>
      </c>
      <c r="D86" s="167">
        <v>90.8</v>
      </c>
      <c r="E86" s="167"/>
      <c r="F86" s="167"/>
      <c r="G86" s="167"/>
      <c r="I86" s="172">
        <v>68.5</v>
      </c>
      <c r="J86" s="164">
        <v>4</v>
      </c>
      <c r="L86" s="173">
        <v>11763</v>
      </c>
      <c r="M86" s="172">
        <v>120.6</v>
      </c>
      <c r="N86" s="172">
        <f t="shared" si="0"/>
        <v>259.86218978102187</v>
      </c>
      <c r="V86" s="164" t="s">
        <v>8</v>
      </c>
      <c r="W86" s="174">
        <f>IF('Tab4'!C20="",'Tab4'!C19,'Tab4'!C20)</f>
        <v>1986.7947992968452</v>
      </c>
      <c r="X86" s="174">
        <f>IF('Tab4'!D20="",'Tab4'!D19,'Tab4'!D20)</f>
        <v>1779.0988161448022</v>
      </c>
      <c r="Y86" s="174">
        <f>IF('Tab4'!E20="",'Tab4'!E19,'Tab4'!E20)</f>
        <v>1723.7764637740252</v>
      </c>
    </row>
    <row r="87" spans="1:25" x14ac:dyDescent="0.2">
      <c r="A87" s="167">
        <v>1</v>
      </c>
      <c r="B87" s="167">
        <v>1987</v>
      </c>
      <c r="C87" s="167">
        <v>152.19999999999999</v>
      </c>
      <c r="D87" s="167">
        <v>121.3</v>
      </c>
      <c r="E87" s="167"/>
      <c r="F87" s="167"/>
      <c r="G87" s="167"/>
      <c r="I87" s="172">
        <v>70.5</v>
      </c>
      <c r="J87" s="164">
        <v>1</v>
      </c>
      <c r="K87" s="164">
        <v>1987</v>
      </c>
      <c r="L87" s="173">
        <v>17280</v>
      </c>
      <c r="M87" s="172">
        <v>135.6</v>
      </c>
      <c r="N87" s="172">
        <f t="shared" si="0"/>
        <v>283.89446808510638</v>
      </c>
      <c r="V87" s="167" t="s">
        <v>9</v>
      </c>
      <c r="W87" s="174">
        <f>IF('Tab4'!C20="",'Tab4'!C21,'Tab4'!C22)</f>
        <v>507.42304330194474</v>
      </c>
      <c r="X87" s="174">
        <f>IF('Tab4'!D20="",'Tab4'!D21,'Tab4'!D22)</f>
        <v>531.9762485737474</v>
      </c>
      <c r="Y87" s="174">
        <f>IF('Tab4'!E20="",'Tab4'!E21,'Tab4'!E22)</f>
        <v>573.4538477665858</v>
      </c>
    </row>
    <row r="88" spans="1:25" x14ac:dyDescent="0.2">
      <c r="A88" s="167">
        <v>2</v>
      </c>
      <c r="B88" s="167"/>
      <c r="C88" s="167">
        <v>109.2</v>
      </c>
      <c r="D88" s="167">
        <v>86.1</v>
      </c>
      <c r="E88" s="167"/>
      <c r="F88" s="167"/>
      <c r="G88" s="167"/>
      <c r="I88" s="172">
        <v>71.599999999999994</v>
      </c>
      <c r="J88" s="164">
        <v>2</v>
      </c>
      <c r="L88" s="173">
        <v>12241</v>
      </c>
      <c r="M88" s="172">
        <v>135.9</v>
      </c>
      <c r="N88" s="172">
        <f t="shared" si="0"/>
        <v>280.15139664804474</v>
      </c>
      <c r="V88" s="167" t="s">
        <v>10</v>
      </c>
      <c r="W88" s="174">
        <f>IF('Tab4'!C22="",'Tab4'!C29,'Tab4'!C30)</f>
        <v>2043.5081056764257</v>
      </c>
      <c r="X88" s="174">
        <f>IF('Tab4'!D22="",'Tab4'!D29,'Tab4'!D30)</f>
        <v>2078.8919979673683</v>
      </c>
      <c r="Y88" s="174">
        <f>IF('Tab4'!E22="",'Tab4'!E29,'Tab4'!E30)</f>
        <v>2198.9291608924541</v>
      </c>
    </row>
    <row r="89" spans="1:25" x14ac:dyDescent="0.2">
      <c r="A89" s="167">
        <v>3</v>
      </c>
      <c r="B89" s="167"/>
      <c r="C89" s="167">
        <v>110.1</v>
      </c>
      <c r="D89" s="167">
        <v>87.3</v>
      </c>
      <c r="E89" s="167"/>
      <c r="F89" s="167"/>
      <c r="G89" s="167"/>
      <c r="I89" s="172">
        <v>72.3</v>
      </c>
      <c r="J89" s="164">
        <v>3</v>
      </c>
      <c r="L89" s="173">
        <v>11506</v>
      </c>
      <c r="M89" s="172">
        <v>112.3</v>
      </c>
      <c r="N89" s="172">
        <f t="shared" si="0"/>
        <v>229.25975103734439</v>
      </c>
      <c r="V89" s="167" t="s">
        <v>11</v>
      </c>
      <c r="W89" s="174">
        <f>IF('Tab4'!C30="",'Tab4'!C31,'Tab4'!C32)</f>
        <v>453.98179332223094</v>
      </c>
      <c r="X89" s="174">
        <f>IF('Tab4'!D30="",'Tab4'!D31,'Tab4'!D32)</f>
        <v>468.76565664708272</v>
      </c>
      <c r="Y89" s="174">
        <f>IF('Tab4'!E30="",'Tab4'!E31,'Tab4'!E32)</f>
        <v>540.13259437321699</v>
      </c>
    </row>
    <row r="90" spans="1:25" x14ac:dyDescent="0.2">
      <c r="A90" s="167">
        <v>4</v>
      </c>
      <c r="B90" s="167"/>
      <c r="C90" s="167">
        <v>112</v>
      </c>
      <c r="D90" s="167">
        <v>89.8</v>
      </c>
      <c r="E90" s="167"/>
      <c r="F90" s="167"/>
      <c r="G90" s="167"/>
      <c r="I90" s="172">
        <v>73.599999999999994</v>
      </c>
      <c r="J90" s="164">
        <v>4</v>
      </c>
      <c r="L90" s="173">
        <v>12860</v>
      </c>
      <c r="M90" s="172">
        <v>134.5</v>
      </c>
      <c r="N90" s="172">
        <f t="shared" si="0"/>
        <v>269.73097826086956</v>
      </c>
      <c r="V90" s="167" t="s">
        <v>12</v>
      </c>
      <c r="W90" s="174">
        <f>IF('Tab4'!C32="",'Tab4'!C33,'Tab4'!C34)</f>
        <v>1026.4393155565767</v>
      </c>
      <c r="X90" s="174">
        <f>IF('Tab4'!D32="",'Tab4'!D33,'Tab4'!D34)</f>
        <v>963.64843128868392</v>
      </c>
      <c r="Y90" s="174">
        <f>IF('Tab4'!E32="",'Tab4'!E33,'Tab4'!E34)</f>
        <v>1093.9784121220591</v>
      </c>
    </row>
    <row r="91" spans="1:25" x14ac:dyDescent="0.2">
      <c r="A91" s="167">
        <v>1</v>
      </c>
      <c r="B91" s="167">
        <v>1988</v>
      </c>
      <c r="C91" s="167">
        <v>134.1</v>
      </c>
      <c r="D91" s="167">
        <v>107.5</v>
      </c>
      <c r="E91" s="167"/>
      <c r="F91" s="167"/>
      <c r="G91" s="167"/>
      <c r="I91" s="172">
        <v>75.2</v>
      </c>
      <c r="J91" s="164">
        <v>1</v>
      </c>
      <c r="K91" s="164">
        <v>1988</v>
      </c>
      <c r="L91" s="173">
        <v>10180</v>
      </c>
      <c r="M91" s="172">
        <v>130.80000000000001</v>
      </c>
      <c r="N91" s="172">
        <f t="shared" si="0"/>
        <v>256.72978723404259</v>
      </c>
      <c r="V91" s="167" t="s">
        <v>13</v>
      </c>
      <c r="W91" s="174">
        <f>IF('Tab4'!C34="",'Tab4'!C35,'Tab4'!C36)</f>
        <v>144.28091435942434</v>
      </c>
      <c r="X91" s="174">
        <f>IF('Tab4'!D34="",'Tab4'!D35,'Tab4'!D36)</f>
        <v>211.04554373478513</v>
      </c>
      <c r="Y91" s="174">
        <f>IF('Tab4'!E34="",'Tab4'!E35,'Tab4'!E36)</f>
        <v>178.36200313241494</v>
      </c>
    </row>
    <row r="92" spans="1:25" x14ac:dyDescent="0.2">
      <c r="A92" s="167">
        <v>2</v>
      </c>
      <c r="B92" s="167"/>
      <c r="C92" s="167">
        <v>113.7</v>
      </c>
      <c r="D92" s="167">
        <v>90</v>
      </c>
      <c r="E92" s="167"/>
      <c r="F92" s="167"/>
      <c r="G92" s="167"/>
      <c r="I92" s="172">
        <v>76.7</v>
      </c>
      <c r="J92" s="164">
        <v>2</v>
      </c>
      <c r="L92" s="173">
        <v>11081</v>
      </c>
      <c r="M92" s="172">
        <v>95.1</v>
      </c>
      <c r="N92" s="172">
        <f t="shared" si="0"/>
        <v>183.00860495436766</v>
      </c>
      <c r="V92" s="167" t="s">
        <v>14</v>
      </c>
      <c r="W92" s="174">
        <f>IF('Tab4'!C38="",'Tab4'!C37,'Tab4'!C38)</f>
        <v>749.46103067636318</v>
      </c>
      <c r="X92" s="174">
        <f>IF('Tab4'!D38="",'Tab4'!D37,'Tab4'!D38)</f>
        <v>973.92633625162387</v>
      </c>
      <c r="Y92" s="174">
        <f>IF('Tab4'!E38="",'Tab4'!E37,'Tab4'!E38)</f>
        <v>836.57518884125193</v>
      </c>
    </row>
    <row r="93" spans="1:25" x14ac:dyDescent="0.2">
      <c r="A93" s="167">
        <v>3</v>
      </c>
      <c r="B93" s="167"/>
      <c r="C93" s="167">
        <v>116.3</v>
      </c>
      <c r="D93" s="167">
        <v>93.1</v>
      </c>
      <c r="E93" s="167"/>
      <c r="F93" s="167"/>
      <c r="G93" s="167"/>
      <c r="I93" s="172">
        <v>77</v>
      </c>
      <c r="J93" s="164">
        <v>3</v>
      </c>
      <c r="L93" s="173">
        <v>15987</v>
      </c>
      <c r="M93" s="172">
        <v>148.69999999999999</v>
      </c>
      <c r="N93" s="172">
        <f t="shared" si="0"/>
        <v>285.04051948051944</v>
      </c>
      <c r="V93" s="167" t="s">
        <v>85</v>
      </c>
      <c r="W93" s="175">
        <f>SUM(W83:W92)</f>
        <v>21731.874885934296</v>
      </c>
      <c r="X93" s="175">
        <f>SUM(X83:X92)</f>
        <v>21299.732678629898</v>
      </c>
      <c r="Y93" s="175">
        <f>SUM(Y83:Y92)</f>
        <v>24674.44391203345</v>
      </c>
    </row>
    <row r="94" spans="1:25" x14ac:dyDescent="0.2">
      <c r="A94" s="167">
        <v>4</v>
      </c>
      <c r="B94" s="167"/>
      <c r="C94" s="167">
        <v>115.2</v>
      </c>
      <c r="D94" s="167">
        <v>93.4</v>
      </c>
      <c r="E94" s="167"/>
      <c r="F94" s="167"/>
      <c r="G94" s="167"/>
      <c r="I94" s="172">
        <v>78.099999999999994</v>
      </c>
      <c r="J94" s="164">
        <v>4</v>
      </c>
      <c r="L94" s="173">
        <v>12493</v>
      </c>
      <c r="M94" s="172">
        <v>199.8</v>
      </c>
      <c r="N94" s="172">
        <f t="shared" si="0"/>
        <v>377.59897567221515</v>
      </c>
      <c r="V94" s="167"/>
      <c r="W94" s="167"/>
      <c r="X94" s="167"/>
      <c r="Y94" s="167"/>
    </row>
    <row r="95" spans="1:25" x14ac:dyDescent="0.2">
      <c r="A95" s="167">
        <v>1</v>
      </c>
      <c r="B95" s="167">
        <v>1989</v>
      </c>
      <c r="C95" s="167">
        <v>106.6</v>
      </c>
      <c r="D95" s="167">
        <v>86.4</v>
      </c>
      <c r="E95" s="167"/>
      <c r="F95" s="167"/>
      <c r="G95" s="167"/>
      <c r="I95" s="172">
        <v>78.900000000000006</v>
      </c>
      <c r="J95" s="164">
        <v>1</v>
      </c>
      <c r="K95" s="164">
        <v>1989</v>
      </c>
      <c r="L95" s="173">
        <v>10988</v>
      </c>
      <c r="M95" s="172">
        <v>142.6</v>
      </c>
      <c r="N95" s="172">
        <f t="shared" si="0"/>
        <v>266.76501901140682</v>
      </c>
      <c r="V95" s="167" t="s">
        <v>171</v>
      </c>
      <c r="W95" s="176">
        <f>+W93+X72</f>
        <v>34487.629322352703</v>
      </c>
      <c r="X95" s="176">
        <f>+X93+Y72</f>
        <v>35178.652807324514</v>
      </c>
      <c r="Y95" s="176">
        <f>+Y93+Z72</f>
        <v>39834.016531271467</v>
      </c>
    </row>
    <row r="96" spans="1:25" x14ac:dyDescent="0.2">
      <c r="A96" s="167">
        <v>2</v>
      </c>
      <c r="B96" s="167"/>
      <c r="C96" s="167">
        <v>98</v>
      </c>
      <c r="D96" s="167">
        <v>79.599999999999994</v>
      </c>
      <c r="E96" s="167"/>
      <c r="F96" s="167"/>
      <c r="G96" s="167"/>
      <c r="I96" s="172">
        <v>80.3</v>
      </c>
      <c r="J96" s="164">
        <v>2</v>
      </c>
      <c r="L96" s="173">
        <v>10292</v>
      </c>
      <c r="M96" s="172">
        <v>117.3</v>
      </c>
      <c r="N96" s="172">
        <f t="shared" si="0"/>
        <v>215.60996264009964</v>
      </c>
    </row>
    <row r="97" spans="1:25" x14ac:dyDescent="0.2">
      <c r="A97" s="167">
        <v>3</v>
      </c>
      <c r="B97" s="167"/>
      <c r="C97" s="167">
        <v>96.9</v>
      </c>
      <c r="D97" s="167">
        <v>79</v>
      </c>
      <c r="E97" s="167"/>
      <c r="F97" s="167"/>
      <c r="G97" s="167"/>
      <c r="I97" s="172">
        <v>80.599999999999994</v>
      </c>
      <c r="J97" s="164">
        <v>3</v>
      </c>
      <c r="L97" s="173">
        <v>11352</v>
      </c>
      <c r="M97" s="172">
        <v>103.6</v>
      </c>
      <c r="N97" s="172">
        <f t="shared" si="0"/>
        <v>189.71910669975185</v>
      </c>
      <c r="Y97" s="167"/>
    </row>
    <row r="98" spans="1:25" x14ac:dyDescent="0.2">
      <c r="A98" s="167">
        <v>4</v>
      </c>
      <c r="B98" s="167"/>
      <c r="C98" s="167">
        <v>93.4</v>
      </c>
      <c r="D98" s="167">
        <v>76.8</v>
      </c>
      <c r="E98" s="167"/>
      <c r="F98" s="167"/>
      <c r="G98" s="167"/>
      <c r="I98" s="172">
        <v>81.400000000000006</v>
      </c>
      <c r="J98" s="164">
        <v>4</v>
      </c>
      <c r="L98" s="173">
        <v>11958</v>
      </c>
      <c r="M98" s="172">
        <v>132</v>
      </c>
      <c r="N98" s="172">
        <f t="shared" si="0"/>
        <v>239.35135135135133</v>
      </c>
      <c r="V98" s="166" t="s">
        <v>186</v>
      </c>
      <c r="W98" s="167"/>
      <c r="X98" s="167"/>
      <c r="Y98" s="167"/>
    </row>
    <row r="99" spans="1:25" x14ac:dyDescent="0.2">
      <c r="A99" s="167">
        <v>1</v>
      </c>
      <c r="B99" s="167">
        <v>1990</v>
      </c>
      <c r="C99" s="167">
        <v>99.4</v>
      </c>
      <c r="D99" s="167">
        <v>81.3</v>
      </c>
      <c r="E99" s="167"/>
      <c r="F99" s="167"/>
      <c r="G99" s="167"/>
      <c r="I99" s="172">
        <v>82.3</v>
      </c>
      <c r="J99" s="164">
        <v>1</v>
      </c>
      <c r="K99" s="164">
        <v>1990</v>
      </c>
      <c r="L99" s="173">
        <v>13741</v>
      </c>
      <c r="M99" s="172">
        <v>142.9</v>
      </c>
      <c r="N99" s="172">
        <f t="shared" si="0"/>
        <v>256.2823815309842</v>
      </c>
      <c r="V99" s="167"/>
      <c r="X99" s="167"/>
      <c r="Y99" s="167"/>
    </row>
    <row r="100" spans="1:25" x14ac:dyDescent="0.2">
      <c r="A100" s="167">
        <v>2</v>
      </c>
      <c r="B100" s="167"/>
      <c r="C100" s="167">
        <v>88.6</v>
      </c>
      <c r="D100" s="167">
        <v>73.099999999999994</v>
      </c>
      <c r="E100" s="167"/>
      <c r="F100" s="167"/>
      <c r="G100" s="167"/>
      <c r="I100" s="172">
        <v>83.4</v>
      </c>
      <c r="J100" s="164">
        <v>2</v>
      </c>
      <c r="L100" s="173">
        <v>10045</v>
      </c>
      <c r="M100" s="172">
        <v>116.5</v>
      </c>
      <c r="N100" s="172">
        <f t="shared" si="0"/>
        <v>206.1798561151079</v>
      </c>
      <c r="V100" s="167"/>
      <c r="W100" s="171" t="str">
        <f>+W82</f>
        <v>2016</v>
      </c>
      <c r="X100" s="171" t="str">
        <f>+X82</f>
        <v>2017</v>
      </c>
      <c r="Y100" s="171" t="str">
        <f>+Y82</f>
        <v>2018</v>
      </c>
    </row>
    <row r="101" spans="1:25" x14ac:dyDescent="0.2">
      <c r="A101" s="167">
        <v>3</v>
      </c>
      <c r="B101" s="167"/>
      <c r="C101" s="167">
        <v>88.2</v>
      </c>
      <c r="D101" s="167">
        <v>72.5</v>
      </c>
      <c r="E101" s="167"/>
      <c r="F101" s="167"/>
      <c r="G101" s="167"/>
      <c r="I101" s="172">
        <v>83.7</v>
      </c>
      <c r="J101" s="164">
        <v>3</v>
      </c>
      <c r="L101" s="173">
        <v>10870</v>
      </c>
      <c r="M101" s="172">
        <v>101.4</v>
      </c>
      <c r="N101" s="172">
        <f t="shared" si="0"/>
        <v>178.81290322580645</v>
      </c>
      <c r="V101" s="167" t="s">
        <v>18</v>
      </c>
      <c r="W101" s="177">
        <f>IF('Tab7'!C10="",+'Tab7'!C9+'Tab11'!C9,+'Tab7'!C10+'Tab11'!C10)</f>
        <v>28310.174221494552</v>
      </c>
      <c r="X101" s="177">
        <f>IF('Tab7'!D10="",+'Tab7'!D9+'Tab11'!D9,+'Tab7'!D10+'Tab11'!D10)</f>
        <v>27370.062550175651</v>
      </c>
      <c r="Y101" s="177">
        <f>IF('Tab7'!E10="",+'Tab7'!E9+'Tab11'!E9,+'Tab7'!E10+'Tab11'!E10)</f>
        <v>29882.201098550726</v>
      </c>
    </row>
    <row r="102" spans="1:25" x14ac:dyDescent="0.2">
      <c r="A102" s="167">
        <v>4</v>
      </c>
      <c r="B102" s="167"/>
      <c r="C102" s="167">
        <v>84.8</v>
      </c>
      <c r="D102" s="167">
        <v>70.2</v>
      </c>
      <c r="E102" s="167"/>
      <c r="F102" s="167"/>
      <c r="G102" s="167"/>
      <c r="I102" s="172">
        <v>85.1</v>
      </c>
      <c r="J102" s="164">
        <v>4</v>
      </c>
      <c r="L102" s="173">
        <v>11076</v>
      </c>
      <c r="M102" s="172">
        <v>120</v>
      </c>
      <c r="N102" s="172">
        <f t="shared" si="0"/>
        <v>208.13160987074031</v>
      </c>
      <c r="V102" s="167" t="s">
        <v>86</v>
      </c>
      <c r="W102" s="177">
        <f>IF('Tab7'!C12="",+'Tab7'!C11+'Tab11'!C11,+'Tab7'!C12+'Tab11'!C12)</f>
        <v>83401.904944902606</v>
      </c>
      <c r="X102" s="177">
        <f>IF('Tab7'!D12="",+'Tab7'!D11+'Tab11'!D11,+'Tab7'!D12+'Tab11'!D12)</f>
        <v>79211.786661580234</v>
      </c>
      <c r="Y102" s="177">
        <f>IF('Tab7'!E12="",+'Tab7'!E11+'Tab11'!E11,+'Tab7'!E12+'Tab11'!E12)</f>
        <v>91055.531272727269</v>
      </c>
    </row>
    <row r="103" spans="1:25" x14ac:dyDescent="0.2">
      <c r="A103" s="167">
        <v>1</v>
      </c>
      <c r="B103" s="167">
        <v>1991</v>
      </c>
      <c r="C103" s="167">
        <v>97.5</v>
      </c>
      <c r="D103" s="167">
        <v>82.4</v>
      </c>
      <c r="E103" s="167"/>
      <c r="F103" s="167"/>
      <c r="G103" s="167"/>
      <c r="I103" s="172">
        <v>85.5</v>
      </c>
      <c r="J103" s="164">
        <v>1</v>
      </c>
      <c r="K103" s="164">
        <v>1991</v>
      </c>
      <c r="L103" s="173">
        <v>10172</v>
      </c>
      <c r="M103" s="172">
        <v>130.10000000000002</v>
      </c>
      <c r="N103" s="172">
        <f t="shared" ref="N103:N106" si="1">M103/I103*$I$69</f>
        <v>224.59368421052633</v>
      </c>
      <c r="O103" s="173">
        <v>6727</v>
      </c>
      <c r="P103" s="172">
        <v>376.9</v>
      </c>
      <c r="Q103" s="172">
        <f>P103/I103*$I$69</f>
        <v>650.64842105263142</v>
      </c>
      <c r="R103" s="173">
        <v>9077</v>
      </c>
      <c r="S103" s="172">
        <v>139.9</v>
      </c>
      <c r="T103" s="172">
        <f>S103/I103*$I$69</f>
        <v>241.51157894736841</v>
      </c>
      <c r="V103" s="167" t="s">
        <v>63</v>
      </c>
      <c r="W103" s="177">
        <f>IF('Tab7'!C14="",+'Tab7'!C13+'Tab11'!C13,+'Tab7'!C14+'Tab11'!C14)</f>
        <v>34730.615164605464</v>
      </c>
      <c r="X103" s="177">
        <f>IF('Tab7'!D14="",+'Tab7'!D13+'Tab11'!D13,+'Tab7'!D14+'Tab11'!D14)</f>
        <v>29554.493994388202</v>
      </c>
      <c r="Y103" s="177">
        <f>IF('Tab7'!E14="",+'Tab7'!E13+'Tab11'!E13,+'Tab7'!E14+'Tab11'!E14)</f>
        <v>32661.239633540372</v>
      </c>
    </row>
    <row r="104" spans="1:25" x14ac:dyDescent="0.2">
      <c r="A104" s="167">
        <v>2</v>
      </c>
      <c r="B104" s="167"/>
      <c r="C104" s="167">
        <v>93.9</v>
      </c>
      <c r="D104" s="167">
        <v>78</v>
      </c>
      <c r="E104" s="167"/>
      <c r="F104" s="167"/>
      <c r="G104" s="167"/>
      <c r="I104" s="172">
        <v>86.6</v>
      </c>
      <c r="J104" s="164">
        <v>2</v>
      </c>
      <c r="L104" s="173">
        <v>10188</v>
      </c>
      <c r="M104" s="172">
        <v>126.69999999999993</v>
      </c>
      <c r="N104" s="172">
        <f t="shared" si="1"/>
        <v>215.9459584295611</v>
      </c>
      <c r="O104" s="173">
        <v>5864</v>
      </c>
      <c r="P104" s="172">
        <v>369.29999999999995</v>
      </c>
      <c r="Q104" s="172">
        <f t="shared" ref="Q104:Q167" si="2">P104/I104*$I$69</f>
        <v>629.43048498845258</v>
      </c>
      <c r="R104" s="173">
        <v>12525</v>
      </c>
      <c r="S104" s="172">
        <v>176.29999999999998</v>
      </c>
      <c r="T104" s="172">
        <f t="shared" ref="T104:T167" si="3">S104/I104*$I$69</f>
        <v>300.4836027713626</v>
      </c>
      <c r="V104" s="167" t="s">
        <v>14</v>
      </c>
      <c r="W104" s="178">
        <f>+W106-SUM(W101:W103)</f>
        <v>228188.29312104938</v>
      </c>
      <c r="X104" s="178">
        <f>+X106-SUM(X101:X103)</f>
        <v>215684.23270071615</v>
      </c>
      <c r="Y104" s="178">
        <f>+Y106-SUM(Y101:Y103)</f>
        <v>296489.06376566866</v>
      </c>
    </row>
    <row r="105" spans="1:25" x14ac:dyDescent="0.2">
      <c r="A105" s="167">
        <v>3</v>
      </c>
      <c r="B105" s="167"/>
      <c r="C105" s="167">
        <v>90.2</v>
      </c>
      <c r="D105" s="167">
        <v>76.099999999999994</v>
      </c>
      <c r="E105" s="167"/>
      <c r="F105" s="167"/>
      <c r="G105" s="167"/>
      <c r="I105" s="172">
        <v>86.6</v>
      </c>
      <c r="J105" s="164">
        <v>3</v>
      </c>
      <c r="L105" s="173">
        <v>10621</v>
      </c>
      <c r="M105" s="172">
        <v>132.60000000000002</v>
      </c>
      <c r="N105" s="172">
        <f t="shared" si="1"/>
        <v>226.00184757505778</v>
      </c>
      <c r="O105" s="173">
        <v>7951</v>
      </c>
      <c r="P105" s="172">
        <v>430.9</v>
      </c>
      <c r="Q105" s="172">
        <f t="shared" si="2"/>
        <v>734.42078521939948</v>
      </c>
      <c r="R105" s="173">
        <v>14126</v>
      </c>
      <c r="S105" s="172">
        <v>204.90000000000003</v>
      </c>
      <c r="T105" s="172">
        <f t="shared" si="3"/>
        <v>349.2290993071594</v>
      </c>
      <c r="V105" s="167"/>
      <c r="W105" s="167"/>
      <c r="X105" s="167"/>
      <c r="Y105" s="167"/>
    </row>
    <row r="106" spans="1:25" x14ac:dyDescent="0.2">
      <c r="A106" s="167">
        <v>4</v>
      </c>
      <c r="B106" s="167"/>
      <c r="C106" s="167">
        <v>92.6</v>
      </c>
      <c r="D106" s="167">
        <v>78.099999999999994</v>
      </c>
      <c r="E106" s="167"/>
      <c r="F106" s="167"/>
      <c r="G106" s="167"/>
      <c r="I106" s="172">
        <v>87.3</v>
      </c>
      <c r="J106" s="164">
        <v>4</v>
      </c>
      <c r="L106" s="173">
        <v>11640</v>
      </c>
      <c r="M106" s="172">
        <v>138.20000000000005</v>
      </c>
      <c r="N106" s="172">
        <f t="shared" si="1"/>
        <v>233.65773195876295</v>
      </c>
      <c r="O106" s="173">
        <v>13048</v>
      </c>
      <c r="P106" s="172">
        <v>427.00000000000023</v>
      </c>
      <c r="Q106" s="172">
        <f t="shared" si="2"/>
        <v>721.93814432989734</v>
      </c>
      <c r="R106" s="173">
        <v>13048</v>
      </c>
      <c r="S106" s="172">
        <v>185</v>
      </c>
      <c r="T106" s="172">
        <f t="shared" si="3"/>
        <v>312.78350515463916</v>
      </c>
      <c r="V106" s="167" t="s">
        <v>87</v>
      </c>
      <c r="W106" s="177">
        <f>IF('Tab7'!C8="",+'Tab7'!C7+'Tab11'!C7,+'Tab7'!C8+'Tab11'!C8)</f>
        <v>374630.98745205201</v>
      </c>
      <c r="X106" s="177">
        <f>IF('Tab7'!D8="",+'Tab7'!D7+'Tab11'!D7,+'Tab7'!D8+'Tab11'!D8)</f>
        <v>351820.57590686023</v>
      </c>
      <c r="Y106" s="177">
        <f>IF('Tab7'!E8="",+'Tab7'!E7+'Tab11'!E7,+'Tab7'!E8+'Tab11'!E8)</f>
        <v>450088.03577048704</v>
      </c>
    </row>
    <row r="107" spans="1:25" x14ac:dyDescent="0.2">
      <c r="A107" s="167">
        <v>1</v>
      </c>
      <c r="B107" s="167">
        <v>1992</v>
      </c>
      <c r="C107" s="167">
        <v>102</v>
      </c>
      <c r="D107" s="167">
        <v>87.1</v>
      </c>
      <c r="E107" s="167"/>
      <c r="F107" s="167"/>
      <c r="G107" s="167"/>
      <c r="I107" s="172">
        <v>87.5</v>
      </c>
      <c r="J107" s="164">
        <v>1</v>
      </c>
      <c r="K107" s="164">
        <v>1992</v>
      </c>
      <c r="L107" s="173">
        <v>10520</v>
      </c>
      <c r="M107" s="172">
        <v>129.4</v>
      </c>
      <c r="N107" s="172">
        <f>M107/I107*$I$69</f>
        <v>218.27931428571429</v>
      </c>
      <c r="O107" s="173">
        <v>6509</v>
      </c>
      <c r="P107" s="172">
        <v>409.5</v>
      </c>
      <c r="Q107" s="172">
        <f t="shared" si="2"/>
        <v>690.76799999999992</v>
      </c>
      <c r="R107" s="173">
        <v>11030</v>
      </c>
      <c r="S107" s="172">
        <v>180.5</v>
      </c>
      <c r="T107" s="172">
        <f t="shared" si="3"/>
        <v>304.47771428571423</v>
      </c>
    </row>
    <row r="108" spans="1:25" x14ac:dyDescent="0.2">
      <c r="A108" s="167">
        <v>2</v>
      </c>
      <c r="B108" s="167"/>
      <c r="C108" s="167">
        <v>92.2</v>
      </c>
      <c r="D108" s="167">
        <v>78.900000000000006</v>
      </c>
      <c r="E108" s="167"/>
      <c r="F108" s="167"/>
      <c r="G108" s="167"/>
      <c r="I108" s="172">
        <v>88.6</v>
      </c>
      <c r="J108" s="164">
        <v>2</v>
      </c>
      <c r="L108" s="173">
        <v>10661</v>
      </c>
      <c r="M108" s="172">
        <v>112.9</v>
      </c>
      <c r="N108" s="172">
        <f t="shared" ref="N108:N171" si="4">M108/I108*$I$69</f>
        <v>188.08171557562079</v>
      </c>
      <c r="O108" s="173">
        <v>5632</v>
      </c>
      <c r="P108" s="172">
        <v>412</v>
      </c>
      <c r="Q108" s="172">
        <f t="shared" si="2"/>
        <v>686.35665914221215</v>
      </c>
      <c r="R108" s="173">
        <v>13252</v>
      </c>
      <c r="S108" s="172">
        <v>167</v>
      </c>
      <c r="T108" s="172">
        <f t="shared" si="3"/>
        <v>278.20767494356659</v>
      </c>
    </row>
    <row r="109" spans="1:25" x14ac:dyDescent="0.2">
      <c r="A109" s="167">
        <v>3</v>
      </c>
      <c r="B109" s="167"/>
      <c r="C109" s="167">
        <v>93.3</v>
      </c>
      <c r="D109" s="167">
        <v>79.900000000000006</v>
      </c>
      <c r="E109" s="167"/>
      <c r="F109" s="167"/>
      <c r="G109" s="167"/>
      <c r="I109" s="172">
        <v>88.7</v>
      </c>
      <c r="J109" s="164">
        <v>3</v>
      </c>
      <c r="L109" s="173">
        <v>11590</v>
      </c>
      <c r="M109" s="172">
        <v>130.59999999999997</v>
      </c>
      <c r="N109" s="172">
        <f t="shared" si="4"/>
        <v>217.32311161217578</v>
      </c>
      <c r="O109" s="173">
        <v>8642</v>
      </c>
      <c r="P109" s="172">
        <v>440.40000000000009</v>
      </c>
      <c r="Q109" s="172">
        <f t="shared" si="2"/>
        <v>732.84148816234517</v>
      </c>
      <c r="R109" s="173">
        <v>15450</v>
      </c>
      <c r="S109" s="172">
        <v>219.10000000000002</v>
      </c>
      <c r="T109" s="172">
        <f t="shared" si="3"/>
        <v>364.59030439684329</v>
      </c>
      <c r="V109" s="166" t="s">
        <v>187</v>
      </c>
      <c r="W109" s="167"/>
      <c r="X109" s="167"/>
      <c r="Y109" s="167"/>
    </row>
    <row r="110" spans="1:25" x14ac:dyDescent="0.2">
      <c r="A110" s="167">
        <v>4</v>
      </c>
      <c r="B110" s="167"/>
      <c r="C110" s="167">
        <v>90.8</v>
      </c>
      <c r="D110" s="167">
        <v>77.599999999999994</v>
      </c>
      <c r="E110" s="167"/>
      <c r="F110" s="167"/>
      <c r="G110" s="167"/>
      <c r="I110" s="172">
        <v>89.3</v>
      </c>
      <c r="J110" s="164">
        <v>4</v>
      </c>
      <c r="L110" s="173">
        <v>11917</v>
      </c>
      <c r="M110" s="172">
        <v>108.50000000000006</v>
      </c>
      <c r="N110" s="172">
        <f t="shared" si="4"/>
        <v>179.33482642777165</v>
      </c>
      <c r="O110" s="173">
        <v>7139</v>
      </c>
      <c r="P110" s="172">
        <v>425.59999999999991</v>
      </c>
      <c r="Q110" s="172">
        <f t="shared" si="2"/>
        <v>703.45531914893593</v>
      </c>
      <c r="R110" s="173">
        <v>12309</v>
      </c>
      <c r="S110" s="172">
        <v>109.39999999999998</v>
      </c>
      <c r="T110" s="172">
        <f t="shared" si="3"/>
        <v>180.82239641657333</v>
      </c>
      <c r="V110" s="167"/>
      <c r="W110" s="167"/>
      <c r="X110" s="167"/>
      <c r="Y110" s="167"/>
    </row>
    <row r="111" spans="1:25" x14ac:dyDescent="0.2">
      <c r="A111" s="167">
        <v>1</v>
      </c>
      <c r="B111" s="167">
        <v>1993</v>
      </c>
      <c r="C111" s="167">
        <v>112.6</v>
      </c>
      <c r="D111" s="167">
        <v>96.5</v>
      </c>
      <c r="E111" s="167"/>
      <c r="F111" s="167"/>
      <c r="G111" s="167"/>
      <c r="I111" s="172">
        <v>89.8</v>
      </c>
      <c r="J111" s="164">
        <v>1</v>
      </c>
      <c r="K111" s="164">
        <v>1993</v>
      </c>
      <c r="L111" s="173">
        <v>11275</v>
      </c>
      <c r="M111" s="172">
        <v>136.89999999999998</v>
      </c>
      <c r="N111" s="172">
        <f t="shared" si="4"/>
        <v>225.01603563474384</v>
      </c>
      <c r="O111" s="173">
        <v>6982</v>
      </c>
      <c r="P111" s="172">
        <v>449.4</v>
      </c>
      <c r="Q111" s="172">
        <f t="shared" si="2"/>
        <v>738.65746102449884</v>
      </c>
      <c r="R111" s="173">
        <v>10571</v>
      </c>
      <c r="S111" s="172">
        <v>175.5</v>
      </c>
      <c r="T111" s="172">
        <f t="shared" si="3"/>
        <v>288.46102449888645</v>
      </c>
      <c r="V111" s="167"/>
      <c r="W111" s="171" t="str">
        <f>+W100</f>
        <v>2016</v>
      </c>
      <c r="X111" s="171" t="str">
        <f>+X100</f>
        <v>2017</v>
      </c>
      <c r="Y111" s="171" t="str">
        <f>+Y100</f>
        <v>2018</v>
      </c>
    </row>
    <row r="112" spans="1:25" x14ac:dyDescent="0.2">
      <c r="A112" s="167">
        <v>2</v>
      </c>
      <c r="B112" s="167"/>
      <c r="C112" s="167">
        <f>205.6-C111</f>
        <v>93</v>
      </c>
      <c r="D112" s="167">
        <f>176.6-D111</f>
        <v>80.099999999999994</v>
      </c>
      <c r="E112" s="167"/>
      <c r="F112" s="167"/>
      <c r="G112" s="167"/>
      <c r="I112" s="172">
        <v>90.8</v>
      </c>
      <c r="J112" s="164">
        <v>2</v>
      </c>
      <c r="L112" s="173">
        <v>10076</v>
      </c>
      <c r="M112" s="172">
        <v>115.20000000000002</v>
      </c>
      <c r="N112" s="172">
        <f t="shared" si="4"/>
        <v>187.26343612334804</v>
      </c>
      <c r="O112" s="173">
        <v>6332</v>
      </c>
      <c r="P112" s="172">
        <v>352.9</v>
      </c>
      <c r="Q112" s="172">
        <f t="shared" si="2"/>
        <v>573.65682819383255</v>
      </c>
      <c r="R112" s="173">
        <v>12919</v>
      </c>
      <c r="S112" s="172">
        <v>191.20000000000005</v>
      </c>
      <c r="T112" s="172">
        <f t="shared" si="3"/>
        <v>310.80528634361235</v>
      </c>
      <c r="V112" s="167" t="s">
        <v>172</v>
      </c>
      <c r="W112" s="176">
        <f>IF('Tab7'!C38="",+'Tab7'!C37+'Tab11'!C37,+'Tab7'!C38+'Tab11'!C38)</f>
        <v>4973.2635679180148</v>
      </c>
      <c r="X112" s="176">
        <f>IF('Tab7'!D38="",+'Tab7'!D37+'Tab11'!D37,+'Tab7'!D38+'Tab11'!D38)</f>
        <v>5130.9702485046837</v>
      </c>
      <c r="Y112" s="176">
        <f>IF('Tab7'!E38="",+'Tab7'!E37+'Tab11'!E37,+'Tab7'!E38+'Tab11'!E38)</f>
        <v>6008.4983230381968</v>
      </c>
    </row>
    <row r="113" spans="1:25" x14ac:dyDescent="0.2">
      <c r="A113" s="167">
        <v>3</v>
      </c>
      <c r="B113" s="167"/>
      <c r="C113" s="167">
        <f>293.1-C112-C111</f>
        <v>87.500000000000028</v>
      </c>
      <c r="D113" s="167">
        <f>250.2-D112-D111</f>
        <v>73.599999999999994</v>
      </c>
      <c r="E113" s="167"/>
      <c r="F113" s="167"/>
      <c r="G113" s="167"/>
      <c r="I113" s="172">
        <v>90.6</v>
      </c>
      <c r="J113" s="164">
        <v>3</v>
      </c>
      <c r="L113" s="173">
        <v>11766</v>
      </c>
      <c r="M113" s="172">
        <v>132.79999999999998</v>
      </c>
      <c r="N113" s="172">
        <f t="shared" si="4"/>
        <v>216.34966887417218</v>
      </c>
      <c r="O113" s="173">
        <v>6675</v>
      </c>
      <c r="P113" s="172">
        <v>388.50000000000023</v>
      </c>
      <c r="Q113" s="172">
        <f t="shared" si="2"/>
        <v>632.92052980132485</v>
      </c>
      <c r="R113" s="173">
        <v>14800</v>
      </c>
      <c r="S113" s="172">
        <v>216.89999999999998</v>
      </c>
      <c r="T113" s="172">
        <f t="shared" si="3"/>
        <v>353.36026490066223</v>
      </c>
      <c r="V113" s="167" t="s">
        <v>86</v>
      </c>
      <c r="W113" s="176">
        <f>IF('Tab7'!C40="",+'Tab7'!C39+'Tab11'!C39,+'Tab7'!C40+'Tab11'!C40)</f>
        <v>4183.1515041444854</v>
      </c>
      <c r="X113" s="176">
        <f>IF('Tab7'!D40="",+'Tab7'!D39+'Tab11'!D39,+'Tab7'!D40+'Tab11'!D40)</f>
        <v>3842.2456206754332</v>
      </c>
      <c r="Y113" s="176">
        <f>IF('Tab7'!E40="",+'Tab7'!E39+'Tab11'!E39,+'Tab7'!E40+'Tab11'!E40)</f>
        <v>4542.6140681448751</v>
      </c>
    </row>
    <row r="114" spans="1:25" x14ac:dyDescent="0.2">
      <c r="A114" s="167">
        <v>4</v>
      </c>
      <c r="B114" s="167"/>
      <c r="C114" s="167">
        <f>413.2-C113-C112-C111</f>
        <v>120.09999999999994</v>
      </c>
      <c r="D114" s="167">
        <f>356.8-D113-D112-D111</f>
        <v>106.60000000000005</v>
      </c>
      <c r="E114" s="167"/>
      <c r="F114" s="167"/>
      <c r="G114" s="167"/>
      <c r="I114" s="172">
        <v>91</v>
      </c>
      <c r="J114" s="164">
        <v>4</v>
      </c>
      <c r="L114" s="173">
        <v>12707</v>
      </c>
      <c r="M114" s="172">
        <v>157.79999999999995</v>
      </c>
      <c r="N114" s="172">
        <f t="shared" si="4"/>
        <v>255.94813186813178</v>
      </c>
      <c r="O114" s="173">
        <v>6319</v>
      </c>
      <c r="P114" s="172">
        <v>466.99999999999977</v>
      </c>
      <c r="Q114" s="172">
        <f t="shared" si="2"/>
        <v>757.46373626373588</v>
      </c>
      <c r="R114" s="173">
        <v>11391</v>
      </c>
      <c r="S114" s="172">
        <v>164.5</v>
      </c>
      <c r="T114" s="172">
        <f t="shared" si="3"/>
        <v>266.81538461538463</v>
      </c>
      <c r="V114" s="167" t="s">
        <v>63</v>
      </c>
      <c r="W114" s="176">
        <f>IF('Tab7'!C42="",+'Tab7'!C41+'Tab11'!C41,+'Tab7'!C42+'Tab11'!C42)</f>
        <v>578.22426147792271</v>
      </c>
      <c r="X114" s="176">
        <f>IF('Tab7'!D42="",+'Tab7'!D41+'Tab11'!D41,+'Tab7'!D42+'Tab11'!D42)</f>
        <v>513.09823303465396</v>
      </c>
      <c r="Y114" s="176">
        <f>IF('Tab7'!E42="",+'Tab7'!E41+'Tab11'!E41,+'Tab7'!E42+'Tab11'!E42)</f>
        <v>518.42116537980291</v>
      </c>
    </row>
    <row r="115" spans="1:25" x14ac:dyDescent="0.2">
      <c r="A115" s="167">
        <v>1</v>
      </c>
      <c r="B115" s="167">
        <v>1994</v>
      </c>
      <c r="C115" s="167">
        <v>138.4</v>
      </c>
      <c r="D115" s="167">
        <v>120</v>
      </c>
      <c r="E115" s="167"/>
      <c r="F115" s="167"/>
      <c r="G115" s="167"/>
      <c r="I115" s="172">
        <v>91</v>
      </c>
      <c r="J115" s="164">
        <v>1</v>
      </c>
      <c r="K115" s="164">
        <v>1994</v>
      </c>
      <c r="L115" s="173">
        <v>15224</v>
      </c>
      <c r="M115" s="172">
        <v>189</v>
      </c>
      <c r="N115" s="172">
        <f t="shared" si="4"/>
        <v>306.55384615384617</v>
      </c>
      <c r="O115" s="173">
        <v>6291</v>
      </c>
      <c r="P115" s="172">
        <v>427.6</v>
      </c>
      <c r="Q115" s="172">
        <f t="shared" si="2"/>
        <v>693.55780219780218</v>
      </c>
      <c r="R115" s="173">
        <v>8795</v>
      </c>
      <c r="S115" s="172">
        <v>161.69999999999999</v>
      </c>
      <c r="T115" s="172">
        <f t="shared" si="3"/>
        <v>262.27384615384614</v>
      </c>
      <c r="V115" s="167" t="s">
        <v>14</v>
      </c>
      <c r="W115" s="179">
        <f>+W117-SUM(W112:W114)</f>
        <v>3118.3693208980694</v>
      </c>
      <c r="X115" s="179">
        <f>+X117-SUM(X112:X114)</f>
        <v>2924.6133875220494</v>
      </c>
      <c r="Y115" s="179">
        <f>+Y117-SUM(Y112:Y114)</f>
        <v>4583.3927594381803</v>
      </c>
    </row>
    <row r="116" spans="1:25" x14ac:dyDescent="0.2">
      <c r="A116" s="167">
        <v>2</v>
      </c>
      <c r="B116" s="167"/>
      <c r="C116" s="167">
        <f>252.9-C115</f>
        <v>114.5</v>
      </c>
      <c r="D116" s="167">
        <f>218.1-D115</f>
        <v>98.1</v>
      </c>
      <c r="E116" s="167"/>
      <c r="F116" s="167"/>
      <c r="G116" s="167"/>
      <c r="I116" s="172">
        <v>91.7</v>
      </c>
      <c r="J116" s="164">
        <v>2</v>
      </c>
      <c r="L116" s="173">
        <v>13585</v>
      </c>
      <c r="M116" s="172">
        <v>166.5</v>
      </c>
      <c r="N116" s="172">
        <f t="shared" si="4"/>
        <v>267.99781897491818</v>
      </c>
      <c r="O116" s="173">
        <v>5517</v>
      </c>
      <c r="P116" s="172">
        <v>494.30000000000007</v>
      </c>
      <c r="Q116" s="172">
        <f t="shared" si="2"/>
        <v>795.6235550708833</v>
      </c>
      <c r="R116" s="173">
        <v>13449</v>
      </c>
      <c r="S116" s="172">
        <v>196.2</v>
      </c>
      <c r="T116" s="172">
        <f t="shared" si="3"/>
        <v>315.80283533260632</v>
      </c>
      <c r="V116" s="167"/>
      <c r="W116" s="176"/>
      <c r="X116" s="176"/>
      <c r="Y116" s="176"/>
    </row>
    <row r="117" spans="1:25" x14ac:dyDescent="0.2">
      <c r="A117" s="167">
        <v>3</v>
      </c>
      <c r="B117" s="167"/>
      <c r="C117" s="167">
        <f>365.7-C115-C116</f>
        <v>112.79999999999998</v>
      </c>
      <c r="D117" s="167">
        <f>316.9-D115-D116</f>
        <v>98.799999999999983</v>
      </c>
      <c r="E117" s="167"/>
      <c r="F117" s="167"/>
      <c r="G117" s="167"/>
      <c r="I117" s="172">
        <v>92.1</v>
      </c>
      <c r="J117" s="164">
        <v>3</v>
      </c>
      <c r="L117" s="173">
        <v>13956</v>
      </c>
      <c r="M117" s="172">
        <v>169.89999999999998</v>
      </c>
      <c r="N117" s="172">
        <f t="shared" si="4"/>
        <v>272.28273615635175</v>
      </c>
      <c r="O117" s="173">
        <v>8952</v>
      </c>
      <c r="P117" s="172">
        <v>425.5</v>
      </c>
      <c r="Q117" s="172">
        <f t="shared" si="2"/>
        <v>681.90879478827367</v>
      </c>
      <c r="R117" s="173">
        <v>15669</v>
      </c>
      <c r="S117" s="172">
        <v>219.80000000000007</v>
      </c>
      <c r="T117" s="172">
        <f t="shared" si="3"/>
        <v>352.25276872964184</v>
      </c>
      <c r="V117" s="167" t="s">
        <v>87</v>
      </c>
      <c r="W117" s="176">
        <f>IF('Tab7'!C36="",+'Tab7'!C35+'Tab11'!C35,+'Tab7'!C36+'Tab11'!C36)</f>
        <v>12853.008654438492</v>
      </c>
      <c r="X117" s="176">
        <f>IF('Tab7'!D36="",+'Tab7'!D35+'Tab11'!D35,+'Tab7'!D36+'Tab11'!D36)</f>
        <v>12410.92748973682</v>
      </c>
      <c r="Y117" s="176">
        <f>IF('Tab7'!E36="",+'Tab7'!E35+'Tab11'!E35,+'Tab7'!E36+'Tab11'!E36)</f>
        <v>15652.926316001056</v>
      </c>
    </row>
    <row r="118" spans="1:25" x14ac:dyDescent="0.2">
      <c r="A118" s="167">
        <v>4</v>
      </c>
      <c r="B118" s="167"/>
      <c r="C118" s="167">
        <f>480.2-C115-C116-C117</f>
        <v>114.49999999999997</v>
      </c>
      <c r="D118" s="167">
        <f>417.1-D115-D116-D117</f>
        <v>100.20000000000005</v>
      </c>
      <c r="E118" s="167"/>
      <c r="F118" s="167"/>
      <c r="G118" s="167"/>
      <c r="I118" s="172">
        <v>92.6</v>
      </c>
      <c r="J118" s="164">
        <v>4</v>
      </c>
      <c r="L118" s="173">
        <v>14006</v>
      </c>
      <c r="M118" s="172">
        <v>140.80000000000007</v>
      </c>
      <c r="N118" s="172">
        <f t="shared" si="4"/>
        <v>224.42850971922257</v>
      </c>
      <c r="O118" s="173">
        <v>8189</v>
      </c>
      <c r="P118" s="172">
        <v>390.59999999999991</v>
      </c>
      <c r="Q118" s="172">
        <f t="shared" si="2"/>
        <v>622.59784017278605</v>
      </c>
      <c r="R118" s="173">
        <v>14139</v>
      </c>
      <c r="S118" s="172">
        <v>214.39999999999998</v>
      </c>
      <c r="T118" s="172">
        <f t="shared" si="3"/>
        <v>341.74341252699782</v>
      </c>
      <c r="V118" s="167"/>
      <c r="X118" s="167"/>
    </row>
    <row r="119" spans="1:25" x14ac:dyDescent="0.2">
      <c r="A119" s="167">
        <v>1</v>
      </c>
      <c r="B119" s="167">
        <v>1995</v>
      </c>
      <c r="C119" s="167">
        <v>137.19999999999999</v>
      </c>
      <c r="D119" s="167">
        <v>119.3</v>
      </c>
      <c r="E119" s="167"/>
      <c r="F119" s="167"/>
      <c r="G119" s="167"/>
      <c r="I119" s="172">
        <v>93.4</v>
      </c>
      <c r="J119" s="164">
        <v>1</v>
      </c>
      <c r="K119" s="164">
        <v>1995</v>
      </c>
      <c r="L119" s="173">
        <v>13188</v>
      </c>
      <c r="M119" s="172">
        <v>171.1</v>
      </c>
      <c r="N119" s="172">
        <f t="shared" si="4"/>
        <v>270.38929336188431</v>
      </c>
      <c r="O119" s="173">
        <v>7699</v>
      </c>
      <c r="P119" s="172">
        <v>543</v>
      </c>
      <c r="Q119" s="172">
        <f t="shared" si="2"/>
        <v>858.10278372591006</v>
      </c>
      <c r="R119" s="173">
        <v>11007</v>
      </c>
      <c r="S119" s="172">
        <v>183.1</v>
      </c>
      <c r="T119" s="172">
        <f t="shared" si="3"/>
        <v>289.35289079229119</v>
      </c>
      <c r="V119" s="166" t="s">
        <v>181</v>
      </c>
    </row>
    <row r="120" spans="1:25" x14ac:dyDescent="0.2">
      <c r="A120" s="167">
        <v>2</v>
      </c>
      <c r="B120" s="167"/>
      <c r="C120" s="167">
        <f>248.2-C119</f>
        <v>111</v>
      </c>
      <c r="D120" s="167">
        <f>214.7-D119</f>
        <v>95.399999999999991</v>
      </c>
      <c r="E120" s="167"/>
      <c r="F120" s="167"/>
      <c r="G120" s="167"/>
      <c r="I120" s="172">
        <v>94.1</v>
      </c>
      <c r="J120" s="164">
        <v>2</v>
      </c>
      <c r="L120" s="173">
        <v>11077</v>
      </c>
      <c r="M120" s="172">
        <v>148.30000000000004</v>
      </c>
      <c r="N120" s="172">
        <f t="shared" si="4"/>
        <v>232.61509032943684</v>
      </c>
      <c r="O120" s="173">
        <v>5465</v>
      </c>
      <c r="P120" s="172">
        <v>462.40000000000009</v>
      </c>
      <c r="Q120" s="172">
        <f t="shared" si="2"/>
        <v>725.29479277364521</v>
      </c>
      <c r="R120" s="173">
        <v>13915</v>
      </c>
      <c r="S120" s="172">
        <v>213.4</v>
      </c>
      <c r="T120" s="172">
        <f t="shared" si="3"/>
        <v>334.72731137088203</v>
      </c>
    </row>
    <row r="121" spans="1:25" x14ac:dyDescent="0.2">
      <c r="A121" s="167">
        <v>3</v>
      </c>
      <c r="B121" s="167"/>
      <c r="C121" s="167">
        <f>364.1-C119-C120</f>
        <v>115.90000000000003</v>
      </c>
      <c r="D121" s="167">
        <f>315.7-D119-D120</f>
        <v>100.99999999999999</v>
      </c>
      <c r="E121" s="167"/>
      <c r="F121" s="167"/>
      <c r="G121" s="167"/>
      <c r="I121" s="172">
        <v>94.1</v>
      </c>
      <c r="J121" s="164">
        <v>3</v>
      </c>
      <c r="L121" s="173">
        <v>13937</v>
      </c>
      <c r="M121" s="172">
        <v>180.19999999999993</v>
      </c>
      <c r="N121" s="172">
        <f t="shared" si="4"/>
        <v>282.65164718384688</v>
      </c>
      <c r="O121" s="173">
        <v>9139</v>
      </c>
      <c r="P121" s="172">
        <v>487.89999999999986</v>
      </c>
      <c r="Q121" s="172">
        <f t="shared" si="2"/>
        <v>765.29266737513262</v>
      </c>
      <c r="R121" s="173">
        <v>17436</v>
      </c>
      <c r="S121" s="172">
        <v>224.09999999999991</v>
      </c>
      <c r="T121" s="172">
        <f t="shared" si="3"/>
        <v>351.51073326248655</v>
      </c>
      <c r="V121" s="167"/>
      <c r="W121" s="171" t="str">
        <f>+'Tab3'!C6</f>
        <v>2016</v>
      </c>
      <c r="X121" s="171" t="str">
        <f>+'Tab3'!D6</f>
        <v>2017</v>
      </c>
      <c r="Y121" s="171" t="str">
        <f>+'Tab3'!E6</f>
        <v>2018</v>
      </c>
    </row>
    <row r="122" spans="1:25" x14ac:dyDescent="0.2">
      <c r="A122" s="167">
        <v>4</v>
      </c>
      <c r="B122" s="167"/>
      <c r="C122" s="167">
        <f>482.9-C119-C120-C121</f>
        <v>118.79999999999995</v>
      </c>
      <c r="D122" s="167">
        <f>420.1-D119-D120-D121</f>
        <v>104.40000000000005</v>
      </c>
      <c r="E122" s="167"/>
      <c r="F122" s="167"/>
      <c r="G122" s="167"/>
      <c r="I122" s="172">
        <v>94.6</v>
      </c>
      <c r="J122" s="164">
        <v>4</v>
      </c>
      <c r="L122" s="173">
        <v>13920</v>
      </c>
      <c r="M122" s="172">
        <v>172.00000000000006</v>
      </c>
      <c r="N122" s="172">
        <f t="shared" si="4"/>
        <v>268.36363636363643</v>
      </c>
      <c r="O122" s="173">
        <v>7500</v>
      </c>
      <c r="P122" s="172">
        <v>369.89999999999986</v>
      </c>
      <c r="Q122" s="172">
        <f t="shared" si="2"/>
        <v>577.13784355179689</v>
      </c>
      <c r="R122" s="173">
        <v>15130</v>
      </c>
      <c r="S122" s="172">
        <v>206.30000000000018</v>
      </c>
      <c r="T122" s="172">
        <f t="shared" si="3"/>
        <v>321.88033826638502</v>
      </c>
      <c r="V122" s="167" t="s">
        <v>10</v>
      </c>
      <c r="W122" s="171">
        <f>IF('Tab3'!C22="",'Tab3'!C29,'Tab3'!C30)</f>
        <v>311962</v>
      </c>
      <c r="X122" s="171">
        <f>IF('Tab3'!D22="",'Tab3'!D29,'Tab3'!D30)</f>
        <v>320312</v>
      </c>
      <c r="Y122" s="171">
        <f>IF('Tab3'!E22="",'Tab3'!E29,'Tab3'!E30)</f>
        <v>334023</v>
      </c>
    </row>
    <row r="123" spans="1:25" x14ac:dyDescent="0.2">
      <c r="A123" s="167">
        <v>1</v>
      </c>
      <c r="B123" s="167">
        <v>1996</v>
      </c>
      <c r="C123" s="167">
        <v>143.9</v>
      </c>
      <c r="D123" s="167">
        <v>126.9</v>
      </c>
      <c r="E123" s="167"/>
      <c r="F123" s="167"/>
      <c r="G123" s="167"/>
      <c r="I123" s="172">
        <v>94.2</v>
      </c>
      <c r="J123" s="164">
        <v>1</v>
      </c>
      <c r="K123" s="164">
        <v>1996</v>
      </c>
      <c r="L123" s="173">
        <v>29850</v>
      </c>
      <c r="M123" s="172">
        <v>375.59999999999997</v>
      </c>
      <c r="N123" s="172">
        <f t="shared" si="4"/>
        <v>588.51974522292983</v>
      </c>
      <c r="O123" s="173">
        <v>7239</v>
      </c>
      <c r="P123" s="172">
        <v>479.9</v>
      </c>
      <c r="Q123" s="172">
        <f t="shared" si="2"/>
        <v>751.94522292993622</v>
      </c>
      <c r="R123" s="173">
        <v>11785</v>
      </c>
      <c r="S123" s="172">
        <v>198.60000000000002</v>
      </c>
      <c r="T123" s="172">
        <f t="shared" si="3"/>
        <v>311.18216560509558</v>
      </c>
      <c r="V123" s="164" t="s">
        <v>112</v>
      </c>
      <c r="W123" s="171">
        <f>IF('Tab9'!C8="",'Tab9'!C7,'Tab9'!C8)</f>
        <v>110745.20394415667</v>
      </c>
      <c r="X123" s="171">
        <f>IF('Tab9'!D8="",'Tab9'!D7,'Tab9'!D8)</f>
        <v>110274.26144282252</v>
      </c>
      <c r="Y123" s="171">
        <f>IF('Tab9'!E8="",'Tab9'!E7,'Tab9'!E8)</f>
        <v>131240.07753884792</v>
      </c>
    </row>
    <row r="124" spans="1:25" x14ac:dyDescent="0.2">
      <c r="A124" s="167">
        <v>2</v>
      </c>
      <c r="B124" s="167"/>
      <c r="C124" s="167">
        <f>275.5-C123</f>
        <v>131.6</v>
      </c>
      <c r="D124" s="167">
        <f>242.6-D123</f>
        <v>115.69999999999999</v>
      </c>
      <c r="E124" s="167"/>
      <c r="F124" s="167"/>
      <c r="G124" s="167"/>
      <c r="I124" s="172">
        <v>95.1</v>
      </c>
      <c r="J124" s="164">
        <v>2</v>
      </c>
      <c r="L124" s="173">
        <v>17799</v>
      </c>
      <c r="M124" s="172">
        <v>234.8</v>
      </c>
      <c r="N124" s="172">
        <f t="shared" si="4"/>
        <v>364.42145110410098</v>
      </c>
      <c r="O124" s="173">
        <v>6503</v>
      </c>
      <c r="P124" s="172">
        <v>585.30000000000007</v>
      </c>
      <c r="Q124" s="172">
        <f t="shared" si="2"/>
        <v>908.41514195583602</v>
      </c>
      <c r="R124" s="173">
        <v>14642</v>
      </c>
      <c r="S124" s="172">
        <v>220.09999999999997</v>
      </c>
      <c r="T124" s="172">
        <f t="shared" si="3"/>
        <v>341.60630914826493</v>
      </c>
      <c r="V124" s="164" t="s">
        <v>111</v>
      </c>
      <c r="W124" s="171">
        <f>IF('Tab8'!C8="",'Tab8'!C7,'Tab8'!C8)</f>
        <v>135636.54006908037</v>
      </c>
      <c r="X124" s="171">
        <f>IF('Tab8'!D8="",'Tab8'!D7,'Tab8'!D8)</f>
        <v>154164.24328634961</v>
      </c>
      <c r="Y124" s="171">
        <f>IF('Tab8'!E8="",'Tab8'!E7,'Tab8'!E8)</f>
        <v>177571.24782434295</v>
      </c>
    </row>
    <row r="125" spans="1:25" x14ac:dyDescent="0.2">
      <c r="A125" s="167">
        <v>3</v>
      </c>
      <c r="B125" s="167"/>
      <c r="C125" s="167">
        <f>387.5-C123-C124</f>
        <v>112</v>
      </c>
      <c r="D125" s="167">
        <f>339.3-D123-D124</f>
        <v>96.700000000000017</v>
      </c>
      <c r="E125" s="167"/>
      <c r="F125" s="167"/>
      <c r="G125" s="167"/>
      <c r="I125" s="172">
        <v>95.5</v>
      </c>
      <c r="J125" s="164">
        <v>3</v>
      </c>
      <c r="L125" s="173">
        <v>16263</v>
      </c>
      <c r="M125" s="172">
        <v>240.00000000000011</v>
      </c>
      <c r="N125" s="172">
        <f t="shared" si="4"/>
        <v>370.93193717277506</v>
      </c>
      <c r="O125" s="173">
        <v>8934</v>
      </c>
      <c r="P125" s="172">
        <v>581.89999999999986</v>
      </c>
      <c r="Q125" s="172">
        <f t="shared" si="2"/>
        <v>899.3553926701569</v>
      </c>
      <c r="R125" s="173">
        <v>17198</v>
      </c>
      <c r="S125" s="172">
        <v>233.2</v>
      </c>
      <c r="T125" s="172">
        <f t="shared" si="3"/>
        <v>360.42219895287957</v>
      </c>
      <c r="V125" s="167" t="s">
        <v>170</v>
      </c>
      <c r="W125" s="171">
        <f>IF('Tab3'!C16="",'Tab3'!C15,'Tab3'!C16)</f>
        <v>40113.59909590699</v>
      </c>
      <c r="X125" s="171">
        <f>IF('Tab3'!D16="",'Tab3'!D15,'Tab3'!D16)</f>
        <v>39410.456254180601</v>
      </c>
      <c r="Y125" s="171">
        <f>IF('Tab3'!E16="",'Tab3'!E15,'Tab3'!E16)</f>
        <v>47206.096671444495</v>
      </c>
    </row>
    <row r="126" spans="1:25" x14ac:dyDescent="0.2">
      <c r="A126" s="167">
        <v>4</v>
      </c>
      <c r="B126" s="167"/>
      <c r="C126" s="167">
        <f>520-C123-C124-C125</f>
        <v>132.50000000000003</v>
      </c>
      <c r="D126" s="167">
        <f>452.4-D123-D124-D125</f>
        <v>113.1</v>
      </c>
      <c r="E126" s="167"/>
      <c r="F126" s="167"/>
      <c r="G126" s="167"/>
      <c r="I126" s="172">
        <v>96.3</v>
      </c>
      <c r="J126" s="164">
        <v>4</v>
      </c>
      <c r="L126" s="173">
        <v>16638</v>
      </c>
      <c r="M126" s="172">
        <v>233.40000000000009</v>
      </c>
      <c r="N126" s="172">
        <f t="shared" si="4"/>
        <v>357.73457943925246</v>
      </c>
      <c r="O126" s="173">
        <v>7966</v>
      </c>
      <c r="P126" s="172">
        <v>665.80000000000018</v>
      </c>
      <c r="Q126" s="172">
        <f t="shared" si="2"/>
        <v>1020.4785046728974</v>
      </c>
      <c r="R126" s="173">
        <v>13841</v>
      </c>
      <c r="S126" s="172">
        <v>188.00000000000011</v>
      </c>
      <c r="T126" s="172">
        <f t="shared" si="3"/>
        <v>288.14953271028054</v>
      </c>
    </row>
    <row r="127" spans="1:25" x14ac:dyDescent="0.2">
      <c r="A127" s="167">
        <v>1</v>
      </c>
      <c r="B127" s="167">
        <v>1997</v>
      </c>
      <c r="C127" s="167">
        <v>142.6</v>
      </c>
      <c r="D127" s="167">
        <v>124.8</v>
      </c>
      <c r="E127" s="167"/>
      <c r="F127" s="167"/>
      <c r="G127" s="167"/>
      <c r="I127" s="172">
        <v>97.3</v>
      </c>
      <c r="J127" s="164">
        <v>1</v>
      </c>
      <c r="K127" s="164">
        <v>1997</v>
      </c>
      <c r="L127" s="173">
        <v>17837</v>
      </c>
      <c r="M127" s="172">
        <v>255.29999999999998</v>
      </c>
      <c r="N127" s="172">
        <f t="shared" si="4"/>
        <v>387.27934224049329</v>
      </c>
      <c r="O127" s="173">
        <v>7574</v>
      </c>
      <c r="P127" s="172">
        <v>625.70000000000005</v>
      </c>
      <c r="Q127" s="172">
        <f t="shared" si="2"/>
        <v>949.16053442959924</v>
      </c>
      <c r="R127" s="173">
        <v>10571</v>
      </c>
      <c r="S127" s="172">
        <v>187.8</v>
      </c>
      <c r="T127" s="172">
        <f t="shared" si="3"/>
        <v>284.88468653648511</v>
      </c>
      <c r="V127" s="166" t="s">
        <v>182</v>
      </c>
    </row>
    <row r="128" spans="1:25" x14ac:dyDescent="0.2">
      <c r="A128" s="167">
        <v>2</v>
      </c>
      <c r="B128" s="167"/>
      <c r="C128" s="167">
        <f>284.4-C127</f>
        <v>141.79999999999998</v>
      </c>
      <c r="D128" s="167">
        <f>247.3-D127</f>
        <v>122.50000000000001</v>
      </c>
      <c r="E128" s="167"/>
      <c r="F128" s="167"/>
      <c r="G128" s="167"/>
      <c r="I128" s="172">
        <v>97.7</v>
      </c>
      <c r="J128" s="164">
        <v>2</v>
      </c>
      <c r="L128" s="173">
        <v>16872</v>
      </c>
      <c r="M128" s="172">
        <v>281.30000000000007</v>
      </c>
      <c r="N128" s="172">
        <f t="shared" si="4"/>
        <v>424.97318321392027</v>
      </c>
      <c r="O128" s="173">
        <v>7284</v>
      </c>
      <c r="P128" s="172">
        <v>664.39999999999986</v>
      </c>
      <c r="Q128" s="172">
        <f t="shared" si="2"/>
        <v>1003.7404298874101</v>
      </c>
      <c r="R128" s="173">
        <v>14837</v>
      </c>
      <c r="S128" s="172">
        <v>224.59999999999997</v>
      </c>
      <c r="T128" s="172">
        <f t="shared" si="3"/>
        <v>339.31381780962118</v>
      </c>
      <c r="W128" s="171" t="str">
        <f>+'Tab3'!C6</f>
        <v>2016</v>
      </c>
      <c r="X128" s="171" t="str">
        <f>+'Tab3'!D6</f>
        <v>2017</v>
      </c>
      <c r="Y128" s="171" t="str">
        <f>+'Tab3'!E6</f>
        <v>2018</v>
      </c>
    </row>
    <row r="129" spans="1:25" x14ac:dyDescent="0.2">
      <c r="A129" s="167">
        <v>3</v>
      </c>
      <c r="B129" s="167"/>
      <c r="C129" s="167">
        <f>419.8-C127-C128</f>
        <v>135.40000000000006</v>
      </c>
      <c r="D129" s="167">
        <f>364.6-D127-D128</f>
        <v>117.3</v>
      </c>
      <c r="E129" s="167"/>
      <c r="F129" s="167" t="s">
        <v>74</v>
      </c>
      <c r="G129" s="167"/>
      <c r="I129" s="172">
        <v>97.7</v>
      </c>
      <c r="J129" s="164">
        <v>3</v>
      </c>
      <c r="L129" s="173">
        <v>17873</v>
      </c>
      <c r="M129" s="172">
        <v>297.89999999999998</v>
      </c>
      <c r="N129" s="172">
        <f t="shared" si="4"/>
        <v>450.05158648925277</v>
      </c>
      <c r="O129" s="173">
        <v>14581</v>
      </c>
      <c r="P129" s="172">
        <v>720.30000000000018</v>
      </c>
      <c r="Q129" s="172">
        <f t="shared" si="2"/>
        <v>1088.1911975435007</v>
      </c>
      <c r="R129" s="173">
        <v>15670</v>
      </c>
      <c r="S129" s="172">
        <v>198.80000000000007</v>
      </c>
      <c r="T129" s="172">
        <f t="shared" si="3"/>
        <v>300.33654042988752</v>
      </c>
      <c r="V129" s="167" t="s">
        <v>11</v>
      </c>
      <c r="W129" s="171">
        <f>IF('Tab3'!C30="",'Tab3'!C31,'Tab3'!C32)</f>
        <v>10018.849101246884</v>
      </c>
      <c r="X129" s="171">
        <f>IF('Tab3'!D30="",'Tab3'!D31,'Tab3'!D32)</f>
        <v>9835.3017456359103</v>
      </c>
      <c r="Y129" s="171">
        <f>IF('Tab3'!E30="",'Tab3'!E31,'Tab3'!E32)</f>
        <v>12219.194513715711</v>
      </c>
    </row>
    <row r="130" spans="1:25" x14ac:dyDescent="0.2">
      <c r="A130" s="167">
        <v>4</v>
      </c>
      <c r="B130" s="167"/>
      <c r="C130" s="167">
        <f>550.4-C127-C128-C129</f>
        <v>130.59999999999994</v>
      </c>
      <c r="D130" s="167">
        <f>478.3-D127-D128-D129</f>
        <v>113.7</v>
      </c>
      <c r="E130" s="167"/>
      <c r="F130" s="167"/>
      <c r="G130" s="167"/>
      <c r="I130" s="172">
        <v>98.4</v>
      </c>
      <c r="J130" s="164">
        <v>4</v>
      </c>
      <c r="L130" s="173">
        <v>15493</v>
      </c>
      <c r="M130" s="172">
        <v>267.70000000000005</v>
      </c>
      <c r="N130" s="172">
        <f t="shared" si="4"/>
        <v>401.55</v>
      </c>
      <c r="O130" s="173">
        <v>9445</v>
      </c>
      <c r="P130" s="172">
        <v>564</v>
      </c>
      <c r="Q130" s="172">
        <f t="shared" si="2"/>
        <v>845.99999999999989</v>
      </c>
      <c r="R130" s="173">
        <v>13087</v>
      </c>
      <c r="S130" s="172">
        <v>185.09999999999991</v>
      </c>
      <c r="T130" s="172">
        <f t="shared" si="3"/>
        <v>277.64999999999981</v>
      </c>
      <c r="V130" s="167" t="s">
        <v>12</v>
      </c>
      <c r="W130" s="171">
        <f>IF('Tab3'!C32="",'Tab3'!C33,'Tab3'!C34)</f>
        <v>8825.3934933599994</v>
      </c>
      <c r="X130" s="171">
        <f>IF('Tab3'!D32="",'Tab3'!D33,'Tab3'!D34)</f>
        <v>9480.0519999999997</v>
      </c>
      <c r="Y130" s="171">
        <f>IF('Tab3'!E32="",'Tab3'!E33,'Tab3'!E34)</f>
        <v>11145.096</v>
      </c>
    </row>
    <row r="131" spans="1:25" x14ac:dyDescent="0.2">
      <c r="A131" s="167">
        <v>1</v>
      </c>
      <c r="B131" s="167">
        <v>1998</v>
      </c>
      <c r="C131" s="167">
        <v>150</v>
      </c>
      <c r="D131" s="167">
        <v>131.9</v>
      </c>
      <c r="E131" s="167"/>
      <c r="F131" s="167" t="s">
        <v>78</v>
      </c>
      <c r="G131" s="167"/>
      <c r="I131" s="172">
        <v>99.3</v>
      </c>
      <c r="J131" s="164">
        <v>1</v>
      </c>
      <c r="K131" s="164">
        <v>1998</v>
      </c>
      <c r="L131" s="173">
        <v>17629</v>
      </c>
      <c r="M131" s="172">
        <v>285</v>
      </c>
      <c r="N131" s="172">
        <f t="shared" si="4"/>
        <v>423.62537764350452</v>
      </c>
      <c r="O131" s="173">
        <v>7614</v>
      </c>
      <c r="P131" s="172">
        <v>599.6</v>
      </c>
      <c r="Q131" s="172">
        <f t="shared" si="2"/>
        <v>891.24833836858011</v>
      </c>
      <c r="R131" s="173">
        <v>11958</v>
      </c>
      <c r="S131" s="172">
        <v>185.4</v>
      </c>
      <c r="T131" s="172">
        <f t="shared" si="3"/>
        <v>275.57945619335351</v>
      </c>
      <c r="V131" s="167" t="s">
        <v>7</v>
      </c>
      <c r="W131" s="171">
        <f>IF('Tab3'!C18="",'Tab3'!C17,'Tab3'!C18)</f>
        <v>9463</v>
      </c>
      <c r="X131" s="171">
        <f>IF('Tab3'!D18="",'Tab3'!D17,'Tab3'!D18)</f>
        <v>10163.02716734694</v>
      </c>
      <c r="Y131" s="171">
        <f>IF('Tab3'!E18="",'Tab3'!E17,'Tab3'!E18)</f>
        <v>10868.335804081633</v>
      </c>
    </row>
    <row r="132" spans="1:25" x14ac:dyDescent="0.2">
      <c r="A132" s="167">
        <v>2</v>
      </c>
      <c r="B132" s="167"/>
      <c r="C132" s="167">
        <f>289.8-C131</f>
        <v>139.80000000000001</v>
      </c>
      <c r="D132" s="167">
        <f>253.9-D131</f>
        <v>122</v>
      </c>
      <c r="E132" s="167"/>
      <c r="F132" s="167" t="s">
        <v>79</v>
      </c>
      <c r="G132" s="167" t="s">
        <v>80</v>
      </c>
      <c r="I132" s="172">
        <v>99.7</v>
      </c>
      <c r="J132" s="164">
        <v>2</v>
      </c>
      <c r="L132" s="173">
        <v>14484</v>
      </c>
      <c r="M132" s="172">
        <v>253.5</v>
      </c>
      <c r="N132" s="172">
        <f t="shared" si="4"/>
        <v>375.2918756268806</v>
      </c>
      <c r="O132" s="173">
        <v>6009</v>
      </c>
      <c r="P132" s="172">
        <v>576.9</v>
      </c>
      <c r="Q132" s="172">
        <f t="shared" si="2"/>
        <v>854.06659979939809</v>
      </c>
      <c r="R132" s="173">
        <v>15060</v>
      </c>
      <c r="S132" s="172">
        <v>204.20000000000002</v>
      </c>
      <c r="T132" s="172">
        <f t="shared" si="3"/>
        <v>302.30611835506517</v>
      </c>
      <c r="V132" s="164" t="s">
        <v>113</v>
      </c>
      <c r="W132" s="171">
        <f>IF('Tab10'!C8="",'Tab10'!C7,'Tab10'!C8)</f>
        <v>14653.806941662742</v>
      </c>
      <c r="X132" s="171">
        <f>IF('Tab10'!D8="",'Tab10'!D7,'Tab10'!D8)</f>
        <v>14731.573261968293</v>
      </c>
      <c r="Y132" s="171">
        <f>IF('Tab10'!E8="",'Tab10'!E7,'Tab10'!E8)</f>
        <v>18804.167529953433</v>
      </c>
    </row>
    <row r="133" spans="1:25" x14ac:dyDescent="0.2">
      <c r="A133" s="167">
        <v>3</v>
      </c>
      <c r="B133" s="167"/>
      <c r="C133" s="167">
        <f>+E133-C131-C132</f>
        <v>128.09999999999997</v>
      </c>
      <c r="D133" s="167">
        <f>+G133-D131-D132</f>
        <v>112.1</v>
      </c>
      <c r="E133" s="167">
        <v>417.9</v>
      </c>
      <c r="G133" s="167">
        <v>366</v>
      </c>
      <c r="I133" s="176">
        <v>99.8</v>
      </c>
      <c r="J133" s="164">
        <v>3</v>
      </c>
      <c r="L133" s="173">
        <v>15693</v>
      </c>
      <c r="M133" s="172">
        <v>257.89999999999998</v>
      </c>
      <c r="N133" s="172">
        <f t="shared" si="4"/>
        <v>381.42324649298592</v>
      </c>
      <c r="O133" s="173">
        <v>8328</v>
      </c>
      <c r="P133" s="172">
        <v>432.80000000000018</v>
      </c>
      <c r="Q133" s="172">
        <f t="shared" si="2"/>
        <v>640.09298597194413</v>
      </c>
      <c r="R133" s="173">
        <v>17098</v>
      </c>
      <c r="S133" s="172">
        <v>209.60000000000002</v>
      </c>
      <c r="T133" s="172">
        <f t="shared" si="3"/>
        <v>309.98957915831664</v>
      </c>
      <c r="V133" s="167" t="s">
        <v>9</v>
      </c>
      <c r="W133" s="171">
        <f>IF('Tab3'!C22="",'Tab3'!C21,'Tab3'!C22)</f>
        <v>25480.007092866668</v>
      </c>
      <c r="X133" s="171">
        <f>IF('Tab3'!D22="",'Tab3'!D21,'Tab3'!D22)</f>
        <v>23196.560000000001</v>
      </c>
      <c r="Y133" s="171">
        <f>IF('Tab3'!E22="",'Tab3'!E21,'Tab3'!E22)</f>
        <v>24022.283333333333</v>
      </c>
    </row>
    <row r="134" spans="1:25" x14ac:dyDescent="0.2">
      <c r="A134" s="167">
        <v>4</v>
      </c>
      <c r="B134" s="167"/>
      <c r="C134" s="167">
        <f>+E134-E133</f>
        <v>141.80000000000007</v>
      </c>
      <c r="D134" s="167">
        <f>+G134-G133</f>
        <v>125.60000000000002</v>
      </c>
      <c r="E134" s="167">
        <v>559.70000000000005</v>
      </c>
      <c r="G134" s="167">
        <v>491.6</v>
      </c>
      <c r="I134" s="176">
        <v>100.7</v>
      </c>
      <c r="J134" s="164">
        <v>4</v>
      </c>
      <c r="L134" s="173">
        <v>16502</v>
      </c>
      <c r="M134" s="172">
        <v>299.10000000000002</v>
      </c>
      <c r="N134" s="172">
        <f t="shared" si="4"/>
        <v>438.40278053624627</v>
      </c>
      <c r="O134" s="173">
        <v>7526</v>
      </c>
      <c r="P134" s="172">
        <v>738.59999999999945</v>
      </c>
      <c r="Q134" s="172">
        <f t="shared" si="2"/>
        <v>1082.5954319761659</v>
      </c>
      <c r="R134" s="173">
        <v>14647</v>
      </c>
      <c r="S134" s="172">
        <v>205.79999999999995</v>
      </c>
      <c r="T134" s="172">
        <f t="shared" si="3"/>
        <v>301.6492552135054</v>
      </c>
    </row>
    <row r="135" spans="1:25" x14ac:dyDescent="0.2">
      <c r="A135" s="167">
        <v>1</v>
      </c>
      <c r="B135" s="167">
        <v>1999</v>
      </c>
      <c r="C135" s="167">
        <f>+E135</f>
        <v>154.19999999999999</v>
      </c>
      <c r="D135" s="167">
        <f>+G135</f>
        <v>137.1</v>
      </c>
      <c r="E135" s="167">
        <v>154.19999999999999</v>
      </c>
      <c r="G135" s="167">
        <v>137.1</v>
      </c>
      <c r="I135" s="176">
        <v>101.4</v>
      </c>
      <c r="J135" s="164">
        <v>1</v>
      </c>
      <c r="K135" s="164">
        <v>1999</v>
      </c>
      <c r="L135" s="173">
        <v>18095</v>
      </c>
      <c r="M135" s="172">
        <v>328.50000000000006</v>
      </c>
      <c r="N135" s="172">
        <f t="shared" si="4"/>
        <v>478.17159763313612</v>
      </c>
      <c r="O135" s="173">
        <v>8863</v>
      </c>
      <c r="P135" s="172">
        <v>689.1</v>
      </c>
      <c r="Q135" s="172">
        <f t="shared" si="2"/>
        <v>1003.0686390532544</v>
      </c>
      <c r="R135" s="173">
        <v>11175</v>
      </c>
      <c r="S135" s="172">
        <v>162.80000000000001</v>
      </c>
      <c r="T135" s="172">
        <f t="shared" si="3"/>
        <v>236.97514792899406</v>
      </c>
    </row>
    <row r="136" spans="1:25" x14ac:dyDescent="0.2">
      <c r="A136" s="167">
        <v>2</v>
      </c>
      <c r="B136" s="167"/>
      <c r="C136" s="167">
        <f>+E136-E135</f>
        <v>159.30000000000001</v>
      </c>
      <c r="D136" s="167">
        <f>+G136-G135</f>
        <v>140.70000000000002</v>
      </c>
      <c r="E136" s="167">
        <v>313.5</v>
      </c>
      <c r="G136" s="167">
        <v>277.8</v>
      </c>
      <c r="I136" s="176">
        <v>102.2</v>
      </c>
      <c r="J136" s="164">
        <v>2</v>
      </c>
      <c r="L136" s="173">
        <v>12899</v>
      </c>
      <c r="M136" s="172">
        <v>332.7</v>
      </c>
      <c r="N136" s="172">
        <f t="shared" si="4"/>
        <v>480.49432485322893</v>
      </c>
      <c r="O136" s="173">
        <v>5920</v>
      </c>
      <c r="P136" s="172">
        <v>874.6</v>
      </c>
      <c r="Q136" s="172">
        <f t="shared" si="2"/>
        <v>1263.120939334638</v>
      </c>
      <c r="R136" s="173">
        <v>12451</v>
      </c>
      <c r="S136" s="172">
        <v>199.09999999999997</v>
      </c>
      <c r="T136" s="172">
        <f t="shared" si="3"/>
        <v>287.5455968688845</v>
      </c>
    </row>
    <row r="137" spans="1:25" x14ac:dyDescent="0.2">
      <c r="A137" s="167">
        <v>3</v>
      </c>
      <c r="B137" s="167"/>
      <c r="C137" s="167">
        <f>+E137-E136</f>
        <v>146.30000000000001</v>
      </c>
      <c r="D137" s="167">
        <f>+G137-G136</f>
        <v>128.69999999999999</v>
      </c>
      <c r="E137" s="167">
        <v>459.8</v>
      </c>
      <c r="G137" s="167">
        <v>406.5</v>
      </c>
      <c r="I137" s="176">
        <v>101.7</v>
      </c>
      <c r="J137" s="164">
        <v>3</v>
      </c>
      <c r="L137" s="173">
        <v>23305</v>
      </c>
      <c r="M137" s="172">
        <v>445.5</v>
      </c>
      <c r="N137" s="172">
        <f t="shared" si="4"/>
        <v>646.56637168141583</v>
      </c>
      <c r="O137" s="173">
        <v>11181</v>
      </c>
      <c r="P137" s="172">
        <v>566.99999999999977</v>
      </c>
      <c r="Q137" s="172">
        <f t="shared" si="2"/>
        <v>822.90265486725627</v>
      </c>
      <c r="R137" s="173">
        <v>18817</v>
      </c>
      <c r="S137" s="172">
        <v>227.70000000000005</v>
      </c>
      <c r="T137" s="172">
        <f t="shared" si="3"/>
        <v>330.46725663716819</v>
      </c>
    </row>
    <row r="138" spans="1:25" x14ac:dyDescent="0.2">
      <c r="A138" s="167">
        <v>4</v>
      </c>
      <c r="B138" s="167"/>
      <c r="C138" s="167">
        <f>+E138-E137</f>
        <v>141.90000000000003</v>
      </c>
      <c r="D138" s="167">
        <f>+G138-G137</f>
        <v>126.39999999999998</v>
      </c>
      <c r="E138" s="167">
        <v>601.70000000000005</v>
      </c>
      <c r="G138" s="167">
        <v>532.9</v>
      </c>
      <c r="I138" s="172">
        <v>103.5</v>
      </c>
      <c r="J138" s="164">
        <v>4</v>
      </c>
      <c r="L138" s="173">
        <v>18359</v>
      </c>
      <c r="M138" s="172">
        <v>410.59999999999968</v>
      </c>
      <c r="N138" s="172">
        <f t="shared" si="4"/>
        <v>585.55130434782563</v>
      </c>
      <c r="O138" s="173">
        <v>9544</v>
      </c>
      <c r="P138" s="172">
        <v>935.5</v>
      </c>
      <c r="Q138" s="172">
        <f t="shared" si="2"/>
        <v>1334.104347826087</v>
      </c>
      <c r="R138" s="173">
        <v>13692</v>
      </c>
      <c r="S138" s="172">
        <v>192.19999999999993</v>
      </c>
      <c r="T138" s="172">
        <f t="shared" si="3"/>
        <v>274.09391304347815</v>
      </c>
    </row>
    <row r="139" spans="1:25" x14ac:dyDescent="0.2">
      <c r="A139" s="167">
        <v>1</v>
      </c>
      <c r="B139" s="167">
        <v>2000</v>
      </c>
      <c r="C139" s="167">
        <f>+E139</f>
        <v>169.1</v>
      </c>
      <c r="D139" s="167">
        <f>+G139</f>
        <v>150.9</v>
      </c>
      <c r="E139" s="167">
        <v>169.1</v>
      </c>
      <c r="G139" s="167">
        <v>150.9</v>
      </c>
      <c r="I139" s="172">
        <v>104.6</v>
      </c>
      <c r="J139" s="164">
        <v>1</v>
      </c>
      <c r="K139" s="164">
        <v>2000</v>
      </c>
      <c r="L139" s="173">
        <v>17570</v>
      </c>
      <c r="M139" s="172">
        <v>345.9</v>
      </c>
      <c r="N139" s="172">
        <f t="shared" si="4"/>
        <v>488.09598470363284</v>
      </c>
      <c r="O139" s="173">
        <v>9154</v>
      </c>
      <c r="P139" s="172">
        <v>819.9</v>
      </c>
      <c r="Q139" s="172">
        <f t="shared" si="2"/>
        <v>1156.9525812619504</v>
      </c>
      <c r="R139" s="173">
        <v>12421</v>
      </c>
      <c r="S139" s="172">
        <v>198</v>
      </c>
      <c r="T139" s="172">
        <f t="shared" si="3"/>
        <v>279.39579349904398</v>
      </c>
    </row>
    <row r="140" spans="1:25" x14ac:dyDescent="0.2">
      <c r="A140" s="167">
        <v>2</v>
      </c>
      <c r="B140" s="167"/>
      <c r="C140" s="167">
        <f>+E140-E139</f>
        <v>151.50000000000003</v>
      </c>
      <c r="D140" s="167">
        <f>+G140-G139</f>
        <v>133.4</v>
      </c>
      <c r="E140" s="167">
        <v>320.60000000000002</v>
      </c>
      <c r="G140" s="167">
        <v>284.3</v>
      </c>
      <c r="I140" s="172">
        <v>105.1</v>
      </c>
      <c r="J140" s="164">
        <v>2</v>
      </c>
      <c r="L140" s="173">
        <v>14069</v>
      </c>
      <c r="M140" s="172">
        <v>252.39999999999998</v>
      </c>
      <c r="N140" s="172">
        <f t="shared" si="4"/>
        <v>354.4647002854424</v>
      </c>
      <c r="O140" s="173">
        <v>10238</v>
      </c>
      <c r="P140" s="172">
        <v>674.19999999999993</v>
      </c>
      <c r="Q140" s="172">
        <f t="shared" si="2"/>
        <v>946.83082778306368</v>
      </c>
      <c r="R140" s="173">
        <v>13950</v>
      </c>
      <c r="S140" s="172">
        <v>184.5</v>
      </c>
      <c r="T140" s="172">
        <f t="shared" si="3"/>
        <v>259.10751665080875</v>
      </c>
    </row>
    <row r="141" spans="1:25" x14ac:dyDescent="0.2">
      <c r="A141" s="167">
        <v>3</v>
      </c>
      <c r="B141" s="167"/>
      <c r="C141" s="167">
        <f>+E141-E140</f>
        <v>139</v>
      </c>
      <c r="D141" s="167">
        <f>+G141-G140</f>
        <v>123.5</v>
      </c>
      <c r="E141" s="167">
        <v>459.6</v>
      </c>
      <c r="G141" s="167">
        <v>407.8</v>
      </c>
      <c r="I141" s="172">
        <v>105.3</v>
      </c>
      <c r="J141" s="164">
        <v>3</v>
      </c>
      <c r="L141" s="173">
        <v>16329</v>
      </c>
      <c r="M141" s="172">
        <v>313.5</v>
      </c>
      <c r="N141" s="172">
        <f t="shared" si="4"/>
        <v>439.4358974358974</v>
      </c>
      <c r="O141" s="173">
        <v>13877</v>
      </c>
      <c r="P141" s="172">
        <v>706.20000000000027</v>
      </c>
      <c r="Q141" s="172">
        <f t="shared" si="2"/>
        <v>989.88717948717976</v>
      </c>
      <c r="R141" s="173">
        <v>14850</v>
      </c>
      <c r="S141" s="172">
        <v>193.89999999999998</v>
      </c>
      <c r="T141" s="172">
        <f t="shared" si="3"/>
        <v>271.79145299145296</v>
      </c>
    </row>
    <row r="142" spans="1:25" x14ac:dyDescent="0.2">
      <c r="A142" s="167">
        <v>4</v>
      </c>
      <c r="B142" s="167"/>
      <c r="C142" s="167">
        <f>+E142-E141</f>
        <v>135.10000000000002</v>
      </c>
      <c r="D142" s="167">
        <f>+G142-G141</f>
        <v>121.40000000000003</v>
      </c>
      <c r="E142" s="167">
        <v>594.70000000000005</v>
      </c>
      <c r="G142" s="167">
        <v>529.20000000000005</v>
      </c>
      <c r="I142" s="172">
        <v>106.8</v>
      </c>
      <c r="J142" s="164">
        <v>4</v>
      </c>
      <c r="L142" s="173">
        <v>21735</v>
      </c>
      <c r="M142" s="172">
        <v>484.79999999999995</v>
      </c>
      <c r="N142" s="172">
        <f t="shared" si="4"/>
        <v>670.00449438202236</v>
      </c>
      <c r="O142" s="173">
        <v>9978</v>
      </c>
      <c r="P142" s="172">
        <v>739.19999999999982</v>
      </c>
      <c r="Q142" s="172">
        <f t="shared" si="2"/>
        <v>1021.5910112359547</v>
      </c>
      <c r="R142" s="173">
        <v>13212</v>
      </c>
      <c r="S142" s="172">
        <v>215</v>
      </c>
      <c r="T142" s="172">
        <f t="shared" si="3"/>
        <v>297.13483146067415</v>
      </c>
    </row>
    <row r="143" spans="1:25" x14ac:dyDescent="0.2">
      <c r="A143" s="167">
        <v>1</v>
      </c>
      <c r="B143" s="167">
        <v>2001</v>
      </c>
      <c r="C143" s="167">
        <f>+E143</f>
        <v>158.5</v>
      </c>
      <c r="D143" s="167">
        <f>+G143</f>
        <v>143.1</v>
      </c>
      <c r="E143" s="167">
        <v>158.5</v>
      </c>
      <c r="G143" s="167">
        <v>143.1</v>
      </c>
      <c r="I143" s="172">
        <v>108.4</v>
      </c>
      <c r="J143" s="164">
        <v>1</v>
      </c>
      <c r="K143" s="164">
        <v>2001</v>
      </c>
      <c r="L143" s="173">
        <v>27280</v>
      </c>
      <c r="M143" s="172">
        <v>675.3</v>
      </c>
      <c r="N143" s="172">
        <f t="shared" si="4"/>
        <v>919.5044280442803</v>
      </c>
      <c r="O143" s="173">
        <v>7776</v>
      </c>
      <c r="P143" s="172">
        <v>877</v>
      </c>
      <c r="Q143" s="172">
        <f t="shared" si="2"/>
        <v>1194.1439114391142</v>
      </c>
      <c r="R143" s="173">
        <v>10538</v>
      </c>
      <c r="S143" s="172">
        <v>164.1</v>
      </c>
      <c r="T143" s="172">
        <f t="shared" si="3"/>
        <v>223.44243542435422</v>
      </c>
    </row>
    <row r="144" spans="1:25" x14ac:dyDescent="0.2">
      <c r="A144" s="167">
        <v>2</v>
      </c>
      <c r="B144" s="167"/>
      <c r="C144" s="167">
        <f>+E144-E143</f>
        <v>140.45999999999998</v>
      </c>
      <c r="D144" s="167">
        <f>+G144-G143</f>
        <v>125.70000000000002</v>
      </c>
      <c r="E144" s="167">
        <v>298.95999999999998</v>
      </c>
      <c r="G144" s="167">
        <v>268.8</v>
      </c>
      <c r="I144" s="172">
        <v>109.6</v>
      </c>
      <c r="J144" s="164">
        <v>2</v>
      </c>
      <c r="L144" s="173">
        <v>17111</v>
      </c>
      <c r="M144" s="172">
        <v>452</v>
      </c>
      <c r="N144" s="172">
        <f t="shared" si="4"/>
        <v>608.71532846715331</v>
      </c>
      <c r="O144" s="173">
        <v>5711</v>
      </c>
      <c r="P144" s="172">
        <v>923</v>
      </c>
      <c r="Q144" s="172">
        <f t="shared" si="2"/>
        <v>1243.0182481751824</v>
      </c>
      <c r="R144" s="173">
        <v>11841</v>
      </c>
      <c r="S144" s="172">
        <v>190.29999999999998</v>
      </c>
      <c r="T144" s="172">
        <f t="shared" si="3"/>
        <v>256.27992700729925</v>
      </c>
    </row>
    <row r="145" spans="1:20" x14ac:dyDescent="0.2">
      <c r="A145" s="167">
        <v>3</v>
      </c>
      <c r="C145" s="167">
        <f>+E145-E144</f>
        <v>134.24</v>
      </c>
      <c r="D145" s="167">
        <f>+G145-G144</f>
        <v>119.19999999999999</v>
      </c>
      <c r="E145" s="167">
        <v>433.2</v>
      </c>
      <c r="G145" s="167">
        <v>388</v>
      </c>
      <c r="I145" s="172">
        <v>108.1</v>
      </c>
      <c r="J145" s="164">
        <v>3</v>
      </c>
      <c r="L145" s="173">
        <v>16407</v>
      </c>
      <c r="M145" s="172">
        <v>400.40000000000009</v>
      </c>
      <c r="N145" s="172">
        <f t="shared" si="4"/>
        <v>546.70712303422772</v>
      </c>
      <c r="O145" s="173">
        <v>15359</v>
      </c>
      <c r="P145" s="172">
        <v>1172.1999999999998</v>
      </c>
      <c r="Q145" s="172">
        <f t="shared" si="2"/>
        <v>1600.5246993524513</v>
      </c>
      <c r="R145" s="173">
        <v>13534</v>
      </c>
      <c r="S145" s="172">
        <v>158.5</v>
      </c>
      <c r="T145" s="172">
        <f t="shared" si="3"/>
        <v>216.41628122109157</v>
      </c>
    </row>
    <row r="146" spans="1:20" x14ac:dyDescent="0.2">
      <c r="A146" s="167">
        <v>4</v>
      </c>
      <c r="C146" s="167">
        <f>+E146-E145</f>
        <v>137.49520000000001</v>
      </c>
      <c r="D146" s="167">
        <f>+G146-G145</f>
        <v>124.07220000000007</v>
      </c>
      <c r="E146" s="175">
        <v>570.6952</v>
      </c>
      <c r="F146" s="180"/>
      <c r="G146" s="175">
        <v>512.07220000000007</v>
      </c>
      <c r="I146" s="172">
        <v>108.7</v>
      </c>
      <c r="J146" s="164">
        <v>4</v>
      </c>
      <c r="L146" s="173">
        <v>16945</v>
      </c>
      <c r="M146" s="172">
        <v>509.39999999999986</v>
      </c>
      <c r="N146" s="172">
        <f t="shared" si="4"/>
        <v>691.69678012879456</v>
      </c>
      <c r="O146" s="173">
        <v>9601</v>
      </c>
      <c r="P146" s="172">
        <v>803.30000000000018</v>
      </c>
      <c r="Q146" s="172">
        <f t="shared" si="2"/>
        <v>1090.7735050597978</v>
      </c>
      <c r="R146" s="173">
        <v>12341</v>
      </c>
      <c r="S146" s="172">
        <v>258.5</v>
      </c>
      <c r="T146" s="172">
        <f t="shared" si="3"/>
        <v>351.0082796688132</v>
      </c>
    </row>
    <row r="147" spans="1:20" x14ac:dyDescent="0.2">
      <c r="A147" s="167">
        <v>1</v>
      </c>
      <c r="B147" s="167">
        <v>2002</v>
      </c>
      <c r="C147" s="167">
        <f>+E147</f>
        <v>155.81399999999999</v>
      </c>
      <c r="D147" s="167">
        <f>+G147</f>
        <v>141.72399999999999</v>
      </c>
      <c r="E147" s="175">
        <v>155.81399999999999</v>
      </c>
      <c r="F147" s="180"/>
      <c r="G147" s="175">
        <v>141.72399999999999</v>
      </c>
      <c r="I147" s="172">
        <v>109.3</v>
      </c>
      <c r="J147" s="164">
        <v>1</v>
      </c>
      <c r="K147" s="164">
        <v>2002</v>
      </c>
      <c r="L147" s="173">
        <v>17523</v>
      </c>
      <c r="M147" s="172">
        <v>466.5</v>
      </c>
      <c r="N147" s="172">
        <f t="shared" si="4"/>
        <v>629.96706312900267</v>
      </c>
      <c r="O147" s="173">
        <v>6856</v>
      </c>
      <c r="P147" s="172">
        <v>820.40000000000009</v>
      </c>
      <c r="Q147" s="172">
        <f t="shared" si="2"/>
        <v>1107.8777676120769</v>
      </c>
      <c r="R147" s="173">
        <v>9371</v>
      </c>
      <c r="S147" s="172">
        <v>197.9</v>
      </c>
      <c r="T147" s="172">
        <f t="shared" si="3"/>
        <v>267.24647758462947</v>
      </c>
    </row>
    <row r="148" spans="1:20" x14ac:dyDescent="0.2">
      <c r="A148" s="167">
        <v>2</v>
      </c>
      <c r="B148" s="167"/>
      <c r="C148" s="167">
        <f>+E148-E147</f>
        <v>146.54300000000003</v>
      </c>
      <c r="D148" s="167">
        <f>+G148-G147</f>
        <v>133.19</v>
      </c>
      <c r="E148" s="167">
        <v>302.35700000000003</v>
      </c>
      <c r="G148" s="167">
        <v>274.91399999999999</v>
      </c>
      <c r="I148" s="172">
        <v>110</v>
      </c>
      <c r="J148" s="164">
        <v>2</v>
      </c>
      <c r="L148" s="173">
        <v>17469</v>
      </c>
      <c r="M148" s="172">
        <v>408.5</v>
      </c>
      <c r="N148" s="172">
        <f t="shared" si="4"/>
        <v>548.13272727272727</v>
      </c>
      <c r="O148" s="173">
        <v>9323</v>
      </c>
      <c r="P148" s="172">
        <v>689.09999999999991</v>
      </c>
      <c r="Q148" s="172">
        <f t="shared" si="2"/>
        <v>924.64690909090893</v>
      </c>
      <c r="R148" s="173">
        <v>14749</v>
      </c>
      <c r="S148" s="172">
        <v>233.49999999999997</v>
      </c>
      <c r="T148" s="172">
        <f t="shared" si="3"/>
        <v>313.3145454545454</v>
      </c>
    </row>
    <row r="149" spans="1:20" x14ac:dyDescent="0.2">
      <c r="A149" s="167">
        <v>3</v>
      </c>
      <c r="C149" s="167">
        <f>+E149-E148</f>
        <v>146.23099999999999</v>
      </c>
      <c r="D149" s="167">
        <f>+G149-G148</f>
        <v>127.14100000000002</v>
      </c>
      <c r="E149" s="167">
        <v>448.58800000000002</v>
      </c>
      <c r="G149" s="167">
        <v>402.05500000000001</v>
      </c>
      <c r="I149" s="172">
        <v>109.6</v>
      </c>
      <c r="J149" s="164">
        <v>3</v>
      </c>
      <c r="L149" s="173">
        <v>19641</v>
      </c>
      <c r="M149" s="172">
        <v>503</v>
      </c>
      <c r="N149" s="172">
        <f t="shared" si="4"/>
        <v>677.39781021897807</v>
      </c>
      <c r="O149" s="173">
        <v>17422</v>
      </c>
      <c r="P149" s="172">
        <v>895.90000000000009</v>
      </c>
      <c r="Q149" s="172">
        <f t="shared" si="2"/>
        <v>1206.5222627737228</v>
      </c>
      <c r="R149" s="173">
        <v>14722</v>
      </c>
      <c r="S149" s="172">
        <v>184.5</v>
      </c>
      <c r="T149" s="172">
        <f t="shared" si="3"/>
        <v>248.46897810218979</v>
      </c>
    </row>
    <row r="150" spans="1:20" x14ac:dyDescent="0.2">
      <c r="A150" s="167">
        <v>4</v>
      </c>
      <c r="C150" s="167">
        <f>+E150-E149</f>
        <v>137.96699999999993</v>
      </c>
      <c r="D150" s="167">
        <f>+G150-G149</f>
        <v>124.64100000000002</v>
      </c>
      <c r="E150" s="175">
        <v>586.55499999999995</v>
      </c>
      <c r="F150" s="180"/>
      <c r="G150" s="175">
        <v>526.69600000000003</v>
      </c>
      <c r="I150" s="172">
        <v>111</v>
      </c>
      <c r="J150" s="164">
        <v>4</v>
      </c>
      <c r="L150" s="173">
        <v>17442</v>
      </c>
      <c r="M150" s="172">
        <v>464.20000000000005</v>
      </c>
      <c r="N150" s="172">
        <f t="shared" si="4"/>
        <v>617.26054054054055</v>
      </c>
      <c r="O150" s="173">
        <v>8123</v>
      </c>
      <c r="P150" s="172">
        <v>938.5</v>
      </c>
      <c r="Q150" s="172">
        <f t="shared" si="2"/>
        <v>1247.9513513513514</v>
      </c>
      <c r="R150" s="173">
        <v>14689</v>
      </c>
      <c r="S150" s="172">
        <v>194.00000000000011</v>
      </c>
      <c r="T150" s="172">
        <f t="shared" si="3"/>
        <v>257.9675675675677</v>
      </c>
    </row>
    <row r="151" spans="1:20" x14ac:dyDescent="0.2">
      <c r="A151" s="167">
        <v>1</v>
      </c>
      <c r="B151" s="167">
        <v>2003</v>
      </c>
      <c r="C151" s="175">
        <f>+E151</f>
        <v>165.679</v>
      </c>
      <c r="D151" s="167">
        <f>+G151</f>
        <v>150.81100000000001</v>
      </c>
      <c r="E151" s="175">
        <v>165.679</v>
      </c>
      <c r="F151" s="180"/>
      <c r="G151" s="175">
        <v>150.81100000000001</v>
      </c>
      <c r="I151" s="172">
        <v>114.6</v>
      </c>
      <c r="J151" s="164">
        <v>1</v>
      </c>
      <c r="K151" s="164">
        <v>2003</v>
      </c>
      <c r="L151" s="173">
        <v>22781</v>
      </c>
      <c r="M151" s="172">
        <v>626.79999999999995</v>
      </c>
      <c r="N151" s="172">
        <f t="shared" si="4"/>
        <v>807.29214659685852</v>
      </c>
      <c r="O151" s="173">
        <v>6823</v>
      </c>
      <c r="P151" s="172">
        <v>1087.2</v>
      </c>
      <c r="Q151" s="172">
        <f t="shared" si="2"/>
        <v>1400.2680628272253</v>
      </c>
      <c r="R151" s="173">
        <v>10626</v>
      </c>
      <c r="S151" s="172">
        <v>183</v>
      </c>
      <c r="T151" s="172">
        <f t="shared" si="3"/>
        <v>235.69633507853402</v>
      </c>
    </row>
    <row r="152" spans="1:20" x14ac:dyDescent="0.2">
      <c r="A152" s="167">
        <v>2</v>
      </c>
      <c r="B152" s="167"/>
      <c r="C152" s="175">
        <f>+E152-E151</f>
        <v>135.02099999999999</v>
      </c>
      <c r="D152" s="167">
        <f>+G152-G151</f>
        <v>121.10099999999997</v>
      </c>
      <c r="E152" s="167">
        <v>300.7</v>
      </c>
      <c r="G152" s="167">
        <v>271.91199999999998</v>
      </c>
      <c r="I152" s="172">
        <v>112.3</v>
      </c>
      <c r="J152" s="164">
        <v>2</v>
      </c>
      <c r="L152" s="173">
        <v>15417</v>
      </c>
      <c r="M152" s="172">
        <v>406.10000000000014</v>
      </c>
      <c r="N152" s="172">
        <f t="shared" si="4"/>
        <v>533.75209260908298</v>
      </c>
      <c r="O152" s="173">
        <v>5618</v>
      </c>
      <c r="P152" s="172">
        <v>817.8</v>
      </c>
      <c r="Q152" s="172">
        <f t="shared" si="2"/>
        <v>1074.8644701691896</v>
      </c>
      <c r="R152" s="173">
        <v>12719</v>
      </c>
      <c r="S152" s="172">
        <v>203.2</v>
      </c>
      <c r="T152" s="172">
        <f t="shared" si="3"/>
        <v>267.07319679430094</v>
      </c>
    </row>
    <row r="153" spans="1:20" x14ac:dyDescent="0.2">
      <c r="A153" s="167">
        <v>3</v>
      </c>
      <c r="B153" s="167"/>
      <c r="C153" s="175">
        <f>+E153-E152</f>
        <v>134.11099999999999</v>
      </c>
      <c r="D153" s="167">
        <f>+G153-G152</f>
        <v>119.49100000000004</v>
      </c>
      <c r="E153" s="167">
        <v>434.81099999999998</v>
      </c>
      <c r="G153" s="167">
        <v>391.40300000000002</v>
      </c>
      <c r="I153" s="172">
        <v>111.9</v>
      </c>
      <c r="J153" s="164">
        <v>3</v>
      </c>
      <c r="L153" s="173">
        <v>18848</v>
      </c>
      <c r="M153" s="172">
        <v>430.5</v>
      </c>
      <c r="N153" s="172">
        <f t="shared" si="4"/>
        <v>567.84450402144762</v>
      </c>
      <c r="O153" s="173">
        <v>16056</v>
      </c>
      <c r="P153" s="172">
        <v>860.19999999999982</v>
      </c>
      <c r="Q153" s="172">
        <f t="shared" si="2"/>
        <v>1134.6337801608577</v>
      </c>
      <c r="R153" s="173">
        <v>13690</v>
      </c>
      <c r="S153" s="172">
        <v>188.8</v>
      </c>
      <c r="T153" s="172">
        <f t="shared" si="3"/>
        <v>249.0337801608579</v>
      </c>
    </row>
    <row r="154" spans="1:20" x14ac:dyDescent="0.2">
      <c r="A154" s="167">
        <v>4</v>
      </c>
      <c r="B154" s="167"/>
      <c r="C154" s="175">
        <f>+E154-E153</f>
        <v>142.01299999999998</v>
      </c>
      <c r="D154" s="167">
        <f>+G154-G153</f>
        <v>125.95899999999995</v>
      </c>
      <c r="E154" s="167">
        <v>576.82399999999996</v>
      </c>
      <c r="G154" s="167">
        <v>517.36199999999997</v>
      </c>
      <c r="I154" s="172">
        <v>112.6</v>
      </c>
      <c r="J154" s="164">
        <v>4</v>
      </c>
      <c r="L154" s="173">
        <v>16096</v>
      </c>
      <c r="M154" s="172">
        <v>471.89999999999986</v>
      </c>
      <c r="N154" s="172">
        <f t="shared" si="4"/>
        <v>618.58294849023071</v>
      </c>
      <c r="O154" s="173">
        <v>7652</v>
      </c>
      <c r="P154" s="172">
        <v>762.30000000000018</v>
      </c>
      <c r="Q154" s="172">
        <f t="shared" si="2"/>
        <v>999.24937833037325</v>
      </c>
      <c r="R154" s="173">
        <v>11607</v>
      </c>
      <c r="S154" s="172">
        <v>220.90000000000009</v>
      </c>
      <c r="T154" s="172">
        <f t="shared" si="3"/>
        <v>289.56341030195398</v>
      </c>
    </row>
    <row r="155" spans="1:20" x14ac:dyDescent="0.2">
      <c r="A155" s="167">
        <v>1</v>
      </c>
      <c r="B155" s="167">
        <v>2004</v>
      </c>
      <c r="C155" s="175">
        <f>+E155</f>
        <v>168.309</v>
      </c>
      <c r="D155" s="167">
        <f>+G155</f>
        <v>153.04300000000001</v>
      </c>
      <c r="E155" s="167">
        <v>168.309</v>
      </c>
      <c r="G155" s="167">
        <v>153.04300000000001</v>
      </c>
      <c r="I155" s="172">
        <v>112.6</v>
      </c>
      <c r="J155" s="164">
        <v>1</v>
      </c>
      <c r="K155" s="164">
        <v>2004</v>
      </c>
      <c r="L155" s="173">
        <v>17805</v>
      </c>
      <c r="M155" s="172">
        <v>517.69999999999993</v>
      </c>
      <c r="N155" s="172">
        <f t="shared" si="4"/>
        <v>678.61918294849011</v>
      </c>
      <c r="O155" s="173">
        <v>7033</v>
      </c>
      <c r="P155" s="172">
        <v>735.2</v>
      </c>
      <c r="Q155" s="172">
        <f t="shared" si="2"/>
        <v>963.7257548845472</v>
      </c>
      <c r="R155" s="173">
        <v>8913</v>
      </c>
      <c r="S155" s="172">
        <v>178.89999999999998</v>
      </c>
      <c r="T155" s="172">
        <f t="shared" si="3"/>
        <v>234.50834813499108</v>
      </c>
    </row>
    <row r="156" spans="1:20" x14ac:dyDescent="0.2">
      <c r="A156" s="167">
        <v>2</v>
      </c>
      <c r="B156" s="167"/>
      <c r="C156" s="175">
        <f>+E156-E155</f>
        <v>140.26700000000002</v>
      </c>
      <c r="D156" s="167">
        <f>+G156-G155</f>
        <v>125.56799999999998</v>
      </c>
      <c r="E156" s="167">
        <v>308.57600000000002</v>
      </c>
      <c r="G156" s="167">
        <v>278.61099999999999</v>
      </c>
      <c r="I156" s="172">
        <v>113.4</v>
      </c>
      <c r="J156" s="164">
        <v>2</v>
      </c>
      <c r="L156" s="173">
        <v>13855</v>
      </c>
      <c r="M156" s="172">
        <v>344.69999999999993</v>
      </c>
      <c r="N156" s="172">
        <f t="shared" si="4"/>
        <v>448.65714285714273</v>
      </c>
      <c r="O156" s="173">
        <v>6436</v>
      </c>
      <c r="P156" s="172">
        <v>708.3</v>
      </c>
      <c r="Q156" s="172">
        <f t="shared" si="2"/>
        <v>921.9142857142856</v>
      </c>
      <c r="R156" s="173">
        <v>10802</v>
      </c>
      <c r="S156" s="172">
        <v>228.40000000000003</v>
      </c>
      <c r="T156" s="172">
        <f t="shared" si="3"/>
        <v>297.28253968253966</v>
      </c>
    </row>
    <row r="157" spans="1:20" x14ac:dyDescent="0.2">
      <c r="A157" s="167">
        <v>3</v>
      </c>
      <c r="B157" s="167"/>
      <c r="C157" s="175">
        <f>+E157-E156</f>
        <v>137.76999999999998</v>
      </c>
      <c r="D157" s="167">
        <f>+G157-G156</f>
        <v>123.12100000000004</v>
      </c>
      <c r="E157" s="167">
        <v>446.346</v>
      </c>
      <c r="G157" s="167">
        <v>401.73200000000003</v>
      </c>
      <c r="I157" s="172">
        <v>113</v>
      </c>
      <c r="J157" s="164">
        <v>3</v>
      </c>
      <c r="L157" s="173">
        <v>17630</v>
      </c>
      <c r="M157" s="172">
        <v>454.09999999999991</v>
      </c>
      <c r="N157" s="172">
        <f t="shared" si="4"/>
        <v>593.1430088495573</v>
      </c>
      <c r="O157" s="173">
        <v>11805</v>
      </c>
      <c r="P157" s="172">
        <v>652.69999999999982</v>
      </c>
      <c r="Q157" s="172">
        <f t="shared" si="2"/>
        <v>852.55327433628293</v>
      </c>
      <c r="R157" s="173">
        <v>11365</v>
      </c>
      <c r="S157" s="172">
        <v>160.7999999999999</v>
      </c>
      <c r="T157" s="172">
        <f t="shared" si="3"/>
        <v>210.03610619469012</v>
      </c>
    </row>
    <row r="158" spans="1:20" x14ac:dyDescent="0.2">
      <c r="A158" s="167">
        <v>4</v>
      </c>
      <c r="B158" s="167"/>
      <c r="C158" s="175">
        <f>+E158-E157</f>
        <v>137.68499999999995</v>
      </c>
      <c r="D158" s="167">
        <f>+G158-G157</f>
        <v>124.50600000000003</v>
      </c>
      <c r="E158" s="167">
        <v>584.03099999999995</v>
      </c>
      <c r="G158" s="167">
        <v>526.23800000000006</v>
      </c>
      <c r="I158" s="172">
        <v>114</v>
      </c>
      <c r="J158" s="164">
        <v>4</v>
      </c>
      <c r="L158" s="173">
        <v>16674</v>
      </c>
      <c r="M158" s="172">
        <v>428.20000000000027</v>
      </c>
      <c r="N158" s="172">
        <f t="shared" si="4"/>
        <v>554.40631578947409</v>
      </c>
      <c r="O158" s="173">
        <v>10088</v>
      </c>
      <c r="P158" s="172">
        <v>709.40000000000055</v>
      </c>
      <c r="Q158" s="172">
        <f t="shared" si="2"/>
        <v>918.48631578947436</v>
      </c>
      <c r="R158" s="173">
        <v>9276</v>
      </c>
      <c r="S158" s="172">
        <v>162.90000000000009</v>
      </c>
      <c r="T158" s="172">
        <f t="shared" si="3"/>
        <v>210.91263157894747</v>
      </c>
    </row>
    <row r="159" spans="1:20" x14ac:dyDescent="0.2">
      <c r="A159" s="167">
        <v>1</v>
      </c>
      <c r="B159" s="167">
        <v>2005</v>
      </c>
      <c r="C159" s="175">
        <f>+E159</f>
        <v>147.31100000000001</v>
      </c>
      <c r="D159" s="167">
        <f>+G159</f>
        <v>133.756</v>
      </c>
      <c r="E159" s="167">
        <v>147.31100000000001</v>
      </c>
      <c r="G159" s="167">
        <v>133.756</v>
      </c>
      <c r="I159" s="172">
        <v>113.7</v>
      </c>
      <c r="J159" s="164">
        <v>1</v>
      </c>
      <c r="K159" s="164">
        <v>2005</v>
      </c>
      <c r="L159" s="173">
        <v>15151</v>
      </c>
      <c r="M159" s="172">
        <v>418</v>
      </c>
      <c r="N159" s="172">
        <f t="shared" si="4"/>
        <v>542.62796833773086</v>
      </c>
      <c r="O159" s="173">
        <v>7287</v>
      </c>
      <c r="P159" s="172">
        <v>715.2</v>
      </c>
      <c r="Q159" s="172">
        <f t="shared" si="2"/>
        <v>928.43905013192602</v>
      </c>
      <c r="R159" s="173">
        <v>7498</v>
      </c>
      <c r="S159" s="172">
        <v>159.69999999999999</v>
      </c>
      <c r="T159" s="172">
        <f t="shared" si="3"/>
        <v>207.31503957783639</v>
      </c>
    </row>
    <row r="160" spans="1:20" x14ac:dyDescent="0.2">
      <c r="A160" s="167">
        <v>2</v>
      </c>
      <c r="B160" s="167"/>
      <c r="C160" s="175">
        <f>+E160-E159</f>
        <v>143.51699999999997</v>
      </c>
      <c r="D160" s="167">
        <f>+G160-G159</f>
        <v>128.79</v>
      </c>
      <c r="E160" s="167">
        <v>290.82799999999997</v>
      </c>
      <c r="G160" s="167">
        <v>262.54599999999999</v>
      </c>
      <c r="I160" s="172">
        <v>115.2</v>
      </c>
      <c r="J160" s="164">
        <v>2</v>
      </c>
      <c r="L160" s="173">
        <v>14855</v>
      </c>
      <c r="M160" s="172">
        <v>323.20000000000005</v>
      </c>
      <c r="N160" s="172">
        <f t="shared" si="4"/>
        <v>414.1</v>
      </c>
      <c r="O160" s="173">
        <v>6172</v>
      </c>
      <c r="P160" s="172">
        <v>745.5</v>
      </c>
      <c r="Q160" s="172">
        <f t="shared" si="2"/>
        <v>955.17187499999989</v>
      </c>
      <c r="R160" s="173">
        <v>11610</v>
      </c>
      <c r="S160" s="172">
        <v>152.50000000000006</v>
      </c>
      <c r="T160" s="172">
        <f t="shared" si="3"/>
        <v>195.39062500000009</v>
      </c>
    </row>
    <row r="161" spans="1:20" x14ac:dyDescent="0.2">
      <c r="A161" s="167">
        <v>3</v>
      </c>
      <c r="B161" s="167"/>
      <c r="C161" s="175">
        <f>+E161-E160</f>
        <v>134.78300000000002</v>
      </c>
      <c r="D161" s="167">
        <f>+G161-G160</f>
        <v>120.57100000000003</v>
      </c>
      <c r="E161" s="167">
        <v>425.61099999999999</v>
      </c>
      <c r="G161" s="167">
        <v>383.11700000000002</v>
      </c>
      <c r="I161" s="172">
        <v>115.1</v>
      </c>
      <c r="J161" s="164">
        <v>3</v>
      </c>
      <c r="L161" s="173">
        <v>13014</v>
      </c>
      <c r="M161" s="172">
        <v>448.29999999999995</v>
      </c>
      <c r="N161" s="172">
        <f t="shared" si="4"/>
        <v>574.88340573414416</v>
      </c>
      <c r="O161" s="173">
        <v>6734</v>
      </c>
      <c r="P161" s="172">
        <v>832.10000000000014</v>
      </c>
      <c r="Q161" s="172">
        <f t="shared" si="2"/>
        <v>1067.05438748914</v>
      </c>
      <c r="R161" s="173">
        <v>8742</v>
      </c>
      <c r="S161" s="172">
        <v>152.99999999999994</v>
      </c>
      <c r="T161" s="172">
        <f t="shared" si="3"/>
        <v>196.20156385751511</v>
      </c>
    </row>
    <row r="162" spans="1:20" x14ac:dyDescent="0.2">
      <c r="A162" s="167">
        <v>4</v>
      </c>
      <c r="B162" s="167"/>
      <c r="C162" s="175">
        <f>+E162-E161</f>
        <v>137.37</v>
      </c>
      <c r="D162" s="167">
        <f>+G162-G161</f>
        <v>124.38200000000001</v>
      </c>
      <c r="E162" s="167">
        <v>562.98099999999999</v>
      </c>
      <c r="G162" s="167">
        <v>507.49900000000002</v>
      </c>
      <c r="I162" s="172">
        <v>116</v>
      </c>
      <c r="J162" s="164">
        <v>4</v>
      </c>
      <c r="L162" s="173">
        <v>22745</v>
      </c>
      <c r="M162" s="172">
        <v>478.79999999999995</v>
      </c>
      <c r="N162" s="172">
        <f t="shared" si="4"/>
        <v>609.231724137931</v>
      </c>
      <c r="O162" s="173">
        <v>8144</v>
      </c>
      <c r="P162" s="172">
        <v>795.79999999999973</v>
      </c>
      <c r="Q162" s="172">
        <f t="shared" si="2"/>
        <v>1012.5868965517237</v>
      </c>
      <c r="R162" s="173">
        <v>11407</v>
      </c>
      <c r="S162" s="172">
        <v>142.00000000000006</v>
      </c>
      <c r="T162" s="172">
        <f t="shared" si="3"/>
        <v>180.68275862068973</v>
      </c>
    </row>
    <row r="163" spans="1:20" x14ac:dyDescent="0.2">
      <c r="A163" s="167">
        <v>1</v>
      </c>
      <c r="B163" s="167">
        <v>2006</v>
      </c>
      <c r="C163" s="175">
        <f>+E163</f>
        <v>155.21299999999999</v>
      </c>
      <c r="D163" s="167">
        <f>+G163</f>
        <v>139.72800000000001</v>
      </c>
      <c r="E163" s="167">
        <v>155.21299999999999</v>
      </c>
      <c r="G163" s="167">
        <v>139.72800000000001</v>
      </c>
      <c r="I163" s="172">
        <v>116.6</v>
      </c>
      <c r="J163" s="164">
        <v>1</v>
      </c>
      <c r="K163" s="164">
        <v>2006</v>
      </c>
      <c r="L163" s="173">
        <v>18196</v>
      </c>
      <c r="M163" s="172">
        <v>585</v>
      </c>
      <c r="N163" s="172">
        <f t="shared" si="4"/>
        <v>740.53173241852494</v>
      </c>
      <c r="O163" s="173">
        <v>6106</v>
      </c>
      <c r="P163" s="172">
        <v>947.2</v>
      </c>
      <c r="Q163" s="172">
        <f t="shared" si="2"/>
        <v>1199.0284734133793</v>
      </c>
      <c r="R163" s="173">
        <v>7106</v>
      </c>
      <c r="S163" s="172">
        <v>150.6</v>
      </c>
      <c r="T163" s="172">
        <f t="shared" si="3"/>
        <v>190.63945111492279</v>
      </c>
    </row>
    <row r="164" spans="1:20" x14ac:dyDescent="0.2">
      <c r="A164" s="167">
        <v>2</v>
      </c>
      <c r="B164" s="167"/>
      <c r="C164" s="175">
        <f>+E164-E163</f>
        <v>147.44399999999999</v>
      </c>
      <c r="D164" s="167">
        <f>+G164-G163</f>
        <v>129.572</v>
      </c>
      <c r="E164" s="167">
        <v>302.65699999999998</v>
      </c>
      <c r="G164" s="167">
        <v>269.3</v>
      </c>
      <c r="I164" s="172">
        <v>117.9</v>
      </c>
      <c r="J164" s="164">
        <v>2</v>
      </c>
      <c r="L164" s="173">
        <v>13943</v>
      </c>
      <c r="M164" s="172">
        <v>433.79999999999995</v>
      </c>
      <c r="N164" s="172">
        <f t="shared" si="4"/>
        <v>543.07786259541967</v>
      </c>
      <c r="O164" s="173">
        <v>5246</v>
      </c>
      <c r="P164" s="172">
        <v>811.2</v>
      </c>
      <c r="Q164" s="172">
        <f t="shared" si="2"/>
        <v>1015.5480916030534</v>
      </c>
      <c r="R164" s="173">
        <v>9193</v>
      </c>
      <c r="S164" s="172">
        <v>176.1</v>
      </c>
      <c r="T164" s="172">
        <f t="shared" si="3"/>
        <v>220.46106870229005</v>
      </c>
    </row>
    <row r="165" spans="1:20" x14ac:dyDescent="0.2">
      <c r="A165" s="167">
        <v>3</v>
      </c>
      <c r="B165" s="167"/>
      <c r="C165" s="175">
        <f>+E165-E164</f>
        <v>143.45100000000002</v>
      </c>
      <c r="D165" s="167">
        <f>+G165-G164</f>
        <v>126.00599999999997</v>
      </c>
      <c r="E165" s="167">
        <v>446.108</v>
      </c>
      <c r="G165" s="167">
        <v>395.30599999999998</v>
      </c>
      <c r="I165" s="176">
        <v>117.3</v>
      </c>
      <c r="J165" s="164">
        <v>3</v>
      </c>
      <c r="L165" s="173">
        <v>13690</v>
      </c>
      <c r="M165" s="172">
        <v>496.59999999999991</v>
      </c>
      <c r="N165" s="172">
        <f t="shared" si="4"/>
        <v>624.87774936061362</v>
      </c>
      <c r="O165" s="173">
        <v>9450</v>
      </c>
      <c r="P165" s="172">
        <v>855.90000000000009</v>
      </c>
      <c r="Q165" s="172">
        <f t="shared" si="2"/>
        <v>1076.9892583120206</v>
      </c>
      <c r="R165" s="173">
        <v>10840</v>
      </c>
      <c r="S165" s="172">
        <v>167.10000000000002</v>
      </c>
      <c r="T165" s="172">
        <f t="shared" si="3"/>
        <v>210.26393861892586</v>
      </c>
    </row>
    <row r="166" spans="1:20" x14ac:dyDescent="0.2">
      <c r="A166" s="167">
        <v>4</v>
      </c>
      <c r="B166" s="167"/>
      <c r="C166" s="175">
        <f>+E166-E165</f>
        <v>148.56090999999998</v>
      </c>
      <c r="D166" s="167">
        <f>+G166-G165</f>
        <v>131.19532799999996</v>
      </c>
      <c r="E166" s="167">
        <v>594.66890999999998</v>
      </c>
      <c r="G166" s="167">
        <v>526.50132799999994</v>
      </c>
      <c r="I166" s="176">
        <v>119</v>
      </c>
      <c r="J166" s="164">
        <v>4</v>
      </c>
      <c r="L166" s="173">
        <v>16682</v>
      </c>
      <c r="M166" s="172">
        <v>525.60000000000014</v>
      </c>
      <c r="N166" s="172">
        <f t="shared" si="4"/>
        <v>651.92067226890777</v>
      </c>
      <c r="O166" s="173">
        <v>10233</v>
      </c>
      <c r="P166" s="172">
        <v>826</v>
      </c>
      <c r="Q166" s="172">
        <f t="shared" si="2"/>
        <v>1024.5176470588235</v>
      </c>
      <c r="R166" s="173">
        <v>9520</v>
      </c>
      <c r="S166" s="172">
        <v>144.09999999999997</v>
      </c>
      <c r="T166" s="172">
        <f t="shared" si="3"/>
        <v>178.73243697478986</v>
      </c>
    </row>
    <row r="167" spans="1:20" x14ac:dyDescent="0.2">
      <c r="A167" s="167">
        <v>1</v>
      </c>
      <c r="B167" s="167">
        <v>2007</v>
      </c>
      <c r="C167" s="175">
        <f>+E167</f>
        <v>158.09976</v>
      </c>
      <c r="D167" s="167">
        <f>+G167</f>
        <v>141.08400800000001</v>
      </c>
      <c r="E167" s="167">
        <v>158.09976</v>
      </c>
      <c r="G167" s="167">
        <v>141.08400800000001</v>
      </c>
      <c r="I167" s="176">
        <v>117.5</v>
      </c>
      <c r="J167" s="164">
        <v>1</v>
      </c>
      <c r="K167" s="164">
        <v>2007</v>
      </c>
      <c r="L167" s="173">
        <v>18623</v>
      </c>
      <c r="M167" s="172">
        <v>649.6</v>
      </c>
      <c r="N167" s="172">
        <f t="shared" si="4"/>
        <v>816.00817021276589</v>
      </c>
      <c r="O167" s="173">
        <v>7737</v>
      </c>
      <c r="P167" s="172">
        <v>1092.1999999999998</v>
      </c>
      <c r="Q167" s="172">
        <f t="shared" si="2"/>
        <v>1371.9891063829784</v>
      </c>
      <c r="R167" s="173">
        <v>8112</v>
      </c>
      <c r="S167" s="172">
        <v>167.4</v>
      </c>
      <c r="T167" s="172">
        <f t="shared" si="3"/>
        <v>210.28289361702127</v>
      </c>
    </row>
    <row r="168" spans="1:20" x14ac:dyDescent="0.2">
      <c r="A168" s="167">
        <v>2</v>
      </c>
      <c r="B168" s="167"/>
      <c r="C168" s="175">
        <f>+E168-E167</f>
        <v>161.61276000000004</v>
      </c>
      <c r="D168" s="167">
        <f>+G168-G167</f>
        <v>142.897008</v>
      </c>
      <c r="E168" s="167">
        <v>319.71252000000004</v>
      </c>
      <c r="G168" s="167">
        <v>283.98101600000001</v>
      </c>
      <c r="I168" s="176">
        <v>118.3</v>
      </c>
      <c r="J168" s="164">
        <v>2</v>
      </c>
      <c r="L168" s="173">
        <v>15831</v>
      </c>
      <c r="M168" s="172">
        <v>514.19999999999993</v>
      </c>
      <c r="N168" s="172">
        <f t="shared" si="4"/>
        <v>641.55469146238374</v>
      </c>
      <c r="O168" s="173">
        <v>5067</v>
      </c>
      <c r="P168" s="172">
        <v>1041.6999999999998</v>
      </c>
      <c r="Q168" s="172">
        <f t="shared" ref="Q168:Q189" si="5">P168/I168*$I$69</f>
        <v>1299.703465765004</v>
      </c>
      <c r="R168" s="173">
        <v>10608</v>
      </c>
      <c r="S168" s="172">
        <v>160.99999999999997</v>
      </c>
      <c r="T168" s="172">
        <f t="shared" ref="T168:T189" si="6">S168/I168*$I$69</f>
        <v>200.87573964497039</v>
      </c>
    </row>
    <row r="169" spans="1:20" x14ac:dyDescent="0.2">
      <c r="A169" s="167">
        <v>3</v>
      </c>
      <c r="B169" s="167"/>
      <c r="C169" s="175">
        <f>+E169-E168</f>
        <v>135.82058024999998</v>
      </c>
      <c r="D169" s="167">
        <f>+G169-G168</f>
        <v>119.75308425000003</v>
      </c>
      <c r="E169" s="167">
        <v>455.53310025000002</v>
      </c>
      <c r="G169" s="167">
        <v>403.73410025000004</v>
      </c>
      <c r="I169" s="176">
        <v>117.8</v>
      </c>
      <c r="J169" s="164">
        <v>3</v>
      </c>
      <c r="L169" s="173">
        <v>18428</v>
      </c>
      <c r="M169" s="172">
        <v>654.20000000000027</v>
      </c>
      <c r="N169" s="172">
        <f t="shared" si="4"/>
        <v>819.69371816638409</v>
      </c>
      <c r="O169" s="173">
        <v>6417</v>
      </c>
      <c r="P169" s="172">
        <v>679.60000000000036</v>
      </c>
      <c r="Q169" s="172">
        <f t="shared" si="5"/>
        <v>851.51918505942319</v>
      </c>
      <c r="R169" s="173">
        <v>10319</v>
      </c>
      <c r="S169" s="172">
        <v>152.89999999999998</v>
      </c>
      <c r="T169" s="172">
        <f t="shared" si="6"/>
        <v>191.57928692699485</v>
      </c>
    </row>
    <row r="170" spans="1:20" x14ac:dyDescent="0.2">
      <c r="A170" s="167">
        <v>4</v>
      </c>
      <c r="B170" s="167"/>
      <c r="C170" s="175">
        <f>+E170-E169</f>
        <v>149.79139924999998</v>
      </c>
      <c r="D170" s="167">
        <f>+G170-G169</f>
        <v>133.49839924999998</v>
      </c>
      <c r="E170" s="167">
        <v>605.3244995</v>
      </c>
      <c r="G170" s="167">
        <v>537.23249950000002</v>
      </c>
      <c r="I170" s="176">
        <v>120.8</v>
      </c>
      <c r="J170" s="164">
        <v>4</v>
      </c>
      <c r="L170" s="173">
        <v>15870</v>
      </c>
      <c r="M170" s="172">
        <v>567.19999999999959</v>
      </c>
      <c r="N170" s="172">
        <f t="shared" si="4"/>
        <v>693.03576158940348</v>
      </c>
      <c r="O170" s="173">
        <v>5114</v>
      </c>
      <c r="P170" s="172">
        <v>911.69999999999982</v>
      </c>
      <c r="Q170" s="172">
        <f t="shared" si="5"/>
        <v>1113.9645695364236</v>
      </c>
      <c r="R170" s="173">
        <v>8645</v>
      </c>
      <c r="S170" s="172">
        <v>142.80000000000007</v>
      </c>
      <c r="T170" s="172">
        <f t="shared" si="6"/>
        <v>174.48079470198684</v>
      </c>
    </row>
    <row r="171" spans="1:20" x14ac:dyDescent="0.2">
      <c r="A171" s="167">
        <v>1</v>
      </c>
      <c r="B171" s="167">
        <v>2008</v>
      </c>
      <c r="C171" s="175">
        <f>+E171</f>
        <v>164.64169099999998</v>
      </c>
      <c r="D171" s="167">
        <f>+G171</f>
        <v>148.61369099999999</v>
      </c>
      <c r="E171" s="167">
        <v>164.64169099999998</v>
      </c>
      <c r="G171" s="167">
        <v>148.61369099999999</v>
      </c>
      <c r="I171" s="176">
        <v>121.9</v>
      </c>
      <c r="J171" s="164">
        <v>1</v>
      </c>
      <c r="K171" s="164">
        <v>2008</v>
      </c>
      <c r="L171" s="173">
        <v>17004</v>
      </c>
      <c r="M171" s="172">
        <v>591.9</v>
      </c>
      <c r="N171" s="172">
        <f t="shared" si="4"/>
        <v>716.6894175553731</v>
      </c>
      <c r="O171" s="173">
        <v>6274</v>
      </c>
      <c r="P171" s="172">
        <v>963.6</v>
      </c>
      <c r="Q171" s="172">
        <f t="shared" si="5"/>
        <v>1166.7543888433142</v>
      </c>
      <c r="R171" s="173">
        <v>7939</v>
      </c>
      <c r="S171" s="172">
        <v>160.1</v>
      </c>
      <c r="T171" s="172">
        <f t="shared" si="6"/>
        <v>193.85365053322394</v>
      </c>
    </row>
    <row r="172" spans="1:20" x14ac:dyDescent="0.2">
      <c r="A172" s="167">
        <v>2</v>
      </c>
      <c r="B172" s="167"/>
      <c r="C172" s="175">
        <f>+E172-E171</f>
        <v>197.28657850000002</v>
      </c>
      <c r="D172" s="167">
        <f>+G172-G171</f>
        <v>175.71357850000001</v>
      </c>
      <c r="E172" s="167">
        <v>361.9282695</v>
      </c>
      <c r="G172" s="167">
        <v>324.3272695</v>
      </c>
      <c r="I172" s="176">
        <v>122</v>
      </c>
      <c r="J172" s="164">
        <v>2</v>
      </c>
      <c r="L172" s="173">
        <v>14987</v>
      </c>
      <c r="M172" s="172">
        <v>548.4</v>
      </c>
      <c r="N172" s="172">
        <f t="shared" ref="N172:N181" si="7">M172/I172*$I$69</f>
        <v>663.47409836065572</v>
      </c>
      <c r="O172" s="173">
        <v>5831</v>
      </c>
      <c r="P172" s="172">
        <v>1153.8000000000002</v>
      </c>
      <c r="Q172" s="172">
        <f t="shared" si="5"/>
        <v>1395.9088524590168</v>
      </c>
      <c r="R172" s="173">
        <v>10207</v>
      </c>
      <c r="S172" s="172">
        <v>188.4</v>
      </c>
      <c r="T172" s="172">
        <f t="shared" si="6"/>
        <v>227.93311475409837</v>
      </c>
    </row>
    <row r="173" spans="1:20" x14ac:dyDescent="0.2">
      <c r="A173" s="167">
        <v>3</v>
      </c>
      <c r="B173" s="167"/>
      <c r="C173" s="175">
        <f>+E173-E172</f>
        <v>159.71767174999997</v>
      </c>
      <c r="D173" s="167">
        <f>+G173-G172</f>
        <v>141.40667174999999</v>
      </c>
      <c r="E173" s="167">
        <v>521.64594124999996</v>
      </c>
      <c r="G173" s="167">
        <v>465.73394124999999</v>
      </c>
      <c r="I173" s="176">
        <v>123.1</v>
      </c>
      <c r="J173" s="164">
        <v>3</v>
      </c>
      <c r="L173" s="173">
        <v>19290</v>
      </c>
      <c r="M173" s="172">
        <v>722.70000000000027</v>
      </c>
      <c r="N173" s="172">
        <f t="shared" si="7"/>
        <v>866.53549959382656</v>
      </c>
      <c r="O173" s="173">
        <v>12252</v>
      </c>
      <c r="P173" s="172">
        <v>1486.4999999999995</v>
      </c>
      <c r="Q173" s="172">
        <f t="shared" si="5"/>
        <v>1782.350934199837</v>
      </c>
      <c r="R173" s="173">
        <v>11007</v>
      </c>
      <c r="S173" s="172">
        <v>186.29999999999995</v>
      </c>
      <c r="T173" s="172">
        <f t="shared" si="6"/>
        <v>223.37839155158403</v>
      </c>
    </row>
    <row r="174" spans="1:20" x14ac:dyDescent="0.2">
      <c r="A174" s="167">
        <v>4</v>
      </c>
      <c r="B174" s="167"/>
      <c r="C174" s="175">
        <f>+E174-E173</f>
        <v>170.05706974999998</v>
      </c>
      <c r="D174" s="167">
        <f>+G174-G173</f>
        <v>152.54014889999991</v>
      </c>
      <c r="E174" s="167">
        <v>691.70301099999995</v>
      </c>
      <c r="G174" s="167">
        <v>618.27409014999989</v>
      </c>
      <c r="I174" s="172">
        <v>124.7</v>
      </c>
      <c r="J174" s="164">
        <v>4</v>
      </c>
      <c r="L174" s="173">
        <v>16976</v>
      </c>
      <c r="M174" s="172">
        <v>703.10000000000014</v>
      </c>
      <c r="N174" s="172">
        <f t="shared" si="7"/>
        <v>832.21780272654382</v>
      </c>
      <c r="O174" s="173">
        <v>7247</v>
      </c>
      <c r="P174" s="172">
        <v>1160</v>
      </c>
      <c r="Q174" s="172">
        <f t="shared" si="5"/>
        <v>1373.0232558139535</v>
      </c>
      <c r="R174" s="173">
        <v>10145</v>
      </c>
      <c r="S174" s="172">
        <v>269.60000000000014</v>
      </c>
      <c r="T174" s="172">
        <f t="shared" si="6"/>
        <v>319.10954290296729</v>
      </c>
    </row>
    <row r="175" spans="1:20" x14ac:dyDescent="0.2">
      <c r="A175" s="167">
        <v>1</v>
      </c>
      <c r="B175" s="167">
        <v>2009</v>
      </c>
      <c r="C175" s="175">
        <f>+E175</f>
        <v>191.37959499999999</v>
      </c>
      <c r="D175" s="167">
        <f>+G175</f>
        <v>172.55938714999999</v>
      </c>
      <c r="E175" s="167">
        <v>191.37959499999999</v>
      </c>
      <c r="G175" s="167">
        <v>172.55938714999999</v>
      </c>
      <c r="I175" s="172">
        <v>125</v>
      </c>
      <c r="J175" s="164">
        <v>1</v>
      </c>
      <c r="K175" s="164">
        <v>2009</v>
      </c>
      <c r="L175" s="173">
        <v>18865</v>
      </c>
      <c r="M175" s="172">
        <v>739.59999999999991</v>
      </c>
      <c r="N175" s="172">
        <f t="shared" si="7"/>
        <v>873.31967999999983</v>
      </c>
      <c r="O175" s="173">
        <v>6194</v>
      </c>
      <c r="P175" s="172">
        <v>1049.9000000000001</v>
      </c>
      <c r="Q175" s="172">
        <f t="shared" si="5"/>
        <v>1239.72192</v>
      </c>
      <c r="R175" s="173">
        <v>8619</v>
      </c>
      <c r="S175" s="172">
        <v>213.2</v>
      </c>
      <c r="T175" s="172">
        <f t="shared" si="6"/>
        <v>251.74655999999999</v>
      </c>
    </row>
    <row r="176" spans="1:20" x14ac:dyDescent="0.2">
      <c r="A176" s="167">
        <v>2</v>
      </c>
      <c r="B176" s="167"/>
      <c r="C176" s="175">
        <f>+E176-E175</f>
        <v>178.90604250000001</v>
      </c>
      <c r="D176" s="167">
        <f>+G176-G175</f>
        <v>160.765232725</v>
      </c>
      <c r="E176" s="167">
        <v>370.28563750000001</v>
      </c>
      <c r="G176" s="167">
        <v>333.324619875</v>
      </c>
      <c r="I176" s="172">
        <v>125.7</v>
      </c>
      <c r="J176" s="164">
        <v>2</v>
      </c>
      <c r="L176" s="173">
        <v>14610</v>
      </c>
      <c r="M176" s="172">
        <v>603.80000000000018</v>
      </c>
      <c r="N176" s="172">
        <f t="shared" si="7"/>
        <v>708.99665871121726</v>
      </c>
      <c r="O176" s="173">
        <v>5486</v>
      </c>
      <c r="P176" s="172">
        <v>1077.9000000000001</v>
      </c>
      <c r="Q176" s="172">
        <f t="shared" si="5"/>
        <v>1265.6964200477328</v>
      </c>
      <c r="R176" s="173">
        <v>11296</v>
      </c>
      <c r="S176" s="172">
        <v>235.3</v>
      </c>
      <c r="T176" s="172">
        <f t="shared" si="6"/>
        <v>276.29498806682579</v>
      </c>
    </row>
    <row r="177" spans="1:20" x14ac:dyDescent="0.2">
      <c r="A177" s="167">
        <v>3</v>
      </c>
      <c r="B177" s="167"/>
      <c r="C177" s="175">
        <f>+E177-E176</f>
        <v>160.23377500000004</v>
      </c>
      <c r="D177" s="167">
        <f>+G177-G176</f>
        <v>142.31202375000004</v>
      </c>
      <c r="E177" s="167">
        <v>530.51941250000004</v>
      </c>
      <c r="G177" s="167">
        <v>475.63664362500003</v>
      </c>
      <c r="I177" s="172">
        <v>125.4</v>
      </c>
      <c r="J177" s="164">
        <v>3</v>
      </c>
      <c r="L177" s="173">
        <v>19220</v>
      </c>
      <c r="M177" s="172">
        <v>795.69999999999982</v>
      </c>
      <c r="N177" s="172">
        <f t="shared" si="7"/>
        <v>936.5655502392342</v>
      </c>
      <c r="O177" s="173">
        <v>13278</v>
      </c>
      <c r="P177" s="172">
        <v>1278.0999999999999</v>
      </c>
      <c r="Q177" s="172">
        <f t="shared" si="5"/>
        <v>1504.3665071770331</v>
      </c>
      <c r="R177" s="173">
        <v>11383</v>
      </c>
      <c r="S177" s="172">
        <v>231.79999999999995</v>
      </c>
      <c r="T177" s="172">
        <f t="shared" si="6"/>
        <v>272.83636363636356</v>
      </c>
    </row>
    <row r="178" spans="1:20" x14ac:dyDescent="0.2">
      <c r="A178" s="167">
        <v>4</v>
      </c>
      <c r="B178" s="167"/>
      <c r="C178" s="175">
        <f>+E178-E177</f>
        <v>179.8571388695641</v>
      </c>
      <c r="D178" s="167">
        <f>+G178-G177</f>
        <v>163.53199924456408</v>
      </c>
      <c r="E178" s="167">
        <v>710.37655136956414</v>
      </c>
      <c r="G178" s="167">
        <v>639.16864286956411</v>
      </c>
      <c r="I178" s="172">
        <v>126.6</v>
      </c>
      <c r="J178" s="164">
        <v>4</v>
      </c>
      <c r="L178" s="173">
        <v>16838</v>
      </c>
      <c r="M178" s="172">
        <v>759.30000000000018</v>
      </c>
      <c r="N178" s="172">
        <f t="shared" si="7"/>
        <v>885.2502369668249</v>
      </c>
      <c r="O178" s="173">
        <v>6227</v>
      </c>
      <c r="P178" s="172">
        <v>1192.2000000000003</v>
      </c>
      <c r="Q178" s="172">
        <f t="shared" si="5"/>
        <v>1389.958293838863</v>
      </c>
      <c r="R178" s="173">
        <v>10409</v>
      </c>
      <c r="S178" s="172">
        <v>276.40000000000009</v>
      </c>
      <c r="T178" s="172">
        <f t="shared" si="6"/>
        <v>322.24834123222757</v>
      </c>
    </row>
    <row r="179" spans="1:20" x14ac:dyDescent="0.2">
      <c r="A179" s="167">
        <v>1</v>
      </c>
      <c r="B179" s="167">
        <v>2010</v>
      </c>
      <c r="C179" s="175">
        <f>+E179</f>
        <v>204.63648875000001</v>
      </c>
      <c r="D179" s="167">
        <f>+G179</f>
        <v>186.506571025</v>
      </c>
      <c r="E179" s="167">
        <v>204.63648875000001</v>
      </c>
      <c r="G179" s="167">
        <v>186.506571025</v>
      </c>
      <c r="I179" s="172">
        <v>128.69999999999999</v>
      </c>
      <c r="J179" s="164">
        <v>1</v>
      </c>
      <c r="K179" s="164">
        <v>2010</v>
      </c>
      <c r="L179" s="173">
        <v>40484.70904761905</v>
      </c>
      <c r="M179" s="172">
        <v>1693.2251146266974</v>
      </c>
      <c r="N179" s="172">
        <f t="shared" si="7"/>
        <v>1941.8805510404081</v>
      </c>
      <c r="O179" s="173">
        <v>6690</v>
      </c>
      <c r="P179" s="172">
        <v>1648.5</v>
      </c>
      <c r="Q179" s="172">
        <f t="shared" si="5"/>
        <v>1890.5874125874127</v>
      </c>
      <c r="R179" s="173">
        <v>7227</v>
      </c>
      <c r="S179" s="172">
        <v>243.10000000000002</v>
      </c>
      <c r="T179" s="172">
        <f t="shared" si="6"/>
        <v>278.80000000000007</v>
      </c>
    </row>
    <row r="180" spans="1:20" x14ac:dyDescent="0.2">
      <c r="A180" s="167">
        <v>2</v>
      </c>
      <c r="B180" s="167"/>
      <c r="C180" s="175">
        <f>+E180-E179</f>
        <v>188.95691625000001</v>
      </c>
      <c r="D180" s="167">
        <f>+G180-G179</f>
        <v>170.46253197500002</v>
      </c>
      <c r="E180" s="167">
        <v>393.59340500000002</v>
      </c>
      <c r="G180" s="167">
        <v>356.96910300000002</v>
      </c>
      <c r="I180" s="172">
        <v>128.9</v>
      </c>
      <c r="J180" s="164">
        <v>2</v>
      </c>
      <c r="L180" s="173">
        <v>20633.79583333333</v>
      </c>
      <c r="M180" s="172">
        <v>864.97098885712671</v>
      </c>
      <c r="N180" s="172">
        <f t="shared" si="7"/>
        <v>990.45553107301703</v>
      </c>
      <c r="O180" s="173">
        <v>5716</v>
      </c>
      <c r="P180" s="172">
        <v>1381.6999999999998</v>
      </c>
      <c r="Q180" s="172">
        <f t="shared" si="5"/>
        <v>1582.1483320403411</v>
      </c>
      <c r="R180" s="173">
        <v>10696</v>
      </c>
      <c r="S180" s="172">
        <v>201.60000000000002</v>
      </c>
      <c r="T180" s="172">
        <f t="shared" si="6"/>
        <v>230.84685802948022</v>
      </c>
    </row>
    <row r="181" spans="1:20" x14ac:dyDescent="0.2">
      <c r="A181" s="167">
        <v>3</v>
      </c>
      <c r="B181" s="167"/>
      <c r="C181" s="175">
        <f>+E181-E180</f>
        <v>172.07737875000004</v>
      </c>
      <c r="D181" s="167">
        <f>+G181-G180</f>
        <v>154.15607493749997</v>
      </c>
      <c r="E181" s="167">
        <v>565.67078375000006</v>
      </c>
      <c r="G181" s="167">
        <v>511.12517793749998</v>
      </c>
      <c r="I181" s="172">
        <v>127.8</v>
      </c>
      <c r="J181" s="164">
        <v>3</v>
      </c>
      <c r="L181" s="173">
        <v>19149.335833333338</v>
      </c>
      <c r="M181" s="172">
        <v>861.71516601647909</v>
      </c>
      <c r="N181" s="172">
        <f t="shared" si="7"/>
        <v>995.22033258241254</v>
      </c>
      <c r="O181" s="173">
        <v>9089</v>
      </c>
      <c r="P181" s="172">
        <v>1286.1999999999998</v>
      </c>
      <c r="Q181" s="172">
        <f t="shared" si="5"/>
        <v>1485.4704225352111</v>
      </c>
      <c r="R181" s="173">
        <v>11532</v>
      </c>
      <c r="S181" s="172">
        <v>200.69999999999993</v>
      </c>
      <c r="T181" s="172">
        <f t="shared" si="6"/>
        <v>231.79436619718302</v>
      </c>
    </row>
    <row r="182" spans="1:20" x14ac:dyDescent="0.2">
      <c r="A182" s="167">
        <v>4</v>
      </c>
      <c r="B182" s="167"/>
      <c r="C182" s="175">
        <f>+E182-E181</f>
        <v>192.96143124999992</v>
      </c>
      <c r="D182" s="167">
        <f>+G182-G181</f>
        <v>174.39946771249993</v>
      </c>
      <c r="E182" s="167">
        <v>758.63221499999997</v>
      </c>
      <c r="G182" s="167">
        <v>685.52464564999991</v>
      </c>
      <c r="I182" s="172">
        <v>129</v>
      </c>
      <c r="J182" s="164">
        <v>4</v>
      </c>
      <c r="L182" s="173">
        <v>22322.361666666664</v>
      </c>
      <c r="M182" s="172">
        <v>889.84894905372039</v>
      </c>
      <c r="N182" s="172">
        <f t="shared" ref="N182" si="8">M182/I182*$I$69</f>
        <v>1018.1527510103033</v>
      </c>
      <c r="O182" s="173">
        <v>5858</v>
      </c>
      <c r="P182" s="172">
        <v>1310.8000000000011</v>
      </c>
      <c r="Q182" s="172">
        <f t="shared" si="5"/>
        <v>1499.7990697674429</v>
      </c>
      <c r="R182" s="173">
        <v>9548</v>
      </c>
      <c r="S182" s="172">
        <v>205</v>
      </c>
      <c r="T182" s="172">
        <f t="shared" si="6"/>
        <v>234.55813953488371</v>
      </c>
    </row>
    <row r="183" spans="1:20" x14ac:dyDescent="0.2">
      <c r="A183" s="167">
        <v>1</v>
      </c>
      <c r="B183" s="167">
        <v>2011</v>
      </c>
      <c r="C183" s="175">
        <f>+E183</f>
        <v>204.00503875000001</v>
      </c>
      <c r="D183" s="167">
        <f>+G183</f>
        <v>184.8599929625</v>
      </c>
      <c r="E183" s="167">
        <v>204.00503875000001</v>
      </c>
      <c r="G183" s="167">
        <v>184.8599929625</v>
      </c>
      <c r="I183" s="172">
        <v>130.19999999999999</v>
      </c>
      <c r="J183" s="164">
        <v>1</v>
      </c>
      <c r="K183" s="164">
        <v>2011</v>
      </c>
      <c r="L183" s="173">
        <v>26141.662648809524</v>
      </c>
      <c r="M183" s="172">
        <v>1061.4209517567813</v>
      </c>
      <c r="N183" s="172">
        <f t="shared" ref="N183:N186" si="9">M183/I183*$I$69</f>
        <v>1203.2698347104526</v>
      </c>
      <c r="O183" s="173">
        <v>5959</v>
      </c>
      <c r="P183" s="172">
        <v>1698.7</v>
      </c>
      <c r="Q183" s="172">
        <f t="shared" si="5"/>
        <v>1925.7152073732721</v>
      </c>
      <c r="R183" s="173">
        <v>6732</v>
      </c>
      <c r="S183" s="172">
        <v>156.5</v>
      </c>
      <c r="T183" s="172">
        <f t="shared" si="6"/>
        <v>177.41474654377882</v>
      </c>
    </row>
    <row r="184" spans="1:20" x14ac:dyDescent="0.2">
      <c r="A184" s="167">
        <v>2</v>
      </c>
      <c r="B184" s="167"/>
      <c r="C184" s="175">
        <f>+E184-E183</f>
        <v>188.74104374999999</v>
      </c>
      <c r="D184" s="167">
        <f>+G184-G183</f>
        <v>171.33320521249996</v>
      </c>
      <c r="E184" s="164">
        <v>392.7460825</v>
      </c>
      <c r="G184" s="164">
        <v>356.19319817499996</v>
      </c>
      <c r="I184" s="172">
        <v>131</v>
      </c>
      <c r="J184" s="164">
        <v>2</v>
      </c>
      <c r="L184" s="181">
        <v>18851.951101190472</v>
      </c>
      <c r="M184" s="182">
        <v>776.58308820124375</v>
      </c>
      <c r="N184" s="172">
        <f t="shared" si="9"/>
        <v>874.98980014124868</v>
      </c>
      <c r="O184" s="173">
        <v>7524</v>
      </c>
      <c r="P184" s="172">
        <v>1533.4000000000003</v>
      </c>
      <c r="Q184" s="172">
        <f t="shared" si="5"/>
        <v>1727.7087022900764</v>
      </c>
      <c r="R184" s="173">
        <v>10017</v>
      </c>
      <c r="S184" s="172">
        <v>197.79999999999995</v>
      </c>
      <c r="T184" s="172">
        <f t="shared" si="6"/>
        <v>222.86473282442742</v>
      </c>
    </row>
    <row r="185" spans="1:20" x14ac:dyDescent="0.2">
      <c r="A185" s="167">
        <v>3</v>
      </c>
      <c r="C185" s="175">
        <f>+E185-E184</f>
        <v>169.93391749999995</v>
      </c>
      <c r="D185" s="167">
        <f>+G185-G184</f>
        <v>151.69380182500004</v>
      </c>
      <c r="E185" s="164">
        <v>562.67999999999995</v>
      </c>
      <c r="G185" s="164">
        <v>507.887</v>
      </c>
      <c r="I185" s="172">
        <v>129.4</v>
      </c>
      <c r="J185" s="164">
        <v>3</v>
      </c>
      <c r="L185" s="181">
        <v>24107.386250000007</v>
      </c>
      <c r="M185" s="182">
        <v>914.64669811090494</v>
      </c>
      <c r="N185" s="172">
        <f t="shared" si="9"/>
        <v>1043.2909786798266</v>
      </c>
      <c r="O185" s="173">
        <v>10171</v>
      </c>
      <c r="P185" s="172">
        <v>1285.3999999999996</v>
      </c>
      <c r="Q185" s="172">
        <f t="shared" si="5"/>
        <v>1466.1904173106641</v>
      </c>
      <c r="R185" s="173">
        <v>10339</v>
      </c>
      <c r="S185" s="172">
        <v>167.29999999999995</v>
      </c>
      <c r="T185" s="172">
        <f t="shared" si="6"/>
        <v>190.83060278207103</v>
      </c>
    </row>
    <row r="186" spans="1:20" x14ac:dyDescent="0.2">
      <c r="A186" s="164">
        <v>4</v>
      </c>
      <c r="C186" s="175">
        <f>+E186-E185</f>
        <v>202.17554500000006</v>
      </c>
      <c r="D186" s="167">
        <f>+G186-G185</f>
        <v>178.91908595000001</v>
      </c>
      <c r="E186" s="164">
        <v>764.85554500000001</v>
      </c>
      <c r="G186" s="164">
        <v>686.80608595000001</v>
      </c>
      <c r="I186" s="164">
        <v>130.5</v>
      </c>
      <c r="J186" s="164">
        <v>4</v>
      </c>
      <c r="L186" s="181">
        <v>18022.572976190484</v>
      </c>
      <c r="M186" s="172">
        <v>777.38419736292576</v>
      </c>
      <c r="N186" s="172">
        <f t="shared" si="9"/>
        <v>879.24833356910221</v>
      </c>
      <c r="O186" s="181">
        <v>8775.7956028314002</v>
      </c>
      <c r="P186" s="172">
        <v>1286.8626975018997</v>
      </c>
      <c r="Q186" s="172">
        <f t="shared" si="5"/>
        <v>1455.4860854504245</v>
      </c>
      <c r="R186" s="181">
        <v>9645.4866500746648</v>
      </c>
      <c r="S186" s="172">
        <v>181.103452008619</v>
      </c>
      <c r="T186" s="172">
        <f t="shared" si="6"/>
        <v>204.83424916836907</v>
      </c>
    </row>
    <row r="187" spans="1:20" x14ac:dyDescent="0.2">
      <c r="A187" s="164">
        <v>1</v>
      </c>
      <c r="B187" s="164">
        <v>2012</v>
      </c>
      <c r="C187" s="175">
        <f>+E187</f>
        <v>195.82938625</v>
      </c>
      <c r="D187" s="167">
        <f>+G187</f>
        <v>177.0717714875</v>
      </c>
      <c r="E187" s="164">
        <v>195.82938625</v>
      </c>
      <c r="G187" s="164">
        <v>177.0717714875</v>
      </c>
      <c r="I187" s="164">
        <v>131.69999999999999</v>
      </c>
      <c r="J187" s="164">
        <v>1</v>
      </c>
      <c r="K187" s="164">
        <v>2012</v>
      </c>
      <c r="L187" s="181">
        <v>18517.39324404762</v>
      </c>
      <c r="M187" s="172">
        <v>869.15461769403078</v>
      </c>
      <c r="N187" s="172">
        <f t="shared" ref="N187:N193" si="10">M187/I187*$I$69</f>
        <v>974.08672415823048</v>
      </c>
      <c r="O187" s="173">
        <v>6822.44890070785</v>
      </c>
      <c r="P187" s="172">
        <v>1150.314057295883</v>
      </c>
      <c r="Q187" s="172">
        <f t="shared" si="5"/>
        <v>1289.1902418896912</v>
      </c>
      <c r="R187" s="173">
        <v>7564.3716625186662</v>
      </c>
      <c r="S187" s="172">
        <v>175.73767321176348</v>
      </c>
      <c r="T187" s="172">
        <f t="shared" si="6"/>
        <v>196.95429435122469</v>
      </c>
    </row>
    <row r="188" spans="1:20" x14ac:dyDescent="0.2">
      <c r="A188" s="164">
        <v>2</v>
      </c>
      <c r="C188" s="175">
        <f>+E188-E187</f>
        <v>182.75061374999999</v>
      </c>
      <c r="D188" s="167">
        <f>+G188-G187</f>
        <v>165.12822851249999</v>
      </c>
      <c r="E188" s="183">
        <v>378.58</v>
      </c>
      <c r="G188" s="183">
        <v>342.2</v>
      </c>
      <c r="I188" s="164">
        <v>131.69999999999999</v>
      </c>
      <c r="J188" s="164">
        <v>2</v>
      </c>
      <c r="L188" s="181">
        <v>14087.60675595238</v>
      </c>
      <c r="M188" s="172">
        <v>635.43152402028181</v>
      </c>
      <c r="N188" s="172">
        <f t="shared" si="10"/>
        <v>712.14649161270768</v>
      </c>
      <c r="O188" s="173">
        <v>4838.55109929215</v>
      </c>
      <c r="P188" s="172">
        <v>1037.7970664905204</v>
      </c>
      <c r="Q188" s="172">
        <f t="shared" si="5"/>
        <v>1163.0891952467791</v>
      </c>
      <c r="R188" s="173">
        <v>10002.628337481334</v>
      </c>
      <c r="S188" s="172">
        <v>184.20744441885319</v>
      </c>
      <c r="T188" s="172">
        <f t="shared" si="6"/>
        <v>206.44661196828196</v>
      </c>
    </row>
    <row r="189" spans="1:20" x14ac:dyDescent="0.2">
      <c r="A189" s="167">
        <v>3</v>
      </c>
      <c r="C189" s="175">
        <f>+E189-E188</f>
        <v>165.72960875000007</v>
      </c>
      <c r="D189" s="167">
        <f>+G189-G188</f>
        <v>148.24155396250001</v>
      </c>
      <c r="E189" s="164">
        <v>544.30960875000005</v>
      </c>
      <c r="G189" s="164">
        <v>490.4415539625</v>
      </c>
      <c r="I189" s="164">
        <v>130</v>
      </c>
      <c r="J189" s="164">
        <v>3</v>
      </c>
      <c r="L189" s="184">
        <v>20999.460714285713</v>
      </c>
      <c r="M189" s="185">
        <v>864.77367174435972</v>
      </c>
      <c r="N189" s="172">
        <f t="shared" si="10"/>
        <v>981.85072268821136</v>
      </c>
      <c r="O189" s="184">
        <v>6828.0536397386386</v>
      </c>
      <c r="P189" s="185">
        <v>1132.0609213635664</v>
      </c>
      <c r="Q189" s="172">
        <f t="shared" si="5"/>
        <v>1285.3245537943262</v>
      </c>
      <c r="R189" s="184">
        <v>10877.781177428844</v>
      </c>
      <c r="S189" s="185">
        <v>190.02859425457928</v>
      </c>
      <c r="T189" s="172">
        <f t="shared" si="6"/>
        <v>215.7555423998146</v>
      </c>
    </row>
    <row r="190" spans="1:20" x14ac:dyDescent="0.2">
      <c r="A190" s="167">
        <v>4</v>
      </c>
      <c r="C190" s="175">
        <f>+E190-E189</f>
        <v>166.80539124999996</v>
      </c>
      <c r="D190" s="167">
        <f>+G190-G189</f>
        <v>151.72844603749996</v>
      </c>
      <c r="E190" s="164">
        <v>711.11500000000001</v>
      </c>
      <c r="G190" s="164">
        <v>642.16999999999996</v>
      </c>
      <c r="I190" s="164">
        <v>132</v>
      </c>
      <c r="J190" s="164">
        <v>4</v>
      </c>
      <c r="L190" s="184">
        <v>17946.539285714287</v>
      </c>
      <c r="M190" s="185">
        <v>826.79347775776318</v>
      </c>
      <c r="N190" s="172">
        <f t="shared" si="10"/>
        <v>924.50543422004421</v>
      </c>
      <c r="O190" s="184">
        <v>5621.9463602613596</v>
      </c>
      <c r="P190" s="185">
        <v>1071.0118577206574</v>
      </c>
      <c r="Q190" s="172">
        <f t="shared" ref="Q190:Q214" si="11">P190/I190*$I$69</f>
        <v>1197.5859863603714</v>
      </c>
      <c r="R190" s="184">
        <v>8525.2188225711561</v>
      </c>
      <c r="S190" s="185">
        <v>190.41732478586363</v>
      </c>
      <c r="T190" s="172">
        <f t="shared" ref="T190:T214" si="12">S190/I190*$I$69</f>
        <v>212.92119044237475</v>
      </c>
    </row>
    <row r="191" spans="1:20" x14ac:dyDescent="0.2">
      <c r="A191" s="164">
        <v>1</v>
      </c>
      <c r="B191" s="164">
        <v>2013</v>
      </c>
      <c r="C191" s="175">
        <f>+E191</f>
        <v>199.180995</v>
      </c>
      <c r="D191" s="167">
        <f>+G191</f>
        <v>183.65288545000001</v>
      </c>
      <c r="E191" s="164">
        <v>199.180995</v>
      </c>
      <c r="G191" s="164">
        <v>183.65288545000001</v>
      </c>
      <c r="I191" s="164">
        <v>133</v>
      </c>
      <c r="J191" s="164">
        <v>1</v>
      </c>
      <c r="K191" s="164">
        <f>B191</f>
        <v>2013</v>
      </c>
      <c r="L191" s="184">
        <v>21974.571815476189</v>
      </c>
      <c r="M191" s="185">
        <v>1023.0812127444322</v>
      </c>
      <c r="N191" s="172">
        <f t="shared" si="10"/>
        <v>1135.3893759479563</v>
      </c>
      <c r="O191" s="184">
        <v>5520.4451678348678</v>
      </c>
      <c r="P191" s="185">
        <v>1148.1840804128565</v>
      </c>
      <c r="Q191" s="172">
        <f t="shared" si="11"/>
        <v>1274.225340367952</v>
      </c>
      <c r="R191" s="184">
        <v>5958.3970505452735</v>
      </c>
      <c r="S191" s="185">
        <v>167.84779905693762</v>
      </c>
      <c r="T191" s="172">
        <f t="shared" si="12"/>
        <v>186.27319654739844</v>
      </c>
    </row>
    <row r="192" spans="1:20" x14ac:dyDescent="0.2">
      <c r="A192" s="164">
        <v>2</v>
      </c>
      <c r="C192" s="175">
        <f>+E192-E191</f>
        <v>205.01500500000003</v>
      </c>
      <c r="D192" s="167">
        <f>+G192-G191</f>
        <v>185.63411454999996</v>
      </c>
      <c r="E192" s="164">
        <v>404.19600000000003</v>
      </c>
      <c r="G192" s="164">
        <v>369.28699999999998</v>
      </c>
      <c r="I192" s="164">
        <v>134.30000000000001</v>
      </c>
      <c r="J192" s="164">
        <v>2</v>
      </c>
      <c r="L192" s="184">
        <v>23960.428184523811</v>
      </c>
      <c r="M192" s="185">
        <v>1011.581560458749</v>
      </c>
      <c r="N192" s="172">
        <f t="shared" si="10"/>
        <v>1111.7605236315067</v>
      </c>
      <c r="O192" s="184">
        <v>6388.5548321651322</v>
      </c>
      <c r="P192" s="185">
        <v>1133.7065185307133</v>
      </c>
      <c r="Q192" s="172">
        <f t="shared" si="11"/>
        <v>1245.9797627336802</v>
      </c>
      <c r="R192" s="184">
        <v>10154.602949454726</v>
      </c>
      <c r="S192" s="185">
        <v>176.1673175310234</v>
      </c>
      <c r="T192" s="172">
        <f t="shared" si="12"/>
        <v>193.61352246894305</v>
      </c>
    </row>
    <row r="193" spans="1:20" x14ac:dyDescent="0.2">
      <c r="A193" s="164">
        <v>3</v>
      </c>
      <c r="C193" s="175">
        <f>+E193-E192</f>
        <v>172.04383408071794</v>
      </c>
      <c r="D193" s="167">
        <f>+G193-G192</f>
        <v>153.21019910313902</v>
      </c>
      <c r="E193" s="164">
        <v>576.23983408071797</v>
      </c>
      <c r="G193" s="164">
        <v>522.497199103139</v>
      </c>
      <c r="I193" s="164">
        <v>134.19999999999999</v>
      </c>
      <c r="J193" s="164">
        <v>3</v>
      </c>
      <c r="L193" s="184">
        <v>18388.581422924897</v>
      </c>
      <c r="M193" s="185">
        <v>735.52528494140915</v>
      </c>
      <c r="N193" s="172">
        <f t="shared" si="10"/>
        <v>808.96819714867354</v>
      </c>
      <c r="O193" s="184">
        <v>11492.955434782609</v>
      </c>
      <c r="P193" s="185">
        <v>1323.3889549928699</v>
      </c>
      <c r="Q193" s="172">
        <f t="shared" si="11"/>
        <v>1455.5306241203248</v>
      </c>
      <c r="R193" s="184">
        <v>11786.02326086957</v>
      </c>
      <c r="S193" s="185">
        <v>172.41802435151402</v>
      </c>
      <c r="T193" s="172">
        <f t="shared" si="12"/>
        <v>189.63413110494392</v>
      </c>
    </row>
    <row r="194" spans="1:20" x14ac:dyDescent="0.2">
      <c r="A194" s="167">
        <v>4</v>
      </c>
      <c r="C194" s="175">
        <f>+E194-E193</f>
        <v>204.099832585949</v>
      </c>
      <c r="D194" s="167">
        <f>+G194-G193</f>
        <v>188.07946756352794</v>
      </c>
      <c r="E194" s="164">
        <v>780.33966666666697</v>
      </c>
      <c r="G194" s="164">
        <v>710.57666666666694</v>
      </c>
      <c r="I194" s="164">
        <v>135.30000000000001</v>
      </c>
      <c r="J194" s="164">
        <v>4</v>
      </c>
      <c r="L194" s="184">
        <v>18420.418577075106</v>
      </c>
      <c r="M194" s="184">
        <v>895.71090498583999</v>
      </c>
      <c r="N194" s="172">
        <f>M194/I194*$I$69</f>
        <v>977.13916907546172</v>
      </c>
      <c r="O194" s="184">
        <v>7745.0445652173912</v>
      </c>
      <c r="P194" s="184">
        <v>1212.6630411771803</v>
      </c>
      <c r="Q194" s="172">
        <f t="shared" si="11"/>
        <v>1322.905135829651</v>
      </c>
      <c r="R194" s="184">
        <v>11621.97673913043</v>
      </c>
      <c r="S194" s="184">
        <v>180.100371437175</v>
      </c>
      <c r="T194" s="172">
        <f t="shared" si="12"/>
        <v>196.47313247691815</v>
      </c>
    </row>
    <row r="195" spans="1:20" x14ac:dyDescent="0.2">
      <c r="A195" s="167">
        <v>1</v>
      </c>
      <c r="B195" s="164">
        <v>2014</v>
      </c>
      <c r="C195" s="175">
        <f>E195</f>
        <v>196.17699999999999</v>
      </c>
      <c r="D195" s="167">
        <f>G195</f>
        <v>179.55199999999999</v>
      </c>
      <c r="E195" s="164">
        <v>196.17699999999999</v>
      </c>
      <c r="G195" s="164">
        <v>179.55199999999999</v>
      </c>
      <c r="I195" s="164">
        <v>135.80000000000001</v>
      </c>
      <c r="J195" s="164">
        <f>A195</f>
        <v>1</v>
      </c>
      <c r="K195" s="164">
        <f>B195</f>
        <v>2014</v>
      </c>
      <c r="L195" s="184">
        <v>19713</v>
      </c>
      <c r="M195" s="184">
        <v>886.67647724495987</v>
      </c>
      <c r="N195" s="172">
        <f>M195/I195*$I$69</f>
        <v>963.72200325004462</v>
      </c>
      <c r="O195" s="184">
        <v>7032</v>
      </c>
      <c r="P195" s="184">
        <v>1484.9150299297401</v>
      </c>
      <c r="Q195" s="172">
        <f t="shared" ref="Q195" si="13">P195/I195*$I$69</f>
        <v>1613.9429927660501</v>
      </c>
      <c r="R195" s="184">
        <v>8004</v>
      </c>
      <c r="S195" s="184">
        <v>165.16263465729782</v>
      </c>
      <c r="T195" s="172">
        <f t="shared" ref="T195" si="14">S195/I195*$I$69</f>
        <v>179.51402706492749</v>
      </c>
    </row>
    <row r="196" spans="1:20" x14ac:dyDescent="0.2">
      <c r="A196" s="164">
        <v>2</v>
      </c>
      <c r="C196" s="175">
        <f>+E196-E195</f>
        <v>197.965</v>
      </c>
      <c r="D196" s="167">
        <f>+G196-G195</f>
        <v>179.76700000000002</v>
      </c>
      <c r="E196" s="164">
        <v>394.142</v>
      </c>
      <c r="G196" s="164">
        <v>359.31900000000002</v>
      </c>
      <c r="I196" s="164">
        <v>136.69999999999999</v>
      </c>
      <c r="J196" s="164">
        <v>2</v>
      </c>
      <c r="L196" s="184">
        <v>16691</v>
      </c>
      <c r="M196" s="184">
        <v>732.96206934555016</v>
      </c>
      <c r="N196" s="172">
        <f t="shared" ref="N196:N214" si="15">M196/I196*$I$69</f>
        <v>791.40600903733139</v>
      </c>
      <c r="O196" s="184">
        <v>6228</v>
      </c>
      <c r="P196" s="184">
        <v>1158.7677611998799</v>
      </c>
      <c r="Q196" s="172">
        <f t="shared" si="11"/>
        <v>1251.1640201397388</v>
      </c>
      <c r="R196" s="184">
        <v>11579</v>
      </c>
      <c r="S196" s="184">
        <v>167.32102845142202</v>
      </c>
      <c r="T196" s="172">
        <f t="shared" si="12"/>
        <v>180.662646667373</v>
      </c>
    </row>
    <row r="197" spans="1:20" x14ac:dyDescent="0.2">
      <c r="A197" s="164">
        <v>3</v>
      </c>
      <c r="C197" s="175">
        <f>+E197-E196</f>
        <v>192.10452006852</v>
      </c>
      <c r="D197" s="167">
        <f>+G197-G196</f>
        <v>173.47352006851992</v>
      </c>
      <c r="E197" s="164">
        <v>586.24652006852</v>
      </c>
      <c r="G197" s="164">
        <v>532.79252006851993</v>
      </c>
      <c r="I197" s="164">
        <v>137</v>
      </c>
      <c r="J197" s="164">
        <v>3</v>
      </c>
      <c r="L197" s="184">
        <v>21817</v>
      </c>
      <c r="M197" s="184">
        <v>1080.59231996894</v>
      </c>
      <c r="N197" s="172">
        <f t="shared" si="15"/>
        <v>1164.2001929008434</v>
      </c>
      <c r="O197" s="184">
        <v>20407</v>
      </c>
      <c r="P197" s="184">
        <v>1259.8740491119995</v>
      </c>
      <c r="Q197" s="172">
        <f t="shared" si="11"/>
        <v>1357.3533551016872</v>
      </c>
      <c r="R197" s="184">
        <v>11684</v>
      </c>
      <c r="S197" s="184">
        <v>177.03184293206914</v>
      </c>
      <c r="T197" s="172">
        <f t="shared" si="12"/>
        <v>190.72919720272557</v>
      </c>
    </row>
    <row r="198" spans="1:20" x14ac:dyDescent="0.2">
      <c r="A198" s="164">
        <v>4</v>
      </c>
      <c r="C198" s="175">
        <f>+E198-E197</f>
        <v>196.808833167682</v>
      </c>
      <c r="D198" s="167">
        <f>+G198-G197</f>
        <v>184.73883316768206</v>
      </c>
      <c r="E198" s="164">
        <v>783.055353236202</v>
      </c>
      <c r="G198" s="164">
        <v>717.53135323620199</v>
      </c>
      <c r="I198" s="164">
        <v>137.9</v>
      </c>
      <c r="J198" s="164">
        <v>4</v>
      </c>
      <c r="L198" s="184">
        <v>20183</v>
      </c>
      <c r="M198" s="184">
        <v>869.67426416194962</v>
      </c>
      <c r="N198" s="172">
        <f t="shared" si="15"/>
        <v>930.84787085064363</v>
      </c>
      <c r="O198" s="184">
        <v>12863</v>
      </c>
      <c r="P198" s="184">
        <v>1106.850761909501</v>
      </c>
      <c r="Q198" s="172">
        <f t="shared" si="11"/>
        <v>1184.7075595202489</v>
      </c>
      <c r="R198" s="184">
        <v>9690</v>
      </c>
      <c r="S198" s="184">
        <v>175.42101671448501</v>
      </c>
      <c r="T198" s="172">
        <f t="shared" si="12"/>
        <v>187.76027604828124</v>
      </c>
    </row>
    <row r="199" spans="1:20" x14ac:dyDescent="0.2">
      <c r="A199" s="164">
        <v>1</v>
      </c>
      <c r="B199" s="164">
        <v>2015</v>
      </c>
      <c r="C199" s="175">
        <f>E199</f>
        <v>219.418599054541</v>
      </c>
      <c r="D199" s="167">
        <f>G199</f>
        <v>202.59159905454101</v>
      </c>
      <c r="E199" s="164">
        <v>219.418599054541</v>
      </c>
      <c r="G199" s="164">
        <v>202.59159905454101</v>
      </c>
      <c r="I199" s="164">
        <v>138.4</v>
      </c>
      <c r="J199" s="164">
        <v>1</v>
      </c>
      <c r="K199" s="164">
        <v>2015</v>
      </c>
      <c r="L199" s="184">
        <v>19630</v>
      </c>
      <c r="M199" s="184">
        <v>957.60520650282388</v>
      </c>
      <c r="N199" s="172">
        <f t="shared" si="15"/>
        <v>1021.2610439293121</v>
      </c>
      <c r="O199" s="184">
        <v>9848</v>
      </c>
      <c r="P199" s="184">
        <v>1279.8360091262539</v>
      </c>
      <c r="Q199" s="172">
        <f t="shared" si="11"/>
        <v>1364.9118132011204</v>
      </c>
      <c r="R199" s="184">
        <v>7135</v>
      </c>
      <c r="S199" s="184">
        <v>155.36971992416409</v>
      </c>
      <c r="T199" s="172">
        <f t="shared" si="12"/>
        <v>165.69776489022124</v>
      </c>
    </row>
    <row r="200" spans="1:20" x14ac:dyDescent="0.2">
      <c r="A200" s="164">
        <v>2</v>
      </c>
      <c r="C200" s="175">
        <f>+E200-E199</f>
        <v>188.69592411436798</v>
      </c>
      <c r="D200" s="167">
        <f>+G200-G199</f>
        <v>171.45081948058601</v>
      </c>
      <c r="E200" s="164">
        <v>408.11452316890899</v>
      </c>
      <c r="G200" s="164">
        <v>374.04241853512701</v>
      </c>
      <c r="I200" s="164">
        <v>139.6</v>
      </c>
      <c r="J200" s="164">
        <v>2</v>
      </c>
      <c r="L200" s="184">
        <v>15703.949675889351</v>
      </c>
      <c r="M200" s="184">
        <v>739.71582874915612</v>
      </c>
      <c r="N200" s="172">
        <f t="shared" si="15"/>
        <v>782.10642065455181</v>
      </c>
      <c r="O200" s="184">
        <v>5422.7168724637304</v>
      </c>
      <c r="P200" s="184">
        <v>1206.7408437095464</v>
      </c>
      <c r="Q200" s="172">
        <f t="shared" si="11"/>
        <v>1275.8950467874574</v>
      </c>
      <c r="R200" s="184">
        <v>9988.3050621118018</v>
      </c>
      <c r="S200" s="184">
        <v>168.85276765034422</v>
      </c>
      <c r="T200" s="172">
        <f t="shared" si="12"/>
        <v>178.52914401999143</v>
      </c>
    </row>
    <row r="201" spans="1:20" x14ac:dyDescent="0.2">
      <c r="A201" s="164">
        <v>3</v>
      </c>
      <c r="C201" s="175">
        <f>+E201-E200</f>
        <v>180.38826158445403</v>
      </c>
      <c r="D201" s="167">
        <f>+G201-G200</f>
        <v>162.29720926756397</v>
      </c>
      <c r="E201" s="164">
        <v>588.50278475336302</v>
      </c>
      <c r="G201" s="164">
        <v>536.33962780269098</v>
      </c>
      <c r="I201" s="164">
        <v>139.69999999999999</v>
      </c>
      <c r="J201" s="164">
        <v>3</v>
      </c>
      <c r="L201" s="184">
        <v>22728.974837944646</v>
      </c>
      <c r="M201" s="184">
        <v>979.87465749478997</v>
      </c>
      <c r="N201" s="172">
        <f t="shared" si="15"/>
        <v>1035.2863238813959</v>
      </c>
      <c r="O201" s="184">
        <v>8619.8584362319707</v>
      </c>
      <c r="P201" s="184">
        <v>1341.1049733657396</v>
      </c>
      <c r="Q201" s="172">
        <f t="shared" si="11"/>
        <v>1416.9441236133371</v>
      </c>
      <c r="R201" s="184">
        <v>10649.652531055901</v>
      </c>
      <c r="S201" s="184">
        <v>131.16322330640469</v>
      </c>
      <c r="T201" s="172">
        <f t="shared" si="12"/>
        <v>138.58047072315915</v>
      </c>
    </row>
    <row r="202" spans="1:20" x14ac:dyDescent="0.2">
      <c r="A202" s="164">
        <v>4</v>
      </c>
      <c r="C202" s="175">
        <f>+E202-E201</f>
        <v>195.22963867497901</v>
      </c>
      <c r="D202" s="167">
        <f>+G202-G201</f>
        <v>179.89113138755602</v>
      </c>
      <c r="E202" s="164">
        <v>783.73242342834203</v>
      </c>
      <c r="G202" s="164">
        <v>716.230759190247</v>
      </c>
      <c r="I202" s="164">
        <v>141.69999999999999</v>
      </c>
      <c r="J202" s="164">
        <v>4</v>
      </c>
      <c r="L202" s="184">
        <v>17661.404213438705</v>
      </c>
      <c r="M202" s="184">
        <v>882.4718984768997</v>
      </c>
      <c r="N202" s="172">
        <f t="shared" si="15"/>
        <v>919.21561196323501</v>
      </c>
      <c r="O202" s="184">
        <v>7193.856491304301</v>
      </c>
      <c r="P202" s="184">
        <v>1425.3376484527203</v>
      </c>
      <c r="Q202" s="172">
        <f t="shared" si="11"/>
        <v>1484.6848053043157</v>
      </c>
      <c r="R202" s="184">
        <v>9159.825978260902</v>
      </c>
      <c r="S202" s="184">
        <v>158.55842389179503</v>
      </c>
      <c r="T202" s="172">
        <f t="shared" si="12"/>
        <v>165.16036250126285</v>
      </c>
    </row>
    <row r="203" spans="1:20" x14ac:dyDescent="0.2">
      <c r="A203" s="164">
        <v>1</v>
      </c>
      <c r="B203" s="164">
        <v>2016</v>
      </c>
      <c r="C203" s="175">
        <f>E203</f>
        <v>217.297581707322</v>
      </c>
      <c r="D203" s="167">
        <f>G203</f>
        <v>201.19677375494101</v>
      </c>
      <c r="E203" s="164">
        <v>217.297581707322</v>
      </c>
      <c r="G203" s="164">
        <v>201.19677375494101</v>
      </c>
      <c r="I203" s="164">
        <v>142.69999999999999</v>
      </c>
      <c r="J203" s="164">
        <v>1</v>
      </c>
      <c r="K203" s="164">
        <v>2016</v>
      </c>
      <c r="L203" s="184">
        <v>20668.165818181998</v>
      </c>
      <c r="M203" s="184">
        <v>1021.6300324660001</v>
      </c>
      <c r="N203" s="172">
        <f t="shared" si="15"/>
        <v>1056.7105311281123</v>
      </c>
      <c r="O203" s="184">
        <v>6682.5362000000005</v>
      </c>
      <c r="P203" s="184">
        <v>1267.176908724</v>
      </c>
      <c r="Q203" s="172">
        <f t="shared" si="11"/>
        <v>1310.6889399275572</v>
      </c>
      <c r="R203" s="184">
        <v>6340.7358571430004</v>
      </c>
      <c r="S203" s="184">
        <v>128.592957756</v>
      </c>
      <c r="T203" s="172">
        <f t="shared" si="12"/>
        <v>133.00855336219763</v>
      </c>
    </row>
    <row r="204" spans="1:20" x14ac:dyDescent="0.2">
      <c r="A204" s="164">
        <v>2</v>
      </c>
      <c r="C204" s="175">
        <f>+E204-E203</f>
        <v>210.94903078835901</v>
      </c>
      <c r="D204" s="167">
        <f>+G204-G203</f>
        <v>192.89311593057502</v>
      </c>
      <c r="E204" s="164">
        <v>428.24661249568101</v>
      </c>
      <c r="G204" s="164">
        <v>394.08988968551603</v>
      </c>
      <c r="I204" s="164">
        <v>144.30000000000001</v>
      </c>
      <c r="J204" s="164">
        <v>2</v>
      </c>
      <c r="L204" s="184">
        <v>19039.287573122998</v>
      </c>
      <c r="M204" s="184">
        <v>795.20392340999979</v>
      </c>
      <c r="N204" s="172">
        <f t="shared" si="15"/>
        <v>813.38946011999974</v>
      </c>
      <c r="O204" s="184">
        <v>5385.3991579709982</v>
      </c>
      <c r="P204" s="184">
        <v>991.5183596400002</v>
      </c>
      <c r="Q204" s="172">
        <f t="shared" si="11"/>
        <v>1014.1934156816633</v>
      </c>
      <c r="R204" s="184">
        <v>10107.700518632999</v>
      </c>
      <c r="S204" s="184">
        <v>152.61472035099999</v>
      </c>
      <c r="T204" s="172">
        <f t="shared" si="12"/>
        <v>156.10486988085654</v>
      </c>
    </row>
    <row r="205" spans="1:20" x14ac:dyDescent="0.2">
      <c r="A205" s="164">
        <v>3</v>
      </c>
      <c r="C205" s="175">
        <f>+E205-E204</f>
        <v>193.64755294266695</v>
      </c>
      <c r="D205" s="167">
        <f>+G205-G204</f>
        <v>175.641874720337</v>
      </c>
      <c r="E205" s="164">
        <v>621.89416543834795</v>
      </c>
      <c r="G205" s="164">
        <v>569.73176440585303</v>
      </c>
      <c r="I205" s="164">
        <v>145.30000000000001</v>
      </c>
      <c r="J205" s="164">
        <v>3</v>
      </c>
      <c r="L205" s="184">
        <v>25325.005330874006</v>
      </c>
      <c r="M205" s="184">
        <v>1404.3111468839998</v>
      </c>
      <c r="N205" s="172">
        <f t="shared" si="15"/>
        <v>1426.5404355132714</v>
      </c>
      <c r="O205" s="184">
        <v>9666.7747891530034</v>
      </c>
      <c r="P205" s="184">
        <v>1492.4533452979995</v>
      </c>
      <c r="Q205" s="172">
        <f t="shared" si="11"/>
        <v>1516.0778648725718</v>
      </c>
      <c r="R205" s="184">
        <v>10325.156290487997</v>
      </c>
      <c r="S205" s="184">
        <v>149.15188867200001</v>
      </c>
      <c r="T205" s="172">
        <f t="shared" si="12"/>
        <v>151.5128614451975</v>
      </c>
    </row>
    <row r="206" spans="1:20" x14ac:dyDescent="0.2">
      <c r="A206" s="164">
        <v>4</v>
      </c>
      <c r="C206" s="175">
        <f>+E206-E205</f>
        <v>194.66297676649504</v>
      </c>
      <c r="D206" s="167">
        <f>+G206-G205</f>
        <v>178.45454935802093</v>
      </c>
      <c r="E206" s="164">
        <v>816.55714220484299</v>
      </c>
      <c r="G206" s="164">
        <v>748.18631376387395</v>
      </c>
      <c r="I206" s="164">
        <v>146.69999999999999</v>
      </c>
      <c r="J206" s="164">
        <v>4</v>
      </c>
      <c r="L206" s="184">
        <v>18369.446222722992</v>
      </c>
      <c r="M206" s="184">
        <v>962.00640138500057</v>
      </c>
      <c r="N206" s="172">
        <f t="shared" si="15"/>
        <v>967.90828114809881</v>
      </c>
      <c r="O206" s="184">
        <v>6575.4640743699983</v>
      </c>
      <c r="P206" s="184">
        <v>1222.1149542560006</v>
      </c>
      <c r="Q206" s="172">
        <f t="shared" si="11"/>
        <v>1229.6125920121724</v>
      </c>
      <c r="R206" s="184">
        <v>7957.0224983410008</v>
      </c>
      <c r="S206" s="184">
        <v>147.86469469900001</v>
      </c>
      <c r="T206" s="172">
        <f t="shared" si="12"/>
        <v>148.77184006525155</v>
      </c>
    </row>
    <row r="207" spans="1:20" x14ac:dyDescent="0.2">
      <c r="A207" s="164">
        <v>1</v>
      </c>
      <c r="B207" s="164">
        <v>2017</v>
      </c>
      <c r="C207" s="175">
        <f>E207</f>
        <v>227.02914608932699</v>
      </c>
      <c r="D207" s="167">
        <f>G207</f>
        <v>210.737716871462</v>
      </c>
      <c r="E207" s="164">
        <v>227.02914608932699</v>
      </c>
      <c r="G207" s="164">
        <v>210.737716871462</v>
      </c>
      <c r="I207" s="164">
        <v>146.4</v>
      </c>
      <c r="J207" s="164">
        <v>1</v>
      </c>
      <c r="K207" s="164">
        <v>2017</v>
      </c>
      <c r="L207" s="184">
        <v>20188.970584052</v>
      </c>
      <c r="M207" s="184">
        <v>1029.1484993670001</v>
      </c>
      <c r="N207" s="172">
        <f t="shared" si="15"/>
        <v>1037.5841428044344</v>
      </c>
      <c r="O207" s="184">
        <v>7124.2571060979999</v>
      </c>
      <c r="P207" s="184">
        <v>1296.4468783369998</v>
      </c>
      <c r="Q207" s="172">
        <f t="shared" si="11"/>
        <v>1307.0734920938605</v>
      </c>
      <c r="R207" s="184">
        <v>6121.3819215860003</v>
      </c>
      <c r="S207" s="184">
        <v>141.149656131</v>
      </c>
      <c r="T207" s="172">
        <f t="shared" si="12"/>
        <v>142.30662052551639</v>
      </c>
    </row>
    <row r="208" spans="1:20" x14ac:dyDescent="0.2">
      <c r="A208" s="164">
        <v>2</v>
      </c>
      <c r="C208" s="175">
        <f>+E208-E207</f>
        <v>200.76722202181199</v>
      </c>
      <c r="D208" s="167">
        <f>+G208-G207</f>
        <v>183.70797761744905</v>
      </c>
      <c r="E208" s="164">
        <v>427.79636811113897</v>
      </c>
      <c r="G208" s="164">
        <v>394.44569448891104</v>
      </c>
      <c r="I208" s="164">
        <v>147.4</v>
      </c>
      <c r="J208" s="164">
        <v>2</v>
      </c>
      <c r="L208" s="184">
        <v>16357.538075795001</v>
      </c>
      <c r="M208" s="184">
        <v>768.50776898899994</v>
      </c>
      <c r="N208" s="172">
        <f t="shared" si="15"/>
        <v>769.55052037161727</v>
      </c>
      <c r="O208" s="184">
        <v>5007.3623026510004</v>
      </c>
      <c r="P208" s="184">
        <v>1681.8190342150001</v>
      </c>
      <c r="Q208" s="172">
        <f t="shared" si="11"/>
        <v>1684.1010139086432</v>
      </c>
      <c r="R208" s="184">
        <v>7194.9193664359991</v>
      </c>
      <c r="S208" s="184">
        <v>119.946167266</v>
      </c>
      <c r="T208" s="172">
        <f t="shared" si="12"/>
        <v>120.10891647531614</v>
      </c>
    </row>
    <row r="209" spans="1:20" x14ac:dyDescent="0.2">
      <c r="A209" s="164">
        <v>3</v>
      </c>
      <c r="C209" s="175">
        <f>+E209-E208</f>
        <v>195.05863188886104</v>
      </c>
      <c r="D209" s="167">
        <f>+G209-G208</f>
        <v>176.76630551108894</v>
      </c>
      <c r="E209" s="164">
        <v>622.85500000000002</v>
      </c>
      <c r="G209" s="164">
        <v>571.21199999999999</v>
      </c>
      <c r="I209" s="164">
        <v>147.30000000000001</v>
      </c>
      <c r="J209" s="164">
        <v>3</v>
      </c>
      <c r="L209" s="184">
        <v>19399</v>
      </c>
      <c r="M209" s="184">
        <v>907</v>
      </c>
      <c r="N209" s="172">
        <f t="shared" si="15"/>
        <v>908.84725050916484</v>
      </c>
      <c r="O209" s="184">
        <v>8892</v>
      </c>
      <c r="P209" s="184">
        <v>954</v>
      </c>
      <c r="Q209" s="172">
        <f t="shared" si="11"/>
        <v>955.94297352342141</v>
      </c>
      <c r="R209" s="184">
        <v>8727</v>
      </c>
      <c r="S209" s="184">
        <v>128</v>
      </c>
      <c r="T209" s="172">
        <f t="shared" si="12"/>
        <v>128.26069246435844</v>
      </c>
    </row>
    <row r="210" spans="1:20" x14ac:dyDescent="0.2">
      <c r="A210" s="164">
        <v>4</v>
      </c>
      <c r="C210" s="175">
        <f>+E210-E209</f>
        <v>225.423</v>
      </c>
      <c r="D210" s="167">
        <f>+G210-G209</f>
        <v>208.21799999999996</v>
      </c>
      <c r="E210" s="164">
        <v>848.27800000000002</v>
      </c>
      <c r="G210" s="164">
        <v>779.43</v>
      </c>
      <c r="I210" s="164">
        <v>148.4</v>
      </c>
      <c r="J210" s="164">
        <v>4</v>
      </c>
      <c r="L210" s="184">
        <v>23333</v>
      </c>
      <c r="M210" s="184">
        <v>1141</v>
      </c>
      <c r="N210" s="172">
        <f t="shared" si="15"/>
        <v>1134.8490566037735</v>
      </c>
      <c r="O210" s="184">
        <v>6366</v>
      </c>
      <c r="P210" s="184">
        <v>1205</v>
      </c>
      <c r="Q210" s="172">
        <f t="shared" si="11"/>
        <v>1198.5040431266843</v>
      </c>
      <c r="R210" s="184">
        <v>7520</v>
      </c>
      <c r="S210" s="184">
        <v>124</v>
      </c>
      <c r="T210" s="172">
        <f t="shared" si="12"/>
        <v>123.33153638814017</v>
      </c>
    </row>
    <row r="211" spans="1:20" x14ac:dyDescent="0.2">
      <c r="A211" s="164">
        <v>1</v>
      </c>
      <c r="B211" s="164">
        <v>2018</v>
      </c>
      <c r="C211" s="175">
        <f>E211</f>
        <v>241.52799999999999</v>
      </c>
      <c r="D211" s="175">
        <f>G211</f>
        <v>222.678</v>
      </c>
      <c r="E211" s="164">
        <v>241.52799999999999</v>
      </c>
      <c r="G211" s="164">
        <v>222.678</v>
      </c>
      <c r="I211" s="164">
        <v>149.69999999999999</v>
      </c>
      <c r="J211" s="164">
        <v>1</v>
      </c>
      <c r="K211" s="164">
        <v>2018</v>
      </c>
      <c r="L211" s="184">
        <v>25111</v>
      </c>
      <c r="M211" s="184">
        <v>1175</v>
      </c>
      <c r="N211" s="172">
        <f t="shared" si="15"/>
        <v>1158.5170340681364</v>
      </c>
      <c r="O211" s="184">
        <v>6317</v>
      </c>
      <c r="P211" s="184">
        <v>1262</v>
      </c>
      <c r="Q211" s="172">
        <f t="shared" si="11"/>
        <v>1244.2965931863728</v>
      </c>
      <c r="R211" s="184">
        <v>5433</v>
      </c>
      <c r="S211" s="184">
        <v>116</v>
      </c>
      <c r="T211" s="172">
        <f t="shared" si="12"/>
        <v>114.37274549098197</v>
      </c>
    </row>
    <row r="212" spans="1:20" x14ac:dyDescent="0.2">
      <c r="A212" s="164">
        <v>2</v>
      </c>
      <c r="C212" s="175">
        <f>+E212-E211</f>
        <v>226.77080239162902</v>
      </c>
      <c r="D212" s="175">
        <f>+G212-G211</f>
        <v>208.83864191330298</v>
      </c>
      <c r="E212" s="164">
        <v>468.29880239162901</v>
      </c>
      <c r="G212" s="164">
        <v>431.51664191330298</v>
      </c>
      <c r="I212" s="164">
        <v>150.80000000000001</v>
      </c>
      <c r="J212" s="164">
        <v>2</v>
      </c>
      <c r="L212" s="184">
        <v>20973.437462450995</v>
      </c>
      <c r="M212" s="184">
        <v>1076.7915513600001</v>
      </c>
      <c r="N212" s="172">
        <f t="shared" si="15"/>
        <v>1053.9418632674801</v>
      </c>
      <c r="O212" s="184">
        <v>5869.5992710140017</v>
      </c>
      <c r="P212" s="184">
        <v>1471.9660798479999</v>
      </c>
      <c r="Q212" s="172">
        <f t="shared" si="11"/>
        <v>1440.7307253684667</v>
      </c>
      <c r="R212" s="184">
        <v>9319.6839472049996</v>
      </c>
      <c r="S212" s="184">
        <v>135.61776245999999</v>
      </c>
      <c r="T212" s="172">
        <f t="shared" si="12"/>
        <v>132.73993195687001</v>
      </c>
    </row>
    <row r="213" spans="1:20" x14ac:dyDescent="0.2">
      <c r="A213" s="164">
        <v>3</v>
      </c>
      <c r="C213" s="175">
        <f>+E213-E212</f>
        <v>230.04425590433516</v>
      </c>
      <c r="D213" s="175">
        <f>+G213-G212</f>
        <v>207.39460472346838</v>
      </c>
      <c r="E213" s="164">
        <v>698.34305829596417</v>
      </c>
      <c r="G213" s="164">
        <v>638.91124663677135</v>
      </c>
      <c r="I213" s="164">
        <v>152.30000000000001</v>
      </c>
      <c r="J213" s="164">
        <v>3</v>
      </c>
      <c r="L213" s="184">
        <v>22635.655438734771</v>
      </c>
      <c r="M213" s="184">
        <v>1212.1884087902995</v>
      </c>
      <c r="N213" s="172">
        <f t="shared" si="15"/>
        <v>1174.7800993923058</v>
      </c>
      <c r="O213" s="184">
        <v>10333.380031159912</v>
      </c>
      <c r="P213" s="184">
        <v>1822.4517080118057</v>
      </c>
      <c r="Q213" s="172">
        <f t="shared" si="11"/>
        <v>1766.210585046241</v>
      </c>
      <c r="R213" s="184">
        <v>9726.2967189440697</v>
      </c>
      <c r="S213" s="184">
        <v>150.27129325880639</v>
      </c>
      <c r="T213" s="172">
        <f t="shared" si="12"/>
        <v>145.63389944188984</v>
      </c>
    </row>
    <row r="214" spans="1:20" x14ac:dyDescent="0.2">
      <c r="A214" s="164">
        <v>4</v>
      </c>
      <c r="C214" s="175">
        <f>+E214-E213</f>
        <v>212.66674917787736</v>
      </c>
      <c r="D214" s="175">
        <f>+G214-G213</f>
        <v>195.66619934230198</v>
      </c>
      <c r="E214" s="186">
        <v>911.00980747384153</v>
      </c>
      <c r="F214" s="186"/>
      <c r="G214" s="186">
        <v>834.57744597907333</v>
      </c>
      <c r="I214" s="164">
        <v>153.6</v>
      </c>
      <c r="J214" s="164">
        <v>4</v>
      </c>
      <c r="L214" s="184">
        <v>22335.438371541502</v>
      </c>
      <c r="M214" s="184">
        <v>1078.6341079945755</v>
      </c>
      <c r="N214" s="172">
        <f t="shared" si="15"/>
        <v>1036.4999631510373</v>
      </c>
      <c r="O214" s="184">
        <v>7362.2217963768126</v>
      </c>
      <c r="P214" s="184">
        <v>1452.0805351783911</v>
      </c>
      <c r="Q214" s="172">
        <f t="shared" si="11"/>
        <v>1395.3586392729851</v>
      </c>
      <c r="R214" s="184">
        <v>8182.2589673913026</v>
      </c>
      <c r="S214" s="184">
        <v>116.53210966099653</v>
      </c>
      <c r="T214" s="172">
        <f t="shared" si="12"/>
        <v>111.98007412736385</v>
      </c>
    </row>
    <row r="215" spans="1:20" x14ac:dyDescent="0.2">
      <c r="E215" s="168" t="s">
        <v>110</v>
      </c>
      <c r="J215" s="187"/>
      <c r="K215" s="188" t="s">
        <v>161</v>
      </c>
      <c r="L215" s="189">
        <f>L216-SUM(L211:L213)</f>
        <v>22335.438371541502</v>
      </c>
      <c r="M215" s="189">
        <f>M216-SUM(M211:M213)</f>
        <v>1078.6341079945755</v>
      </c>
      <c r="N215" s="190" t="s">
        <v>175</v>
      </c>
      <c r="O215" s="189">
        <f>O216-SUM(O211:O213)</f>
        <v>7362.2217963768126</v>
      </c>
      <c r="P215" s="189">
        <f>P216-SUM(P211:P213)</f>
        <v>1452.0805351783911</v>
      </c>
      <c r="Q215" s="190" t="s">
        <v>175</v>
      </c>
      <c r="R215" s="189">
        <f>R216-SUM(R211:R213)</f>
        <v>8182.2589673913026</v>
      </c>
      <c r="S215" s="189">
        <f>S216-SUM(S211:S213)</f>
        <v>116.53210966099653</v>
      </c>
      <c r="T215" s="191" t="s">
        <v>175</v>
      </c>
    </row>
    <row r="216" spans="1:20" x14ac:dyDescent="0.2">
      <c r="E216" s="183">
        <f>IF('Tab5'!E8="",'Tab5'!E7,'Tab5'!E8)/1000</f>
        <v>911.00980747384153</v>
      </c>
      <c r="G216" s="183">
        <f>IF('Tab5'!E10="",'Tab5'!E9,'Tab5'!E10)/1000</f>
        <v>834.57744597907333</v>
      </c>
      <c r="K216" s="170" t="s">
        <v>189</v>
      </c>
      <c r="L216" s="192">
        <f>SUM('Tab7'!E11,'Tab11'!E11)</f>
        <v>91055.531272727269</v>
      </c>
      <c r="M216" s="193">
        <f>SUM('Tab7'!E39,'Tab11'!E39)</f>
        <v>4542.6140681448751</v>
      </c>
      <c r="N216" s="194" t="s">
        <v>174</v>
      </c>
      <c r="O216" s="192">
        <f>SUM('Tab7'!E9,'Tab11'!E9)</f>
        <v>29882.201098550726</v>
      </c>
      <c r="P216" s="193">
        <f>SUM('Tab7'!E37,'Tab11'!E37)</f>
        <v>6008.4983230381968</v>
      </c>
      <c r="Q216" s="194" t="s">
        <v>174</v>
      </c>
      <c r="R216" s="192">
        <f>SUM('Tab7'!E13,'Tab11'!E13)</f>
        <v>32661.239633540372</v>
      </c>
      <c r="S216" s="193">
        <f>SUM('Tab7'!E41,'Tab11'!E41)</f>
        <v>518.42116537980291</v>
      </c>
      <c r="T216" s="194" t="s">
        <v>174</v>
      </c>
    </row>
    <row r="217" spans="1:20" x14ac:dyDescent="0.2">
      <c r="K217" s="170" t="s">
        <v>188</v>
      </c>
      <c r="L217" s="192">
        <f>SUM('Tab7'!E12,'Tab11'!E12)</f>
        <v>0</v>
      </c>
      <c r="M217" s="193">
        <f>SUM('Tab7'!E40,'Tab11'!E40)</f>
        <v>0</v>
      </c>
      <c r="N217" s="194" t="s">
        <v>174</v>
      </c>
      <c r="O217" s="192">
        <f>SUM('Tab7'!E10,'Tab11'!E10)</f>
        <v>0</v>
      </c>
      <c r="P217" s="193">
        <f>SUM('Tab7'!E38,'Tab11'!E38)</f>
        <v>0</v>
      </c>
      <c r="Q217" s="194" t="s">
        <v>174</v>
      </c>
      <c r="R217" s="192">
        <f>SUM('Tab7'!E14,'Tab11'!E14)</f>
        <v>0</v>
      </c>
      <c r="S217" s="193">
        <f>SUM('Tab7'!E42,'Tab11'!E42)</f>
        <v>0</v>
      </c>
      <c r="T217" s="194" t="s">
        <v>174</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ignoredErrors>
    <ignoredError sqref="L215:L21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x14ac:dyDescent="0.2">
      <c r="A7" s="201" t="s">
        <v>2</v>
      </c>
      <c r="B7" s="19" t="s">
        <v>3</v>
      </c>
      <c r="C7" s="20">
        <v>1873571.660366575</v>
      </c>
      <c r="D7" s="20">
        <v>1914669.0099414669</v>
      </c>
      <c r="E7" s="79">
        <v>2123054.1395823145</v>
      </c>
      <c r="F7" s="22" t="s">
        <v>240</v>
      </c>
      <c r="G7" s="23">
        <v>13.315876008015977</v>
      </c>
      <c r="H7" s="24">
        <v>10.883611138993587</v>
      </c>
    </row>
    <row r="8" spans="1:8" x14ac:dyDescent="0.2">
      <c r="A8" s="202"/>
      <c r="B8" s="25" t="s">
        <v>240</v>
      </c>
      <c r="C8" s="26" t="s">
        <v>240</v>
      </c>
      <c r="D8" s="26" t="s">
        <v>240</v>
      </c>
      <c r="E8" s="26" t="s">
        <v>240</v>
      </c>
      <c r="F8" s="27"/>
      <c r="G8" s="28" t="s">
        <v>240</v>
      </c>
      <c r="H8" s="29" t="s">
        <v>240</v>
      </c>
    </row>
    <row r="9" spans="1:8" x14ac:dyDescent="0.2">
      <c r="A9" s="30" t="s">
        <v>4</v>
      </c>
      <c r="B9" s="31" t="s">
        <v>3</v>
      </c>
      <c r="C9" s="20">
        <v>673665.88803001971</v>
      </c>
      <c r="D9" s="20">
        <v>659386.10059192823</v>
      </c>
      <c r="E9" s="20">
        <v>684198.20020328846</v>
      </c>
      <c r="F9" s="22" t="s">
        <v>240</v>
      </c>
      <c r="G9" s="32">
        <v>1.5634326096083129</v>
      </c>
      <c r="H9" s="33">
        <v>3.7629091042541631</v>
      </c>
    </row>
    <row r="10" spans="1:8" x14ac:dyDescent="0.2">
      <c r="A10" s="34"/>
      <c r="B10" s="25" t="s">
        <v>240</v>
      </c>
      <c r="C10" s="26" t="s">
        <v>240</v>
      </c>
      <c r="D10" s="26" t="s">
        <v>240</v>
      </c>
      <c r="E10" s="26" t="s">
        <v>240</v>
      </c>
      <c r="F10" s="27"/>
      <c r="G10" s="28" t="s">
        <v>240</v>
      </c>
      <c r="H10" s="29" t="s">
        <v>240</v>
      </c>
    </row>
    <row r="11" spans="1:8" x14ac:dyDescent="0.2">
      <c r="A11" s="30" t="s">
        <v>5</v>
      </c>
      <c r="B11" s="31" t="s">
        <v>3</v>
      </c>
      <c r="C11" s="20">
        <v>142891.25417482329</v>
      </c>
      <c r="D11" s="20">
        <v>188881.58277912228</v>
      </c>
      <c r="E11" s="20">
        <v>226811.60727055313</v>
      </c>
      <c r="F11" s="22" t="s">
        <v>240</v>
      </c>
      <c r="G11" s="37">
        <v>58.730223609805904</v>
      </c>
      <c r="H11" s="33">
        <v>20.081377937088845</v>
      </c>
    </row>
    <row r="12" spans="1:8" x14ac:dyDescent="0.2">
      <c r="A12" s="34"/>
      <c r="B12" s="25" t="s">
        <v>240</v>
      </c>
      <c r="C12" s="26" t="s">
        <v>240</v>
      </c>
      <c r="D12" s="26" t="s">
        <v>240</v>
      </c>
      <c r="E12" s="26" t="s">
        <v>240</v>
      </c>
      <c r="F12" s="27"/>
      <c r="G12" s="28" t="s">
        <v>240</v>
      </c>
      <c r="H12" s="29" t="s">
        <v>240</v>
      </c>
    </row>
    <row r="13" spans="1:8" x14ac:dyDescent="0.2">
      <c r="A13" s="30" t="s">
        <v>6</v>
      </c>
      <c r="B13" s="31" t="s">
        <v>3</v>
      </c>
      <c r="C13" s="20">
        <v>334517.38835614501</v>
      </c>
      <c r="D13" s="20">
        <v>312410.11965267966</v>
      </c>
      <c r="E13" s="20">
        <v>402881.93909904256</v>
      </c>
      <c r="F13" s="22" t="s">
        <v>240</v>
      </c>
      <c r="G13" s="23">
        <v>20.436770440797829</v>
      </c>
      <c r="H13" s="24">
        <v>28.959311416334572</v>
      </c>
    </row>
    <row r="14" spans="1:8" x14ac:dyDescent="0.2">
      <c r="A14" s="34"/>
      <c r="B14" s="25" t="s">
        <v>240</v>
      </c>
      <c r="C14" s="26" t="s">
        <v>240</v>
      </c>
      <c r="D14" s="26" t="s">
        <v>240</v>
      </c>
      <c r="E14" s="26" t="s">
        <v>240</v>
      </c>
      <c r="F14" s="27"/>
      <c r="G14" s="38" t="s">
        <v>240</v>
      </c>
      <c r="H14" s="24" t="s">
        <v>240</v>
      </c>
    </row>
    <row r="15" spans="1:8" x14ac:dyDescent="0.2">
      <c r="A15" s="30" t="s">
        <v>169</v>
      </c>
      <c r="B15" s="31" t="s">
        <v>3</v>
      </c>
      <c r="C15" s="20">
        <v>40113.59909590699</v>
      </c>
      <c r="D15" s="20">
        <v>39410.456254180601</v>
      </c>
      <c r="E15" s="20">
        <v>47206.096671444495</v>
      </c>
      <c r="F15" s="22" t="s">
        <v>240</v>
      </c>
      <c r="G15" s="37">
        <v>17.681030212672184</v>
      </c>
      <c r="H15" s="33">
        <v>19.780639856045681</v>
      </c>
    </row>
    <row r="16" spans="1:8" x14ac:dyDescent="0.2">
      <c r="A16" s="34"/>
      <c r="B16" s="25" t="s">
        <v>240</v>
      </c>
      <c r="C16" s="26" t="s">
        <v>240</v>
      </c>
      <c r="D16" s="26" t="s">
        <v>240</v>
      </c>
      <c r="E16" s="26" t="s">
        <v>240</v>
      </c>
      <c r="F16" s="27"/>
      <c r="G16" s="28" t="s">
        <v>240</v>
      </c>
      <c r="H16" s="29" t="s">
        <v>240</v>
      </c>
    </row>
    <row r="17" spans="1:8" x14ac:dyDescent="0.2">
      <c r="A17" s="30" t="s">
        <v>7</v>
      </c>
      <c r="B17" s="31" t="s">
        <v>3</v>
      </c>
      <c r="C17" s="20">
        <v>9463</v>
      </c>
      <c r="D17" s="20">
        <v>10163.02716734694</v>
      </c>
      <c r="E17" s="20">
        <v>10868.335804081633</v>
      </c>
      <c r="F17" s="22" t="s">
        <v>240</v>
      </c>
      <c r="G17" s="23">
        <v>14.850848611239911</v>
      </c>
      <c r="H17" s="24">
        <v>6.9399463872417613</v>
      </c>
    </row>
    <row r="18" spans="1:8" x14ac:dyDescent="0.2">
      <c r="A18" s="30"/>
      <c r="B18" s="25" t="s">
        <v>240</v>
      </c>
      <c r="C18" s="26" t="s">
        <v>240</v>
      </c>
      <c r="D18" s="26" t="s">
        <v>240</v>
      </c>
      <c r="E18" s="26" t="s">
        <v>240</v>
      </c>
      <c r="F18" s="27"/>
      <c r="G18" s="38" t="s">
        <v>240</v>
      </c>
      <c r="H18" s="24" t="s">
        <v>240</v>
      </c>
    </row>
    <row r="19" spans="1:8" x14ac:dyDescent="0.2">
      <c r="A19" s="39" t="s">
        <v>8</v>
      </c>
      <c r="B19" s="31" t="s">
        <v>3</v>
      </c>
      <c r="C19" s="20">
        <v>4979</v>
      </c>
      <c r="D19" s="20">
        <v>4569</v>
      </c>
      <c r="E19" s="20">
        <v>4531</v>
      </c>
      <c r="F19" s="22" t="s">
        <v>240</v>
      </c>
      <c r="G19" s="37">
        <v>-8.9977907210283234</v>
      </c>
      <c r="H19" s="33">
        <v>-0.83169183628803012</v>
      </c>
    </row>
    <row r="20" spans="1:8" x14ac:dyDescent="0.2">
      <c r="A20" s="34"/>
      <c r="B20" s="25" t="s">
        <v>240</v>
      </c>
      <c r="C20" s="26" t="s">
        <v>240</v>
      </c>
      <c r="D20" s="26" t="s">
        <v>240</v>
      </c>
      <c r="E20" s="26" t="s">
        <v>240</v>
      </c>
      <c r="F20" s="27"/>
      <c r="G20" s="28" t="s">
        <v>240</v>
      </c>
      <c r="H20" s="29" t="s">
        <v>240</v>
      </c>
    </row>
    <row r="21" spans="1:8" x14ac:dyDescent="0.2">
      <c r="A21" s="39" t="s">
        <v>9</v>
      </c>
      <c r="B21" s="31" t="s">
        <v>3</v>
      </c>
      <c r="C21" s="20">
        <v>25480.007092866668</v>
      </c>
      <c r="D21" s="20">
        <v>23196.560000000001</v>
      </c>
      <c r="E21" s="20">
        <v>24022.283333333333</v>
      </c>
      <c r="F21" s="22" t="s">
        <v>240</v>
      </c>
      <c r="G21" s="37">
        <v>-5.7210492690225294</v>
      </c>
      <c r="H21" s="33">
        <v>3.5596801134880849</v>
      </c>
    </row>
    <row r="22" spans="1:8" x14ac:dyDescent="0.2">
      <c r="A22" s="34"/>
      <c r="B22" s="25" t="s">
        <v>240</v>
      </c>
      <c r="C22" s="26" t="s">
        <v>240</v>
      </c>
      <c r="D22" s="26" t="s">
        <v>240</v>
      </c>
      <c r="E22" s="26" t="s">
        <v>240</v>
      </c>
      <c r="F22" s="27"/>
      <c r="G22" s="28" t="s">
        <v>240</v>
      </c>
      <c r="H22" s="29" t="s">
        <v>240</v>
      </c>
    </row>
    <row r="23" spans="1:8" x14ac:dyDescent="0.2">
      <c r="A23" s="39" t="s">
        <v>193</v>
      </c>
      <c r="B23" s="31" t="s">
        <v>3</v>
      </c>
      <c r="C23" s="20">
        <v>5258</v>
      </c>
      <c r="D23" s="20">
        <v>5464</v>
      </c>
      <c r="E23" s="20">
        <v>5772</v>
      </c>
      <c r="F23" s="22" t="s">
        <v>240</v>
      </c>
      <c r="G23" s="37">
        <v>9.7755800684671073</v>
      </c>
      <c r="H23" s="33">
        <v>5.6368960468521152</v>
      </c>
    </row>
    <row r="24" spans="1:8" x14ac:dyDescent="0.2">
      <c r="A24" s="34"/>
      <c r="B24" s="25" t="s">
        <v>240</v>
      </c>
      <c r="C24" s="26" t="s">
        <v>240</v>
      </c>
      <c r="D24" s="26" t="s">
        <v>240</v>
      </c>
      <c r="E24" s="26" t="s">
        <v>240</v>
      </c>
      <c r="F24" s="27"/>
      <c r="G24" s="28" t="s">
        <v>240</v>
      </c>
      <c r="H24" s="29" t="s">
        <v>240</v>
      </c>
    </row>
    <row r="25" spans="1:8" x14ac:dyDescent="0.2">
      <c r="A25" s="39" t="s">
        <v>194</v>
      </c>
      <c r="B25" s="31" t="s">
        <v>3</v>
      </c>
      <c r="C25" s="20">
        <v>918</v>
      </c>
      <c r="D25" s="20">
        <v>978</v>
      </c>
      <c r="E25" s="20">
        <v>1154</v>
      </c>
      <c r="F25" s="22" t="s">
        <v>240</v>
      </c>
      <c r="G25" s="37">
        <v>25.708061002178638</v>
      </c>
      <c r="H25" s="33">
        <v>17.995910020449884</v>
      </c>
    </row>
    <row r="26" spans="1:8" x14ac:dyDescent="0.2">
      <c r="A26" s="34"/>
      <c r="B26" s="25" t="s">
        <v>240</v>
      </c>
      <c r="C26" s="26" t="s">
        <v>240</v>
      </c>
      <c r="D26" s="26" t="s">
        <v>240</v>
      </c>
      <c r="E26" s="26" t="s">
        <v>240</v>
      </c>
      <c r="F26" s="27"/>
      <c r="G26" s="28" t="s">
        <v>240</v>
      </c>
      <c r="H26" s="29" t="s">
        <v>240</v>
      </c>
    </row>
    <row r="27" spans="1:8" x14ac:dyDescent="0.2">
      <c r="A27" s="39" t="s">
        <v>195</v>
      </c>
      <c r="B27" s="31" t="s">
        <v>3</v>
      </c>
      <c r="C27" s="20">
        <v>247116.93649583758</v>
      </c>
      <c r="D27" s="20">
        <v>269991.33667365054</v>
      </c>
      <c r="E27" s="20">
        <v>281795.98794041621</v>
      </c>
      <c r="F27" s="22" t="s">
        <v>240</v>
      </c>
      <c r="G27" s="37">
        <v>14.033457979988654</v>
      </c>
      <c r="H27" s="33">
        <v>4.3722333509665248</v>
      </c>
    </row>
    <row r="28" spans="1:8" x14ac:dyDescent="0.2">
      <c r="A28" s="34"/>
      <c r="B28" s="25" t="s">
        <v>240</v>
      </c>
      <c r="C28" s="26" t="s">
        <v>240</v>
      </c>
      <c r="D28" s="26" t="s">
        <v>240</v>
      </c>
      <c r="E28" s="26" t="s">
        <v>240</v>
      </c>
      <c r="F28" s="27"/>
      <c r="G28" s="28" t="s">
        <v>240</v>
      </c>
      <c r="H28" s="29" t="s">
        <v>240</v>
      </c>
    </row>
    <row r="29" spans="1:8" x14ac:dyDescent="0.2">
      <c r="A29" s="30" t="s">
        <v>10</v>
      </c>
      <c r="B29" s="31" t="s">
        <v>3</v>
      </c>
      <c r="C29" s="20">
        <v>311962</v>
      </c>
      <c r="D29" s="20">
        <v>320312</v>
      </c>
      <c r="E29" s="20">
        <v>334023</v>
      </c>
      <c r="F29" s="22" t="s">
        <v>240</v>
      </c>
      <c r="G29" s="37">
        <v>7.071694629474095</v>
      </c>
      <c r="H29" s="33">
        <v>4.28051399885112</v>
      </c>
    </row>
    <row r="30" spans="1:8" x14ac:dyDescent="0.2">
      <c r="A30" s="30"/>
      <c r="B30" s="25" t="s">
        <v>240</v>
      </c>
      <c r="C30" s="26" t="s">
        <v>240</v>
      </c>
      <c r="D30" s="26" t="s">
        <v>240</v>
      </c>
      <c r="E30" s="26" t="s">
        <v>240</v>
      </c>
      <c r="F30" s="27"/>
      <c r="G30" s="28" t="s">
        <v>240</v>
      </c>
      <c r="H30" s="29" t="s">
        <v>240</v>
      </c>
    </row>
    <row r="31" spans="1:8" x14ac:dyDescent="0.2">
      <c r="A31" s="39" t="s">
        <v>11</v>
      </c>
      <c r="B31" s="31" t="s">
        <v>3</v>
      </c>
      <c r="C31" s="20">
        <v>10018.849101246884</v>
      </c>
      <c r="D31" s="20">
        <v>9835.3017456359103</v>
      </c>
      <c r="E31" s="20">
        <v>12219.194513715711</v>
      </c>
      <c r="F31" s="22" t="s">
        <v>240</v>
      </c>
      <c r="G31" s="37">
        <v>21.962057619921495</v>
      </c>
      <c r="H31" s="33">
        <v>24.238125374623863</v>
      </c>
    </row>
    <row r="32" spans="1:8" x14ac:dyDescent="0.2">
      <c r="A32" s="34"/>
      <c r="B32" s="25" t="s">
        <v>240</v>
      </c>
      <c r="C32" s="26" t="s">
        <v>240</v>
      </c>
      <c r="D32" s="26" t="s">
        <v>240</v>
      </c>
      <c r="E32" s="26" t="s">
        <v>240</v>
      </c>
      <c r="F32" s="27"/>
      <c r="G32" s="28" t="s">
        <v>240</v>
      </c>
      <c r="H32" s="29" t="s">
        <v>240</v>
      </c>
    </row>
    <row r="33" spans="1:8" x14ac:dyDescent="0.2">
      <c r="A33" s="30" t="s">
        <v>12</v>
      </c>
      <c r="B33" s="31" t="s">
        <v>3</v>
      </c>
      <c r="C33" s="20">
        <v>8825.3934933599994</v>
      </c>
      <c r="D33" s="20">
        <v>9480.0519999999997</v>
      </c>
      <c r="E33" s="20">
        <v>11145.096</v>
      </c>
      <c r="F33" s="22" t="s">
        <v>240</v>
      </c>
      <c r="G33" s="37">
        <v>26.284408829875787</v>
      </c>
      <c r="H33" s="33">
        <v>17.563658933516393</v>
      </c>
    </row>
    <row r="34" spans="1:8" x14ac:dyDescent="0.2">
      <c r="A34" s="30"/>
      <c r="B34" s="25" t="s">
        <v>240</v>
      </c>
      <c r="C34" s="26" t="s">
        <v>240</v>
      </c>
      <c r="D34" s="26" t="s">
        <v>240</v>
      </c>
      <c r="E34" s="26" t="s">
        <v>240</v>
      </c>
      <c r="F34" s="27"/>
      <c r="G34" s="28" t="s">
        <v>240</v>
      </c>
      <c r="H34" s="29" t="s">
        <v>240</v>
      </c>
    </row>
    <row r="35" spans="1:8" x14ac:dyDescent="0.2">
      <c r="A35" s="39" t="s">
        <v>13</v>
      </c>
      <c r="B35" s="31" t="s">
        <v>3</v>
      </c>
      <c r="C35" s="20">
        <v>73</v>
      </c>
      <c r="D35" s="20">
        <v>104</v>
      </c>
      <c r="E35" s="20">
        <v>83</v>
      </c>
      <c r="F35" s="22" t="s">
        <v>240</v>
      </c>
      <c r="G35" s="23">
        <v>13.69863013698631</v>
      </c>
      <c r="H35" s="24">
        <v>-20.192307692307693</v>
      </c>
    </row>
    <row r="36" spans="1:8" x14ac:dyDescent="0.2">
      <c r="A36" s="34"/>
      <c r="B36" s="25" t="s">
        <v>240</v>
      </c>
      <c r="C36" s="26" t="s">
        <v>240</v>
      </c>
      <c r="D36" s="26" t="s">
        <v>240</v>
      </c>
      <c r="E36" s="26" t="s">
        <v>240</v>
      </c>
      <c r="F36" s="27"/>
      <c r="G36" s="28" t="s">
        <v>240</v>
      </c>
      <c r="H36" s="29" t="s">
        <v>240</v>
      </c>
    </row>
    <row r="37" spans="1:8" x14ac:dyDescent="0.2">
      <c r="A37" s="30" t="s">
        <v>14</v>
      </c>
      <c r="B37" s="31" t="s">
        <v>3</v>
      </c>
      <c r="C37" s="40">
        <v>58289.344526369227</v>
      </c>
      <c r="D37" s="40">
        <v>60487.473076923074</v>
      </c>
      <c r="E37" s="20">
        <v>76342.398746438732</v>
      </c>
      <c r="F37" s="22" t="s">
        <v>240</v>
      </c>
      <c r="G37" s="23">
        <v>30.971448326893722</v>
      </c>
      <c r="H37" s="24">
        <v>26.211916059632131</v>
      </c>
    </row>
    <row r="38" spans="1:8" ht="13.5" thickBot="1" x14ac:dyDescent="0.25">
      <c r="A38" s="41"/>
      <c r="B38" s="42" t="s">
        <v>240</v>
      </c>
      <c r="C38" s="43" t="s">
        <v>240</v>
      </c>
      <c r="D38" s="43" t="s">
        <v>240</v>
      </c>
      <c r="E38" s="43" t="s">
        <v>240</v>
      </c>
      <c r="F38" s="44"/>
      <c r="G38" s="45" t="s">
        <v>240</v>
      </c>
      <c r="H38" s="46" t="s">
        <v>240</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G61" s="53"/>
      <c r="H61" s="204">
        <v>9</v>
      </c>
    </row>
    <row r="62" spans="1:8" ht="12.75" customHeight="1" x14ac:dyDescent="0.2">
      <c r="A62" s="54" t="s">
        <v>242</v>
      </c>
      <c r="G62" s="53"/>
      <c r="H62" s="197"/>
    </row>
    <row r="63" spans="1:8" x14ac:dyDescent="0.2">
      <c r="H63" s="87"/>
    </row>
    <row r="64" spans="1:8" x14ac:dyDescent="0.2">
      <c r="A64" s="203"/>
      <c r="H64" s="53"/>
    </row>
    <row r="65" spans="1:8" x14ac:dyDescent="0.2">
      <c r="A65" s="203"/>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5" t="s">
        <v>16</v>
      </c>
      <c r="D5" s="199"/>
      <c r="E5" s="199"/>
      <c r="F5" s="206"/>
      <c r="G5" s="199" t="s">
        <v>1</v>
      </c>
      <c r="H5" s="200"/>
    </row>
    <row r="6" spans="1:10" x14ac:dyDescent="0.2">
      <c r="A6" s="12"/>
      <c r="B6" s="13"/>
      <c r="C6" s="14" t="s">
        <v>235</v>
      </c>
      <c r="D6" s="15" t="s">
        <v>236</v>
      </c>
      <c r="E6" s="15" t="s">
        <v>237</v>
      </c>
      <c r="F6" s="16"/>
      <c r="G6" s="17" t="s">
        <v>238</v>
      </c>
      <c r="H6" s="18" t="s">
        <v>239</v>
      </c>
    </row>
    <row r="7" spans="1:10" x14ac:dyDescent="0.2">
      <c r="A7" s="201" t="s">
        <v>2</v>
      </c>
      <c r="B7" s="19" t="s">
        <v>3</v>
      </c>
      <c r="C7" s="80">
        <v>36539.078417285069</v>
      </c>
      <c r="D7" s="80">
        <v>37568.018908917373</v>
      </c>
      <c r="E7" s="81">
        <v>42416.900055589824</v>
      </c>
      <c r="F7" s="22" t="s">
        <v>240</v>
      </c>
      <c r="G7" s="23">
        <v>16.086398160289136</v>
      </c>
      <c r="H7" s="24">
        <v>12.906938634236823</v>
      </c>
    </row>
    <row r="8" spans="1:10" x14ac:dyDescent="0.2">
      <c r="A8" s="202"/>
      <c r="B8" s="25" t="s">
        <v>240</v>
      </c>
      <c r="C8" s="82" t="s">
        <v>240</v>
      </c>
      <c r="D8" s="82" t="s">
        <v>240</v>
      </c>
      <c r="E8" s="82" t="s">
        <v>240</v>
      </c>
      <c r="F8" s="27"/>
      <c r="G8" s="28" t="s">
        <v>240</v>
      </c>
      <c r="H8" s="29" t="s">
        <v>240</v>
      </c>
      <c r="J8" s="94"/>
    </row>
    <row r="9" spans="1:10" x14ac:dyDescent="0.2">
      <c r="A9" s="30" t="s">
        <v>4</v>
      </c>
      <c r="B9" s="31" t="s">
        <v>3</v>
      </c>
      <c r="C9" s="80">
        <v>9443.6952770815715</v>
      </c>
      <c r="D9" s="80">
        <v>9856.860787358215</v>
      </c>
      <c r="E9" s="80">
        <v>10354.420765532122</v>
      </c>
      <c r="F9" s="22" t="s">
        <v>240</v>
      </c>
      <c r="G9" s="32">
        <v>9.6437407363275014</v>
      </c>
      <c r="H9" s="33">
        <v>5.0478543717696169</v>
      </c>
    </row>
    <row r="10" spans="1:10" x14ac:dyDescent="0.2">
      <c r="A10" s="34"/>
      <c r="B10" s="25" t="s">
        <v>240</v>
      </c>
      <c r="C10" s="82" t="s">
        <v>240</v>
      </c>
      <c r="D10" s="82" t="s">
        <v>240</v>
      </c>
      <c r="E10" s="82" t="s">
        <v>240</v>
      </c>
      <c r="F10" s="27"/>
      <c r="G10" s="35" t="s">
        <v>240</v>
      </c>
      <c r="H10" s="29" t="s">
        <v>240</v>
      </c>
      <c r="J10" s="94"/>
    </row>
    <row r="11" spans="1:10" x14ac:dyDescent="0.2">
      <c r="A11" s="30" t="s">
        <v>5</v>
      </c>
      <c r="B11" s="31" t="s">
        <v>3</v>
      </c>
      <c r="C11" s="80">
        <v>3312.0591593368317</v>
      </c>
      <c r="D11" s="80">
        <v>4022.0593413364004</v>
      </c>
      <c r="E11" s="80">
        <v>4805.1518537058946</v>
      </c>
      <c r="F11" s="22" t="s">
        <v>240</v>
      </c>
      <c r="G11" s="37">
        <v>45.080495925321031</v>
      </c>
      <c r="H11" s="33">
        <v>19.469939300032763</v>
      </c>
    </row>
    <row r="12" spans="1:10" x14ac:dyDescent="0.2">
      <c r="A12" s="34"/>
      <c r="B12" s="25" t="s">
        <v>240</v>
      </c>
      <c r="C12" s="82" t="s">
        <v>240</v>
      </c>
      <c r="D12" s="82" t="s">
        <v>240</v>
      </c>
      <c r="E12" s="82" t="s">
        <v>240</v>
      </c>
      <c r="F12" s="27"/>
      <c r="G12" s="28" t="s">
        <v>240</v>
      </c>
      <c r="H12" s="29" t="s">
        <v>240</v>
      </c>
    </row>
    <row r="13" spans="1:10" x14ac:dyDescent="0.2">
      <c r="A13" s="30" t="s">
        <v>6</v>
      </c>
      <c r="B13" s="31" t="s">
        <v>3</v>
      </c>
      <c r="C13" s="80">
        <v>7461.0390863119937</v>
      </c>
      <c r="D13" s="80">
        <v>7171.790369567203</v>
      </c>
      <c r="E13" s="80">
        <v>8904.1419745772455</v>
      </c>
      <c r="F13" s="22" t="s">
        <v>240</v>
      </c>
      <c r="G13" s="23">
        <v>19.341848656345533</v>
      </c>
      <c r="H13" s="24">
        <v>24.155078658755968</v>
      </c>
    </row>
    <row r="14" spans="1:10" x14ac:dyDescent="0.2">
      <c r="A14" s="34"/>
      <c r="B14" s="25" t="s">
        <v>240</v>
      </c>
      <c r="C14" s="82" t="s">
        <v>240</v>
      </c>
      <c r="D14" s="82" t="s">
        <v>240</v>
      </c>
      <c r="E14" s="82" t="s">
        <v>240</v>
      </c>
      <c r="F14" s="27"/>
      <c r="G14" s="38" t="s">
        <v>240</v>
      </c>
      <c r="H14" s="24" t="s">
        <v>240</v>
      </c>
    </row>
    <row r="15" spans="1:10" x14ac:dyDescent="0.2">
      <c r="A15" s="30" t="s">
        <v>169</v>
      </c>
      <c r="B15" s="31" t="s">
        <v>3</v>
      </c>
      <c r="C15" s="80">
        <v>5391.9695681264966</v>
      </c>
      <c r="D15" s="80">
        <v>5239.1371201696156</v>
      </c>
      <c r="E15" s="80">
        <v>6748.7843414238068</v>
      </c>
      <c r="F15" s="22" t="s">
        <v>240</v>
      </c>
      <c r="G15" s="37">
        <v>25.163620754053156</v>
      </c>
      <c r="H15" s="33">
        <v>28.814806458154266</v>
      </c>
    </row>
    <row r="16" spans="1:10" x14ac:dyDescent="0.2">
      <c r="A16" s="34"/>
      <c r="B16" s="25" t="s">
        <v>240</v>
      </c>
      <c r="C16" s="82" t="s">
        <v>240</v>
      </c>
      <c r="D16" s="82" t="s">
        <v>240</v>
      </c>
      <c r="E16" s="82" t="s">
        <v>240</v>
      </c>
      <c r="F16" s="27"/>
      <c r="G16" s="28" t="s">
        <v>240</v>
      </c>
      <c r="H16" s="29" t="s">
        <v>240</v>
      </c>
    </row>
    <row r="17" spans="1:8" x14ac:dyDescent="0.2">
      <c r="A17" s="30" t="s">
        <v>7</v>
      </c>
      <c r="B17" s="31" t="s">
        <v>3</v>
      </c>
      <c r="C17" s="80">
        <v>1966.9772293059962</v>
      </c>
      <c r="D17" s="80">
        <v>1881.4521582849889</v>
      </c>
      <c r="E17" s="80">
        <v>1876.3099251303952</v>
      </c>
      <c r="F17" s="22" t="s">
        <v>240</v>
      </c>
      <c r="G17" s="23">
        <v>-4.609474010412967</v>
      </c>
      <c r="H17" s="24">
        <v>-0.27331192727648101</v>
      </c>
    </row>
    <row r="18" spans="1:8" x14ac:dyDescent="0.2">
      <c r="A18" s="30"/>
      <c r="B18" s="25" t="s">
        <v>240</v>
      </c>
      <c r="C18" s="82" t="s">
        <v>240</v>
      </c>
      <c r="D18" s="82" t="s">
        <v>240</v>
      </c>
      <c r="E18" s="82" t="s">
        <v>240</v>
      </c>
      <c r="F18" s="27"/>
      <c r="G18" s="38" t="s">
        <v>240</v>
      </c>
      <c r="H18" s="24" t="s">
        <v>240</v>
      </c>
    </row>
    <row r="19" spans="1:8" x14ac:dyDescent="0.2">
      <c r="A19" s="39" t="s">
        <v>8</v>
      </c>
      <c r="B19" s="31" t="s">
        <v>3</v>
      </c>
      <c r="C19" s="80">
        <v>1986.7947992968452</v>
      </c>
      <c r="D19" s="80">
        <v>1779.0988161448022</v>
      </c>
      <c r="E19" s="80">
        <v>1723.7764637740252</v>
      </c>
      <c r="F19" s="22" t="s">
        <v>240</v>
      </c>
      <c r="G19" s="37">
        <v>-13.238324139760479</v>
      </c>
      <c r="H19" s="33">
        <v>-3.1095716476646942</v>
      </c>
    </row>
    <row r="20" spans="1:8" x14ac:dyDescent="0.2">
      <c r="A20" s="34"/>
      <c r="B20" s="25" t="s">
        <v>240</v>
      </c>
      <c r="C20" s="82" t="s">
        <v>240</v>
      </c>
      <c r="D20" s="82" t="s">
        <v>240</v>
      </c>
      <c r="E20" s="82" t="s">
        <v>240</v>
      </c>
      <c r="F20" s="27"/>
      <c r="G20" s="28" t="s">
        <v>240</v>
      </c>
      <c r="H20" s="29" t="s">
        <v>240</v>
      </c>
    </row>
    <row r="21" spans="1:8" x14ac:dyDescent="0.2">
      <c r="A21" s="39" t="s">
        <v>9</v>
      </c>
      <c r="B21" s="31" t="s">
        <v>3</v>
      </c>
      <c r="C21" s="80">
        <v>507.42304330194474</v>
      </c>
      <c r="D21" s="80">
        <v>531.9762485737474</v>
      </c>
      <c r="E21" s="80">
        <v>573.4538477665858</v>
      </c>
      <c r="F21" s="22" t="s">
        <v>240</v>
      </c>
      <c r="G21" s="37">
        <v>13.01296922484245</v>
      </c>
      <c r="H21" s="33">
        <v>7.7968892979793196</v>
      </c>
    </row>
    <row r="22" spans="1:8" x14ac:dyDescent="0.2">
      <c r="A22" s="34"/>
      <c r="B22" s="25" t="s">
        <v>240</v>
      </c>
      <c r="C22" s="82" t="s">
        <v>240</v>
      </c>
      <c r="D22" s="82" t="s">
        <v>240</v>
      </c>
      <c r="E22" s="82" t="s">
        <v>240</v>
      </c>
      <c r="F22" s="27"/>
      <c r="G22" s="28" t="s">
        <v>240</v>
      </c>
      <c r="H22" s="29" t="s">
        <v>240</v>
      </c>
    </row>
    <row r="23" spans="1:8" x14ac:dyDescent="0.2">
      <c r="A23" s="39" t="s">
        <v>193</v>
      </c>
      <c r="B23" s="31" t="s">
        <v>3</v>
      </c>
      <c r="C23" s="80">
        <v>831.72795936495027</v>
      </c>
      <c r="D23" s="80">
        <v>991.88485422989686</v>
      </c>
      <c r="E23" s="80">
        <v>1042.5229548825182</v>
      </c>
      <c r="F23" s="22" t="s">
        <v>240</v>
      </c>
      <c r="G23" s="23">
        <v>25.344223810693634</v>
      </c>
      <c r="H23" s="24">
        <v>5.1052398306794373</v>
      </c>
    </row>
    <row r="24" spans="1:8" x14ac:dyDescent="0.2">
      <c r="A24" s="34"/>
      <c r="B24" s="25" t="s">
        <v>240</v>
      </c>
      <c r="C24" s="82" t="s">
        <v>240</v>
      </c>
      <c r="D24" s="82" t="s">
        <v>240</v>
      </c>
      <c r="E24" s="82" t="s">
        <v>240</v>
      </c>
      <c r="F24" s="27"/>
      <c r="G24" s="38" t="s">
        <v>240</v>
      </c>
      <c r="H24" s="24" t="s">
        <v>240</v>
      </c>
    </row>
    <row r="25" spans="1:8" x14ac:dyDescent="0.2">
      <c r="A25" s="39" t="s">
        <v>194</v>
      </c>
      <c r="B25" s="31" t="s">
        <v>3</v>
      </c>
      <c r="C25" s="80">
        <v>330.10029545906707</v>
      </c>
      <c r="D25" s="80">
        <v>415.12542028118128</v>
      </c>
      <c r="E25" s="80">
        <v>442.39533603703234</v>
      </c>
      <c r="F25" s="22" t="s">
        <v>240</v>
      </c>
      <c r="G25" s="37">
        <v>34.018461092801431</v>
      </c>
      <c r="H25" s="33">
        <v>6.5690787467026297</v>
      </c>
    </row>
    <row r="26" spans="1:8" x14ac:dyDescent="0.2">
      <c r="A26" s="34"/>
      <c r="B26" s="25" t="s">
        <v>240</v>
      </c>
      <c r="C26" s="82" t="s">
        <v>240</v>
      </c>
      <c r="D26" s="82" t="s">
        <v>240</v>
      </c>
      <c r="E26" s="82" t="s">
        <v>240</v>
      </c>
      <c r="F26" s="27"/>
      <c r="G26" s="38" t="s">
        <v>240</v>
      </c>
      <c r="H26" s="24" t="s">
        <v>240</v>
      </c>
    </row>
    <row r="27" spans="1:8" x14ac:dyDescent="0.2">
      <c r="A27" s="39" t="s">
        <v>195</v>
      </c>
      <c r="B27" s="31" t="s">
        <v>3</v>
      </c>
      <c r="C27" s="80">
        <v>889.62084010833587</v>
      </c>
      <c r="D27" s="80">
        <v>982.35582708179095</v>
      </c>
      <c r="E27" s="80">
        <v>1097.9652333987906</v>
      </c>
      <c r="F27" s="22" t="s">
        <v>240</v>
      </c>
      <c r="G27" s="37">
        <v>23.419459605407084</v>
      </c>
      <c r="H27" s="33">
        <v>11.768587626790136</v>
      </c>
    </row>
    <row r="28" spans="1:8" x14ac:dyDescent="0.2">
      <c r="A28" s="34"/>
      <c r="B28" s="25" t="s">
        <v>240</v>
      </c>
      <c r="C28" s="82" t="s">
        <v>240</v>
      </c>
      <c r="D28" s="82" t="s">
        <v>240</v>
      </c>
      <c r="E28" s="82" t="s">
        <v>240</v>
      </c>
      <c r="F28" s="27"/>
      <c r="G28" s="38" t="s">
        <v>240</v>
      </c>
      <c r="H28" s="24" t="s">
        <v>240</v>
      </c>
    </row>
    <row r="29" spans="1:8" x14ac:dyDescent="0.2">
      <c r="A29" s="30" t="s">
        <v>10</v>
      </c>
      <c r="B29" s="31" t="s">
        <v>3</v>
      </c>
      <c r="C29" s="80">
        <v>2043.5081056764257</v>
      </c>
      <c r="D29" s="80">
        <v>2078.8919979673683</v>
      </c>
      <c r="E29" s="80">
        <v>2198.9291608924541</v>
      </c>
      <c r="F29" s="22" t="s">
        <v>240</v>
      </c>
      <c r="G29" s="37">
        <v>7.6056001336281724</v>
      </c>
      <c r="H29" s="33">
        <v>5.7740932690323348</v>
      </c>
    </row>
    <row r="30" spans="1:8" x14ac:dyDescent="0.2">
      <c r="A30" s="30"/>
      <c r="B30" s="25" t="s">
        <v>240</v>
      </c>
      <c r="C30" s="82" t="s">
        <v>240</v>
      </c>
      <c r="D30" s="82" t="s">
        <v>240</v>
      </c>
      <c r="E30" s="82" t="s">
        <v>240</v>
      </c>
      <c r="F30" s="27"/>
      <c r="G30" s="28" t="s">
        <v>240</v>
      </c>
      <c r="H30" s="29" t="s">
        <v>240</v>
      </c>
    </row>
    <row r="31" spans="1:8" x14ac:dyDescent="0.2">
      <c r="A31" s="39" t="s">
        <v>11</v>
      </c>
      <c r="B31" s="31" t="s">
        <v>3</v>
      </c>
      <c r="C31" s="80">
        <v>453.98179332223094</v>
      </c>
      <c r="D31" s="80">
        <v>468.76565664708272</v>
      </c>
      <c r="E31" s="80">
        <v>540.13259437321699</v>
      </c>
      <c r="F31" s="22" t="s">
        <v>240</v>
      </c>
      <c r="G31" s="23">
        <v>18.976708387474289</v>
      </c>
      <c r="H31" s="24">
        <v>15.224438205775797</v>
      </c>
    </row>
    <row r="32" spans="1:8" x14ac:dyDescent="0.2">
      <c r="A32" s="34"/>
      <c r="B32" s="25" t="s">
        <v>240</v>
      </c>
      <c r="C32" s="82" t="s">
        <v>240</v>
      </c>
      <c r="D32" s="82" t="s">
        <v>240</v>
      </c>
      <c r="E32" s="82" t="s">
        <v>240</v>
      </c>
      <c r="F32" s="27"/>
      <c r="G32" s="38" t="s">
        <v>240</v>
      </c>
      <c r="H32" s="24" t="s">
        <v>240</v>
      </c>
    </row>
    <row r="33" spans="1:8" x14ac:dyDescent="0.2">
      <c r="A33" s="30" t="s">
        <v>12</v>
      </c>
      <c r="B33" s="31" t="s">
        <v>3</v>
      </c>
      <c r="C33" s="80">
        <v>1026.4393155565767</v>
      </c>
      <c r="D33" s="80">
        <v>963.64843128868392</v>
      </c>
      <c r="E33" s="80">
        <v>1093.9784121220591</v>
      </c>
      <c r="F33" s="22" t="s">
        <v>240</v>
      </c>
      <c r="G33" s="37">
        <v>6.5799405324668498</v>
      </c>
      <c r="H33" s="33">
        <v>13.524639962219979</v>
      </c>
    </row>
    <row r="34" spans="1:8" x14ac:dyDescent="0.2">
      <c r="A34" s="30"/>
      <c r="B34" s="25" t="s">
        <v>240</v>
      </c>
      <c r="C34" s="82" t="s">
        <v>240</v>
      </c>
      <c r="D34" s="82" t="s">
        <v>240</v>
      </c>
      <c r="E34" s="82" t="s">
        <v>240</v>
      </c>
      <c r="F34" s="27"/>
      <c r="G34" s="28" t="s">
        <v>240</v>
      </c>
      <c r="H34" s="29" t="s">
        <v>240</v>
      </c>
    </row>
    <row r="35" spans="1:8" x14ac:dyDescent="0.2">
      <c r="A35" s="39" t="s">
        <v>13</v>
      </c>
      <c r="B35" s="31" t="s">
        <v>3</v>
      </c>
      <c r="C35" s="80">
        <v>144.28091435942434</v>
      </c>
      <c r="D35" s="80">
        <v>211.04554373478513</v>
      </c>
      <c r="E35" s="80">
        <v>178.36200313241494</v>
      </c>
      <c r="F35" s="22" t="s">
        <v>240</v>
      </c>
      <c r="G35" s="23">
        <v>23.621342382187677</v>
      </c>
      <c r="H35" s="24">
        <v>-15.486486956314351</v>
      </c>
    </row>
    <row r="36" spans="1:8" x14ac:dyDescent="0.2">
      <c r="A36" s="34"/>
      <c r="B36" s="25" t="s">
        <v>240</v>
      </c>
      <c r="C36" s="82" t="s">
        <v>240</v>
      </c>
      <c r="D36" s="82" t="s">
        <v>240</v>
      </c>
      <c r="E36" s="82" t="s">
        <v>240</v>
      </c>
      <c r="F36" s="27"/>
      <c r="G36" s="28" t="s">
        <v>240</v>
      </c>
      <c r="H36" s="29" t="s">
        <v>240</v>
      </c>
    </row>
    <row r="37" spans="1:8" x14ac:dyDescent="0.2">
      <c r="A37" s="30" t="s">
        <v>14</v>
      </c>
      <c r="B37" s="31" t="s">
        <v>3</v>
      </c>
      <c r="C37" s="85">
        <v>749.46103067636318</v>
      </c>
      <c r="D37" s="85">
        <v>973.92633625162387</v>
      </c>
      <c r="E37" s="83">
        <v>836.57518884125193</v>
      </c>
      <c r="F37" s="22" t="s">
        <v>240</v>
      </c>
      <c r="G37" s="23">
        <v>11.623574088471429</v>
      </c>
      <c r="H37" s="24">
        <v>-14.102827113085254</v>
      </c>
    </row>
    <row r="38" spans="1:8" ht="13.5" thickBot="1" x14ac:dyDescent="0.25">
      <c r="A38" s="41"/>
      <c r="B38" s="42" t="s">
        <v>240</v>
      </c>
      <c r="C38" s="86" t="s">
        <v>240</v>
      </c>
      <c r="D38" s="86" t="s">
        <v>240</v>
      </c>
      <c r="E38" s="86" t="s">
        <v>240</v>
      </c>
      <c r="F38" s="44"/>
      <c r="G38" s="45" t="s">
        <v>240</v>
      </c>
      <c r="H38" s="46" t="s">
        <v>240</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H61" s="196">
        <v>10</v>
      </c>
    </row>
    <row r="62" spans="1:8" ht="12.75" customHeight="1" x14ac:dyDescent="0.2">
      <c r="A62" s="54" t="s">
        <v>242</v>
      </c>
      <c r="H62" s="197"/>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x14ac:dyDescent="0.2">
      <c r="A7" s="201" t="s">
        <v>26</v>
      </c>
      <c r="B7" s="19" t="s">
        <v>3</v>
      </c>
      <c r="C7" s="20">
        <v>816557.142204843</v>
      </c>
      <c r="D7" s="20">
        <v>848267.68337105052</v>
      </c>
      <c r="E7" s="21">
        <v>911009.80747384159</v>
      </c>
      <c r="F7" s="22" t="s">
        <v>240</v>
      </c>
      <c r="G7" s="23">
        <v>11.567183775278764</v>
      </c>
      <c r="H7" s="24">
        <v>7.3965005779132582</v>
      </c>
    </row>
    <row r="8" spans="1:8" x14ac:dyDescent="0.2">
      <c r="A8" s="202"/>
      <c r="B8" s="25" t="s">
        <v>240</v>
      </c>
      <c r="C8" s="26" t="s">
        <v>240</v>
      </c>
      <c r="D8" s="26" t="s">
        <v>240</v>
      </c>
      <c r="E8" s="26" t="s">
        <v>240</v>
      </c>
      <c r="F8" s="27"/>
      <c r="G8" s="28" t="s">
        <v>240</v>
      </c>
      <c r="H8" s="29" t="s">
        <v>240</v>
      </c>
    </row>
    <row r="9" spans="1:8" x14ac:dyDescent="0.2">
      <c r="A9" s="30" t="s">
        <v>28</v>
      </c>
      <c r="B9" s="31" t="s">
        <v>3</v>
      </c>
      <c r="C9" s="20">
        <v>748186.31376387447</v>
      </c>
      <c r="D9" s="20">
        <v>779419.45431275456</v>
      </c>
      <c r="E9" s="21">
        <v>834577.44597907329</v>
      </c>
      <c r="F9" s="22" t="s">
        <v>240</v>
      </c>
      <c r="G9" s="32">
        <v>11.546740514484142</v>
      </c>
      <c r="H9" s="33">
        <v>7.0768045833489879</v>
      </c>
    </row>
    <row r="10" spans="1:8" x14ac:dyDescent="0.2">
      <c r="A10" s="34"/>
      <c r="B10" s="25" t="s">
        <v>240</v>
      </c>
      <c r="C10" s="26" t="s">
        <v>240</v>
      </c>
      <c r="D10" s="26" t="s">
        <v>240</v>
      </c>
      <c r="E10" s="26" t="s">
        <v>240</v>
      </c>
      <c r="F10" s="27"/>
      <c r="G10" s="35" t="s">
        <v>240</v>
      </c>
      <c r="H10" s="29" t="s">
        <v>240</v>
      </c>
    </row>
    <row r="11" spans="1:8" x14ac:dyDescent="0.2">
      <c r="A11" s="30" t="s">
        <v>29</v>
      </c>
      <c r="B11" s="31" t="s">
        <v>3</v>
      </c>
      <c r="C11" s="20">
        <v>34519.914220484308</v>
      </c>
      <c r="D11" s="20">
        <v>34984.614529147984</v>
      </c>
      <c r="E11" s="21">
        <v>35271.180747384155</v>
      </c>
      <c r="F11" s="22" t="s">
        <v>240</v>
      </c>
      <c r="G11" s="37">
        <v>2.1763279077154891</v>
      </c>
      <c r="H11" s="33">
        <v>0.8191206966062623</v>
      </c>
    </row>
    <row r="12" spans="1:8" x14ac:dyDescent="0.2">
      <c r="A12" s="34"/>
      <c r="B12" s="25" t="s">
        <v>240</v>
      </c>
      <c r="C12" s="26" t="s">
        <v>240</v>
      </c>
      <c r="D12" s="26" t="s">
        <v>240</v>
      </c>
      <c r="E12" s="26" t="s">
        <v>240</v>
      </c>
      <c r="F12" s="27"/>
      <c r="G12" s="28" t="s">
        <v>240</v>
      </c>
      <c r="H12" s="29" t="s">
        <v>240</v>
      </c>
    </row>
    <row r="13" spans="1:8" x14ac:dyDescent="0.2">
      <c r="A13" s="30" t="s">
        <v>27</v>
      </c>
      <c r="B13" s="31" t="s">
        <v>3</v>
      </c>
      <c r="C13" s="20">
        <v>9364.5742661452914</v>
      </c>
      <c r="D13" s="20">
        <v>9150.1843587443946</v>
      </c>
      <c r="E13" s="21">
        <v>9974.7542242152467</v>
      </c>
      <c r="F13" s="22" t="s">
        <v>240</v>
      </c>
      <c r="G13" s="23">
        <v>6.5158323350146503</v>
      </c>
      <c r="H13" s="24">
        <v>9.0115109504088906</v>
      </c>
    </row>
    <row r="14" spans="1:8" x14ac:dyDescent="0.2">
      <c r="A14" s="34"/>
      <c r="B14" s="25" t="s">
        <v>240</v>
      </c>
      <c r="C14" s="26" t="s">
        <v>240</v>
      </c>
      <c r="D14" s="26" t="s">
        <v>240</v>
      </c>
      <c r="E14" s="26" t="s">
        <v>240</v>
      </c>
      <c r="F14" s="27"/>
      <c r="G14" s="38" t="s">
        <v>240</v>
      </c>
      <c r="H14" s="24" t="s">
        <v>240</v>
      </c>
    </row>
    <row r="15" spans="1:8" x14ac:dyDescent="0.2">
      <c r="A15" s="30" t="s">
        <v>30</v>
      </c>
      <c r="B15" s="31" t="s">
        <v>3</v>
      </c>
      <c r="C15" s="20">
        <v>12045.765688193722</v>
      </c>
      <c r="D15" s="20">
        <v>11925.245811659193</v>
      </c>
      <c r="E15" s="21">
        <v>14559.672298953663</v>
      </c>
      <c r="F15" s="22" t="s">
        <v>240</v>
      </c>
      <c r="G15" s="37">
        <v>20.869629011826675</v>
      </c>
      <c r="H15" s="33">
        <v>22.091171359493629</v>
      </c>
    </row>
    <row r="16" spans="1:8" x14ac:dyDescent="0.2">
      <c r="A16" s="34"/>
      <c r="B16" s="25" t="s">
        <v>240</v>
      </c>
      <c r="C16" s="26" t="s">
        <v>240</v>
      </c>
      <c r="D16" s="26" t="s">
        <v>240</v>
      </c>
      <c r="E16" s="26" t="s">
        <v>240</v>
      </c>
      <c r="F16" s="27"/>
      <c r="G16" s="28" t="s">
        <v>240</v>
      </c>
      <c r="H16" s="29" t="s">
        <v>240</v>
      </c>
    </row>
    <row r="17" spans="1:9" x14ac:dyDescent="0.2">
      <c r="A17" s="30" t="s">
        <v>31</v>
      </c>
      <c r="B17" s="31" t="s">
        <v>3</v>
      </c>
      <c r="C17" s="20">
        <v>12440.574266145291</v>
      </c>
      <c r="D17" s="20">
        <v>12788.184358744395</v>
      </c>
      <c r="E17" s="21">
        <v>16626.754224215249</v>
      </c>
      <c r="F17" s="22" t="s">
        <v>240</v>
      </c>
      <c r="G17" s="37">
        <v>33.649410939669139</v>
      </c>
      <c r="H17" s="33">
        <v>30.016535246820155</v>
      </c>
    </row>
    <row r="18" spans="1:9" ht="13.5" thickBot="1" x14ac:dyDescent="0.25">
      <c r="A18" s="56"/>
      <c r="B18" s="42" t="s">
        <v>240</v>
      </c>
      <c r="C18" s="43" t="s">
        <v>240</v>
      </c>
      <c r="D18" s="43" t="s">
        <v>240</v>
      </c>
      <c r="E18" s="43" t="s">
        <v>240</v>
      </c>
      <c r="F18" s="44"/>
      <c r="G18" s="57" t="s">
        <v>240</v>
      </c>
      <c r="H18" s="46" t="s">
        <v>240</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5" t="s">
        <v>16</v>
      </c>
      <c r="D33" s="199"/>
      <c r="E33" s="199"/>
      <c r="F33" s="206"/>
      <c r="G33" s="199" t="s">
        <v>1</v>
      </c>
      <c r="H33" s="200"/>
    </row>
    <row r="34" spans="1:9" x14ac:dyDescent="0.2">
      <c r="A34" s="12"/>
      <c r="B34" s="13"/>
      <c r="C34" s="14" t="s">
        <v>235</v>
      </c>
      <c r="D34" s="15" t="s">
        <v>236</v>
      </c>
      <c r="E34" s="15" t="s">
        <v>237</v>
      </c>
      <c r="F34" s="16"/>
      <c r="G34" s="17" t="s">
        <v>238</v>
      </c>
      <c r="H34" s="18" t="s">
        <v>239</v>
      </c>
    </row>
    <row r="35" spans="1:9" ht="12.75" customHeight="1" x14ac:dyDescent="0.2">
      <c r="A35" s="201" t="s">
        <v>26</v>
      </c>
      <c r="B35" s="19" t="s">
        <v>3</v>
      </c>
      <c r="C35" s="80">
        <v>12755.754436418403</v>
      </c>
      <c r="D35" s="80">
        <v>13878.920128694614</v>
      </c>
      <c r="E35" s="83">
        <v>15159.572619238015</v>
      </c>
      <c r="F35" s="22" t="s">
        <v>240</v>
      </c>
      <c r="G35" s="23">
        <v>18.844970674228207</v>
      </c>
      <c r="H35" s="24">
        <v>9.2273208482240392</v>
      </c>
    </row>
    <row r="36" spans="1:9" ht="12.75" customHeight="1" x14ac:dyDescent="0.2">
      <c r="A36" s="202"/>
      <c r="B36" s="25" t="s">
        <v>240</v>
      </c>
      <c r="C36" s="82" t="s">
        <v>240</v>
      </c>
      <c r="D36" s="82" t="s">
        <v>240</v>
      </c>
      <c r="E36" s="82" t="s">
        <v>240</v>
      </c>
      <c r="F36" s="27"/>
      <c r="G36" s="28" t="s">
        <v>240</v>
      </c>
      <c r="H36" s="29" t="s">
        <v>240</v>
      </c>
    </row>
    <row r="37" spans="1:9" x14ac:dyDescent="0.2">
      <c r="A37" s="30" t="s">
        <v>28</v>
      </c>
      <c r="B37" s="31" t="s">
        <v>3</v>
      </c>
      <c r="C37" s="80">
        <v>10754.520929133327</v>
      </c>
      <c r="D37" s="80">
        <v>11593.812590679699</v>
      </c>
      <c r="E37" s="83">
        <v>12617.134877269709</v>
      </c>
      <c r="F37" s="22" t="s">
        <v>240</v>
      </c>
      <c r="G37" s="32">
        <v>17.31935769533608</v>
      </c>
      <c r="H37" s="33">
        <v>8.8264518559896459</v>
      </c>
    </row>
    <row r="38" spans="1:9" x14ac:dyDescent="0.2">
      <c r="A38" s="34"/>
      <c r="B38" s="25" t="s">
        <v>240</v>
      </c>
      <c r="C38" s="82" t="s">
        <v>240</v>
      </c>
      <c r="D38" s="82" t="s">
        <v>240</v>
      </c>
      <c r="E38" s="82" t="s">
        <v>240</v>
      </c>
      <c r="F38" s="27"/>
      <c r="G38" s="35" t="s">
        <v>240</v>
      </c>
      <c r="H38" s="29" t="s">
        <v>240</v>
      </c>
    </row>
    <row r="39" spans="1:9" x14ac:dyDescent="0.2">
      <c r="A39" s="30" t="s">
        <v>29</v>
      </c>
      <c r="B39" s="31" t="s">
        <v>3</v>
      </c>
      <c r="C39" s="80">
        <v>892.27423894990204</v>
      </c>
      <c r="D39" s="80">
        <v>1063.2701054936867</v>
      </c>
      <c r="E39" s="83">
        <v>1048.4222371036767</v>
      </c>
      <c r="F39" s="22" t="s">
        <v>240</v>
      </c>
      <c r="G39" s="37">
        <v>17.500000710268381</v>
      </c>
      <c r="H39" s="33">
        <v>-1.3964342939103034</v>
      </c>
    </row>
    <row r="40" spans="1:9" x14ac:dyDescent="0.2">
      <c r="A40" s="34"/>
      <c r="B40" s="25" t="s">
        <v>240</v>
      </c>
      <c r="C40" s="82" t="s">
        <v>240</v>
      </c>
      <c r="D40" s="82" t="s">
        <v>240</v>
      </c>
      <c r="E40" s="82" t="s">
        <v>240</v>
      </c>
      <c r="F40" s="27"/>
      <c r="G40" s="28" t="s">
        <v>240</v>
      </c>
      <c r="H40" s="29" t="s">
        <v>240</v>
      </c>
    </row>
    <row r="41" spans="1:9" x14ac:dyDescent="0.2">
      <c r="A41" s="30" t="s">
        <v>27</v>
      </c>
      <c r="B41" s="31" t="s">
        <v>3</v>
      </c>
      <c r="C41" s="80">
        <v>244.73397585845296</v>
      </c>
      <c r="D41" s="80">
        <v>269.44769335165705</v>
      </c>
      <c r="E41" s="83">
        <v>292.47941805499147</v>
      </c>
      <c r="F41" s="22" t="s">
        <v>240</v>
      </c>
      <c r="G41" s="23">
        <v>19.509118841820765</v>
      </c>
      <c r="H41" s="24">
        <v>8.5477535238261027</v>
      </c>
    </row>
    <row r="42" spans="1:9" x14ac:dyDescent="0.2">
      <c r="A42" s="34"/>
      <c r="B42" s="25" t="s">
        <v>240</v>
      </c>
      <c r="C42" s="82" t="s">
        <v>240</v>
      </c>
      <c r="D42" s="82" t="s">
        <v>240</v>
      </c>
      <c r="E42" s="82" t="s">
        <v>240</v>
      </c>
      <c r="F42" s="27"/>
      <c r="G42" s="38" t="s">
        <v>240</v>
      </c>
      <c r="H42" s="24" t="s">
        <v>240</v>
      </c>
    </row>
    <row r="43" spans="1:9" x14ac:dyDescent="0.2">
      <c r="A43" s="30" t="s">
        <v>30</v>
      </c>
      <c r="B43" s="31" t="s">
        <v>3</v>
      </c>
      <c r="C43" s="80">
        <v>547.12021664034535</v>
      </c>
      <c r="D43" s="80">
        <v>587.55197540449115</v>
      </c>
      <c r="E43" s="83">
        <v>748.4902565046774</v>
      </c>
      <c r="F43" s="22" t="s">
        <v>240</v>
      </c>
      <c r="G43" s="37">
        <v>36.805446726291336</v>
      </c>
      <c r="H43" s="33">
        <v>27.39132669741953</v>
      </c>
    </row>
    <row r="44" spans="1:9" x14ac:dyDescent="0.2">
      <c r="A44" s="34"/>
      <c r="B44" s="25" t="s">
        <v>240</v>
      </c>
      <c r="C44" s="82" t="s">
        <v>240</v>
      </c>
      <c r="D44" s="82" t="s">
        <v>240</v>
      </c>
      <c r="E44" s="82" t="s">
        <v>240</v>
      </c>
      <c r="F44" s="27"/>
      <c r="G44" s="28" t="s">
        <v>240</v>
      </c>
      <c r="H44" s="29" t="s">
        <v>240</v>
      </c>
    </row>
    <row r="45" spans="1:9" x14ac:dyDescent="0.2">
      <c r="A45" s="30" t="s">
        <v>31</v>
      </c>
      <c r="B45" s="31" t="s">
        <v>3</v>
      </c>
      <c r="C45" s="80">
        <v>317.10507583637695</v>
      </c>
      <c r="D45" s="80">
        <v>364.83776376508092</v>
      </c>
      <c r="E45" s="83">
        <v>453.04583030496138</v>
      </c>
      <c r="F45" s="22" t="s">
        <v>240</v>
      </c>
      <c r="G45" s="37">
        <v>42.869308890762937</v>
      </c>
      <c r="H45" s="33">
        <v>24.177339985198913</v>
      </c>
    </row>
    <row r="46" spans="1:9" ht="13.5" thickBot="1" x14ac:dyDescent="0.25">
      <c r="A46" s="56"/>
      <c r="B46" s="42" t="s">
        <v>240</v>
      </c>
      <c r="C46" s="86" t="s">
        <v>240</v>
      </c>
      <c r="D46" s="86" t="s">
        <v>240</v>
      </c>
      <c r="E46" s="86" t="s">
        <v>240</v>
      </c>
      <c r="F46" s="44"/>
      <c r="G46" s="57" t="s">
        <v>240</v>
      </c>
      <c r="H46" s="46" t="s">
        <v>240</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241</v>
      </c>
      <c r="G61" s="53"/>
      <c r="H61" s="204">
        <v>11</v>
      </c>
    </row>
    <row r="62" spans="1:9" ht="12.75" customHeight="1" x14ac:dyDescent="0.2">
      <c r="A62" s="54" t="s">
        <v>242</v>
      </c>
      <c r="G62" s="53"/>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ht="12.75" customHeight="1" x14ac:dyDescent="0.2">
      <c r="A7" s="201" t="s">
        <v>26</v>
      </c>
      <c r="B7" s="19" t="s">
        <v>3</v>
      </c>
      <c r="C7" s="20">
        <v>816557.142204843</v>
      </c>
      <c r="D7" s="20">
        <v>848267.68337105052</v>
      </c>
      <c r="E7" s="21">
        <v>911009.80747384159</v>
      </c>
      <c r="F7" s="22" t="s">
        <v>240</v>
      </c>
      <c r="G7" s="23">
        <v>11.567183775278764</v>
      </c>
      <c r="H7" s="24">
        <v>7.3965005779132582</v>
      </c>
    </row>
    <row r="8" spans="1:8" ht="12.75" customHeight="1" x14ac:dyDescent="0.2">
      <c r="A8" s="202"/>
      <c r="B8" s="25" t="s">
        <v>240</v>
      </c>
      <c r="C8" s="26" t="s">
        <v>240</v>
      </c>
      <c r="D8" s="26" t="s">
        <v>240</v>
      </c>
      <c r="E8" s="26" t="s">
        <v>240</v>
      </c>
      <c r="F8" s="27"/>
      <c r="G8" s="28" t="s">
        <v>240</v>
      </c>
      <c r="H8" s="29" t="s">
        <v>240</v>
      </c>
    </row>
    <row r="9" spans="1:8" x14ac:dyDescent="0.2">
      <c r="A9" s="30" t="s">
        <v>34</v>
      </c>
      <c r="B9" s="31" t="s">
        <v>3</v>
      </c>
      <c r="C9" s="20">
        <v>11095.500766879999</v>
      </c>
      <c r="D9" s="20">
        <v>9972.7764000000006</v>
      </c>
      <c r="E9" s="21">
        <v>10745.3024</v>
      </c>
      <c r="F9" s="22" t="s">
        <v>240</v>
      </c>
      <c r="G9" s="32">
        <v>-3.1562195725797153</v>
      </c>
      <c r="H9" s="33">
        <v>7.7463483488910754</v>
      </c>
    </row>
    <row r="10" spans="1:8" x14ac:dyDescent="0.2">
      <c r="A10" s="34"/>
      <c r="B10" s="25" t="s">
        <v>240</v>
      </c>
      <c r="C10" s="26" t="s">
        <v>240</v>
      </c>
      <c r="D10" s="26" t="s">
        <v>240</v>
      </c>
      <c r="E10" s="26" t="s">
        <v>240</v>
      </c>
      <c r="F10" s="27"/>
      <c r="G10" s="35" t="s">
        <v>240</v>
      </c>
      <c r="H10" s="29" t="s">
        <v>240</v>
      </c>
    </row>
    <row r="11" spans="1:8" x14ac:dyDescent="0.2">
      <c r="A11" s="30" t="s">
        <v>35</v>
      </c>
      <c r="B11" s="31" t="s">
        <v>3</v>
      </c>
      <c r="C11" s="20">
        <v>3859.4800613504003</v>
      </c>
      <c r="D11" s="20">
        <v>3488.0621120000001</v>
      </c>
      <c r="E11" s="21">
        <v>3667.3041920000001</v>
      </c>
      <c r="F11" s="22" t="s">
        <v>240</v>
      </c>
      <c r="G11" s="37">
        <v>-4.9793201751419218</v>
      </c>
      <c r="H11" s="33">
        <v>5.1387295938151993</v>
      </c>
    </row>
    <row r="12" spans="1:8" x14ac:dyDescent="0.2">
      <c r="A12" s="34"/>
      <c r="B12" s="25" t="s">
        <v>240</v>
      </c>
      <c r="C12" s="26" t="s">
        <v>240</v>
      </c>
      <c r="D12" s="26" t="s">
        <v>240</v>
      </c>
      <c r="E12" s="26" t="s">
        <v>240</v>
      </c>
      <c r="F12" s="27"/>
      <c r="G12" s="28" t="s">
        <v>240</v>
      </c>
      <c r="H12" s="29" t="s">
        <v>240</v>
      </c>
    </row>
    <row r="13" spans="1:8" x14ac:dyDescent="0.2">
      <c r="A13" s="30" t="s">
        <v>36</v>
      </c>
      <c r="B13" s="31" t="s">
        <v>3</v>
      </c>
      <c r="C13" s="20">
        <v>162594.069018432</v>
      </c>
      <c r="D13" s="20">
        <v>165320.38096000001</v>
      </c>
      <c r="E13" s="21">
        <v>166654.99402666665</v>
      </c>
      <c r="F13" s="22" t="s">
        <v>240</v>
      </c>
      <c r="G13" s="23">
        <v>2.4975849566654773</v>
      </c>
      <c r="H13" s="24">
        <v>0.80728888895409057</v>
      </c>
    </row>
    <row r="14" spans="1:8" x14ac:dyDescent="0.2">
      <c r="A14" s="34"/>
      <c r="B14" s="25" t="s">
        <v>240</v>
      </c>
      <c r="C14" s="26" t="s">
        <v>240</v>
      </c>
      <c r="D14" s="26" t="s">
        <v>240</v>
      </c>
      <c r="E14" s="26" t="s">
        <v>240</v>
      </c>
      <c r="F14" s="27"/>
      <c r="G14" s="38" t="s">
        <v>240</v>
      </c>
      <c r="H14" s="24" t="s">
        <v>240</v>
      </c>
    </row>
    <row r="15" spans="1:8" x14ac:dyDescent="0.2">
      <c r="A15" s="30" t="s">
        <v>18</v>
      </c>
      <c r="B15" s="31" t="s">
        <v>3</v>
      </c>
      <c r="C15" s="20">
        <v>3290.914329536</v>
      </c>
      <c r="D15" s="20">
        <v>3320.3300799999997</v>
      </c>
      <c r="E15" s="21">
        <v>3496.2172799999998</v>
      </c>
      <c r="F15" s="22" t="s">
        <v>240</v>
      </c>
      <c r="G15" s="37">
        <v>6.2384775143309952</v>
      </c>
      <c r="H15" s="33">
        <v>5.2972805643467922</v>
      </c>
    </row>
    <row r="16" spans="1:8" x14ac:dyDescent="0.2">
      <c r="A16" s="34"/>
      <c r="B16" s="25" t="s">
        <v>240</v>
      </c>
      <c r="C16" s="26" t="s">
        <v>240</v>
      </c>
      <c r="D16" s="26" t="s">
        <v>240</v>
      </c>
      <c r="E16" s="26" t="s">
        <v>240</v>
      </c>
      <c r="F16" s="27"/>
      <c r="G16" s="28" t="s">
        <v>240</v>
      </c>
      <c r="H16" s="29" t="s">
        <v>240</v>
      </c>
    </row>
    <row r="17" spans="1:9" x14ac:dyDescent="0.2">
      <c r="A17" s="30" t="s">
        <v>37</v>
      </c>
      <c r="B17" s="31" t="s">
        <v>3</v>
      </c>
      <c r="C17" s="20">
        <v>3854.2200920256</v>
      </c>
      <c r="D17" s="20">
        <v>3147.0931680000003</v>
      </c>
      <c r="E17" s="21">
        <v>2945.9562880000003</v>
      </c>
      <c r="F17" s="22" t="s">
        <v>240</v>
      </c>
      <c r="G17" s="37">
        <v>-23.565436906543084</v>
      </c>
      <c r="H17" s="33">
        <v>-6.3911955974224952</v>
      </c>
    </row>
    <row r="18" spans="1:9" x14ac:dyDescent="0.2">
      <c r="A18" s="34"/>
      <c r="B18" s="25" t="s">
        <v>240</v>
      </c>
      <c r="C18" s="26" t="s">
        <v>240</v>
      </c>
      <c r="D18" s="26" t="s">
        <v>240</v>
      </c>
      <c r="E18" s="26" t="s">
        <v>240</v>
      </c>
      <c r="F18" s="27"/>
      <c r="G18" s="28" t="s">
        <v>240</v>
      </c>
      <c r="H18" s="29" t="s">
        <v>240</v>
      </c>
    </row>
    <row r="19" spans="1:9" x14ac:dyDescent="0.2">
      <c r="A19" s="30" t="s">
        <v>38</v>
      </c>
      <c r="B19" s="31" t="s">
        <v>3</v>
      </c>
      <c r="C19" s="20">
        <v>5040.1334355839999</v>
      </c>
      <c r="D19" s="20">
        <v>4884.1035200000006</v>
      </c>
      <c r="E19" s="21">
        <v>4926.1736533333333</v>
      </c>
      <c r="F19" s="22" t="s">
        <v>240</v>
      </c>
      <c r="G19" s="23">
        <v>-2.2610469287597823</v>
      </c>
      <c r="H19" s="24">
        <v>0.86136858404124439</v>
      </c>
    </row>
    <row r="20" spans="1:9" x14ac:dyDescent="0.2">
      <c r="A20" s="30"/>
      <c r="B20" s="25" t="s">
        <v>240</v>
      </c>
      <c r="C20" s="26" t="s">
        <v>240</v>
      </c>
      <c r="D20" s="26" t="s">
        <v>240</v>
      </c>
      <c r="E20" s="26" t="s">
        <v>240</v>
      </c>
      <c r="F20" s="27"/>
      <c r="G20" s="38" t="s">
        <v>240</v>
      </c>
      <c r="H20" s="24" t="s">
        <v>240</v>
      </c>
    </row>
    <row r="21" spans="1:9" x14ac:dyDescent="0.2">
      <c r="A21" s="39" t="s">
        <v>39</v>
      </c>
      <c r="B21" s="31" t="s">
        <v>3</v>
      </c>
      <c r="C21" s="20">
        <v>249681.80214726401</v>
      </c>
      <c r="D21" s="20">
        <v>256979.17392</v>
      </c>
      <c r="E21" s="21">
        <v>255588.64671999999</v>
      </c>
      <c r="F21" s="22" t="s">
        <v>240</v>
      </c>
      <c r="G21" s="37">
        <v>2.3657489340180575</v>
      </c>
      <c r="H21" s="33">
        <v>-0.54110501593910953</v>
      </c>
    </row>
    <row r="22" spans="1:9" x14ac:dyDescent="0.2">
      <c r="A22" s="34"/>
      <c r="B22" s="25" t="s">
        <v>240</v>
      </c>
      <c r="C22" s="26" t="s">
        <v>240</v>
      </c>
      <c r="D22" s="26" t="s">
        <v>240</v>
      </c>
      <c r="E22" s="26" t="s">
        <v>240</v>
      </c>
      <c r="F22" s="27"/>
      <c r="G22" s="28" t="s">
        <v>240</v>
      </c>
      <c r="H22" s="29" t="s">
        <v>240</v>
      </c>
    </row>
    <row r="23" spans="1:9" x14ac:dyDescent="0.2">
      <c r="A23" s="39" t="s">
        <v>40</v>
      </c>
      <c r="B23" s="31" t="s">
        <v>3</v>
      </c>
      <c r="C23" s="20">
        <v>187068.5373476028</v>
      </c>
      <c r="D23" s="20">
        <v>182046.6436795707</v>
      </c>
      <c r="E23" s="21">
        <v>194993.2096</v>
      </c>
      <c r="F23" s="22" t="s">
        <v>240</v>
      </c>
      <c r="G23" s="23">
        <v>4.2362400245167464</v>
      </c>
      <c r="H23" s="24">
        <v>7.1116751502528217</v>
      </c>
    </row>
    <row r="24" spans="1:9" x14ac:dyDescent="0.2">
      <c r="A24" s="34"/>
      <c r="B24" s="25" t="s">
        <v>240</v>
      </c>
      <c r="C24" s="26" t="s">
        <v>240</v>
      </c>
      <c r="D24" s="26" t="s">
        <v>240</v>
      </c>
      <c r="E24" s="26" t="s">
        <v>240</v>
      </c>
      <c r="F24" s="27"/>
      <c r="G24" s="38" t="s">
        <v>240</v>
      </c>
      <c r="H24" s="24" t="s">
        <v>240</v>
      </c>
    </row>
    <row r="25" spans="1:9" x14ac:dyDescent="0.2">
      <c r="A25" s="30" t="s">
        <v>41</v>
      </c>
      <c r="B25" s="31" t="s">
        <v>3</v>
      </c>
      <c r="C25" s="20">
        <v>266816.75268407998</v>
      </c>
      <c r="D25" s="20">
        <v>276481.21739999996</v>
      </c>
      <c r="E25" s="21">
        <v>323170.55839999998</v>
      </c>
      <c r="F25" s="22" t="s">
        <v>240</v>
      </c>
      <c r="G25" s="37">
        <v>21.120789886325014</v>
      </c>
      <c r="H25" s="33">
        <v>16.886984743145163</v>
      </c>
    </row>
    <row r="26" spans="1:9" x14ac:dyDescent="0.2">
      <c r="A26" s="34"/>
      <c r="B26" s="25" t="s">
        <v>240</v>
      </c>
      <c r="C26" s="26" t="s">
        <v>240</v>
      </c>
      <c r="D26" s="26" t="s">
        <v>240</v>
      </c>
      <c r="E26" s="26" t="s">
        <v>240</v>
      </c>
      <c r="F26" s="27"/>
      <c r="G26" s="28" t="s">
        <v>240</v>
      </c>
      <c r="H26" s="29" t="s">
        <v>240</v>
      </c>
    </row>
    <row r="27" spans="1:9" x14ac:dyDescent="0.2">
      <c r="A27" s="30" t="s">
        <v>24</v>
      </c>
      <c r="B27" s="31" t="s">
        <v>3</v>
      </c>
      <c r="C27" s="20">
        <v>182927.66871167999</v>
      </c>
      <c r="D27" s="20">
        <v>160991.0704</v>
      </c>
      <c r="E27" s="21">
        <v>183520.47306666666</v>
      </c>
      <c r="F27" s="22" t="s">
        <v>240</v>
      </c>
      <c r="G27" s="23">
        <v>0.32406489360612056</v>
      </c>
      <c r="H27" s="24">
        <v>13.994193970317667</v>
      </c>
    </row>
    <row r="28" spans="1:9" ht="13.5" thickBot="1" x14ac:dyDescent="0.25">
      <c r="A28" s="56"/>
      <c r="B28" s="42" t="s">
        <v>240</v>
      </c>
      <c r="C28" s="43" t="s">
        <v>240</v>
      </c>
      <c r="D28" s="43" t="s">
        <v>240</v>
      </c>
      <c r="E28" s="43" t="s">
        <v>240</v>
      </c>
      <c r="F28" s="44"/>
      <c r="G28" s="57" t="s">
        <v>240</v>
      </c>
      <c r="H28" s="46" t="s">
        <v>240</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5" t="s">
        <v>16</v>
      </c>
      <c r="D33" s="199"/>
      <c r="E33" s="199"/>
      <c r="F33" s="206"/>
      <c r="G33" s="199" t="s">
        <v>1</v>
      </c>
      <c r="H33" s="200"/>
    </row>
    <row r="34" spans="1:8" x14ac:dyDescent="0.2">
      <c r="A34" s="12"/>
      <c r="B34" s="13"/>
      <c r="C34" s="14" t="s">
        <v>235</v>
      </c>
      <c r="D34" s="15" t="s">
        <v>236</v>
      </c>
      <c r="E34" s="15" t="s">
        <v>237</v>
      </c>
      <c r="F34" s="16"/>
      <c r="G34" s="17" t="s">
        <v>238</v>
      </c>
      <c r="H34" s="18" t="s">
        <v>239</v>
      </c>
    </row>
    <row r="35" spans="1:8" ht="12.75" customHeight="1" x14ac:dyDescent="0.2">
      <c r="A35" s="201" t="s">
        <v>26</v>
      </c>
      <c r="B35" s="19" t="s">
        <v>3</v>
      </c>
      <c r="C35" s="80">
        <v>12755.754436418403</v>
      </c>
      <c r="D35" s="80">
        <v>13878.920128694612</v>
      </c>
      <c r="E35" s="83">
        <v>15159.572619238015</v>
      </c>
      <c r="F35" s="22" t="s">
        <v>240</v>
      </c>
      <c r="G35" s="23">
        <v>18.844970674228207</v>
      </c>
      <c r="H35" s="24">
        <v>9.2273208482240676</v>
      </c>
    </row>
    <row r="36" spans="1:8" ht="12.75" customHeight="1" x14ac:dyDescent="0.2">
      <c r="A36" s="202"/>
      <c r="B36" s="25" t="s">
        <v>240</v>
      </c>
      <c r="C36" s="82" t="s">
        <v>240</v>
      </c>
      <c r="D36" s="82" t="s">
        <v>240</v>
      </c>
      <c r="E36" s="82" t="s">
        <v>240</v>
      </c>
      <c r="F36" s="27"/>
      <c r="G36" s="28" t="s">
        <v>240</v>
      </c>
      <c r="H36" s="29" t="s">
        <v>240</v>
      </c>
    </row>
    <row r="37" spans="1:8" x14ac:dyDescent="0.2">
      <c r="A37" s="30" t="s">
        <v>34</v>
      </c>
      <c r="B37" s="31" t="s">
        <v>3</v>
      </c>
      <c r="C37" s="84">
        <v>1136.0989040627928</v>
      </c>
      <c r="D37" s="84">
        <v>1227.2357933286007</v>
      </c>
      <c r="E37" s="83">
        <v>1156.4456798513122</v>
      </c>
      <c r="F37" s="22" t="s">
        <v>240</v>
      </c>
      <c r="G37" s="32">
        <v>1.7909334931806882</v>
      </c>
      <c r="H37" s="33">
        <v>-5.7682569121689511</v>
      </c>
    </row>
    <row r="38" spans="1:8" x14ac:dyDescent="0.2">
      <c r="A38" s="34"/>
      <c r="B38" s="25" t="s">
        <v>240</v>
      </c>
      <c r="C38" s="82" t="s">
        <v>240</v>
      </c>
      <c r="D38" s="82" t="s">
        <v>240</v>
      </c>
      <c r="E38" s="82" t="s">
        <v>240</v>
      </c>
      <c r="F38" s="27"/>
      <c r="G38" s="35" t="s">
        <v>240</v>
      </c>
      <c r="H38" s="29" t="s">
        <v>240</v>
      </c>
    </row>
    <row r="39" spans="1:8" x14ac:dyDescent="0.2">
      <c r="A39" s="30" t="s">
        <v>35</v>
      </c>
      <c r="B39" s="31" t="s">
        <v>3</v>
      </c>
      <c r="C39" s="84">
        <v>42.049639632358272</v>
      </c>
      <c r="D39" s="84">
        <v>38.949811254098542</v>
      </c>
      <c r="E39" s="83">
        <v>43.881944022192918</v>
      </c>
      <c r="F39" s="22" t="s">
        <v>240</v>
      </c>
      <c r="G39" s="37">
        <v>4.3574794120819149</v>
      </c>
      <c r="H39" s="33">
        <v>12.662789906524608</v>
      </c>
    </row>
    <row r="40" spans="1:8" x14ac:dyDescent="0.2">
      <c r="A40" s="34"/>
      <c r="B40" s="25" t="s">
        <v>240</v>
      </c>
      <c r="C40" s="82" t="s">
        <v>240</v>
      </c>
      <c r="D40" s="82" t="s">
        <v>240</v>
      </c>
      <c r="E40" s="82" t="s">
        <v>240</v>
      </c>
      <c r="F40" s="27"/>
      <c r="G40" s="28" t="s">
        <v>240</v>
      </c>
      <c r="H40" s="29" t="s">
        <v>240</v>
      </c>
    </row>
    <row r="41" spans="1:8" x14ac:dyDescent="0.2">
      <c r="A41" s="30" t="s">
        <v>36</v>
      </c>
      <c r="B41" s="31" t="s">
        <v>3</v>
      </c>
      <c r="C41" s="84">
        <v>2640.3074502237951</v>
      </c>
      <c r="D41" s="84">
        <v>2731.9712473838736</v>
      </c>
      <c r="E41" s="83">
        <v>2877.4410523838951</v>
      </c>
      <c r="F41" s="22" t="s">
        <v>240</v>
      </c>
      <c r="G41" s="23">
        <v>8.9812874686241599</v>
      </c>
      <c r="H41" s="24">
        <v>5.3247194727734808</v>
      </c>
    </row>
    <row r="42" spans="1:8" x14ac:dyDescent="0.2">
      <c r="A42" s="34"/>
      <c r="B42" s="25" t="s">
        <v>240</v>
      </c>
      <c r="C42" s="82" t="s">
        <v>240</v>
      </c>
      <c r="D42" s="82" t="s">
        <v>240</v>
      </c>
      <c r="E42" s="82" t="s">
        <v>240</v>
      </c>
      <c r="F42" s="27"/>
      <c r="G42" s="38" t="s">
        <v>240</v>
      </c>
      <c r="H42" s="24" t="s">
        <v>240</v>
      </c>
    </row>
    <row r="43" spans="1:8" x14ac:dyDescent="0.2">
      <c r="A43" s="30" t="s">
        <v>18</v>
      </c>
      <c r="B43" s="31" t="s">
        <v>3</v>
      </c>
      <c r="C43" s="84">
        <v>196.17641437935978</v>
      </c>
      <c r="D43" s="84">
        <v>225.16202558953503</v>
      </c>
      <c r="E43" s="83">
        <v>278.09146904358499</v>
      </c>
      <c r="F43" s="22" t="s">
        <v>240</v>
      </c>
      <c r="G43" s="37">
        <v>41.755811942724392</v>
      </c>
      <c r="H43" s="33">
        <v>23.507269183365338</v>
      </c>
    </row>
    <row r="44" spans="1:8" x14ac:dyDescent="0.2">
      <c r="A44" s="34"/>
      <c r="B44" s="25" t="s">
        <v>240</v>
      </c>
      <c r="C44" s="82" t="s">
        <v>240</v>
      </c>
      <c r="D44" s="82" t="s">
        <v>240</v>
      </c>
      <c r="E44" s="82" t="s">
        <v>240</v>
      </c>
      <c r="F44" s="27"/>
      <c r="G44" s="28" t="s">
        <v>240</v>
      </c>
      <c r="H44" s="29" t="s">
        <v>240</v>
      </c>
    </row>
    <row r="45" spans="1:8" x14ac:dyDescent="0.2">
      <c r="A45" s="30" t="s">
        <v>37</v>
      </c>
      <c r="B45" s="31" t="s">
        <v>3</v>
      </c>
      <c r="C45" s="84">
        <v>141.653977630106</v>
      </c>
      <c r="D45" s="84">
        <v>128.70785007181718</v>
      </c>
      <c r="E45" s="83">
        <v>121.72996405712665</v>
      </c>
      <c r="F45" s="22" t="s">
        <v>240</v>
      </c>
      <c r="G45" s="37">
        <v>-14.065269402463187</v>
      </c>
      <c r="H45" s="33">
        <v>-5.4214921706772117</v>
      </c>
    </row>
    <row r="46" spans="1:8" x14ac:dyDescent="0.2">
      <c r="A46" s="34"/>
      <c r="B46" s="25" t="s">
        <v>240</v>
      </c>
      <c r="C46" s="82" t="s">
        <v>240</v>
      </c>
      <c r="D46" s="82" t="s">
        <v>240</v>
      </c>
      <c r="E46" s="82" t="s">
        <v>240</v>
      </c>
      <c r="F46" s="27"/>
      <c r="G46" s="28" t="s">
        <v>240</v>
      </c>
      <c r="H46" s="29" t="s">
        <v>240</v>
      </c>
    </row>
    <row r="47" spans="1:8" x14ac:dyDescent="0.2">
      <c r="A47" s="30" t="s">
        <v>38</v>
      </c>
      <c r="B47" s="31" t="s">
        <v>3</v>
      </c>
      <c r="C47" s="84">
        <v>81.554477373717546</v>
      </c>
      <c r="D47" s="84">
        <v>88.781088354513912</v>
      </c>
      <c r="E47" s="83">
        <v>96.508796485767391</v>
      </c>
      <c r="F47" s="22" t="s">
        <v>240</v>
      </c>
      <c r="G47" s="23">
        <v>18.336600998033177</v>
      </c>
      <c r="H47" s="24">
        <v>8.7042277521939866</v>
      </c>
    </row>
    <row r="48" spans="1:8" x14ac:dyDescent="0.2">
      <c r="A48" s="30"/>
      <c r="B48" s="25" t="s">
        <v>240</v>
      </c>
      <c r="C48" s="82" t="s">
        <v>240</v>
      </c>
      <c r="D48" s="82" t="s">
        <v>240</v>
      </c>
      <c r="E48" s="82" t="s">
        <v>240</v>
      </c>
      <c r="F48" s="27"/>
      <c r="G48" s="38" t="s">
        <v>240</v>
      </c>
      <c r="H48" s="24" t="s">
        <v>240</v>
      </c>
    </row>
    <row r="49" spans="1:9" x14ac:dyDescent="0.2">
      <c r="A49" s="39" t="s">
        <v>39</v>
      </c>
      <c r="B49" s="31" t="s">
        <v>3</v>
      </c>
      <c r="C49" s="84">
        <v>1471.1466948414441</v>
      </c>
      <c r="D49" s="84">
        <v>1584.2496189421051</v>
      </c>
      <c r="E49" s="83">
        <v>1617.8431538693196</v>
      </c>
      <c r="F49" s="22" t="s">
        <v>240</v>
      </c>
      <c r="G49" s="37">
        <v>9.9715724843936187</v>
      </c>
      <c r="H49" s="33">
        <v>2.1204698126830976</v>
      </c>
    </row>
    <row r="50" spans="1:9" x14ac:dyDescent="0.2">
      <c r="A50" s="34"/>
      <c r="B50" s="25" t="s">
        <v>240</v>
      </c>
      <c r="C50" s="82" t="s">
        <v>240</v>
      </c>
      <c r="D50" s="82" t="s">
        <v>240</v>
      </c>
      <c r="E50" s="82" t="s">
        <v>240</v>
      </c>
      <c r="F50" s="27"/>
      <c r="G50" s="28" t="s">
        <v>240</v>
      </c>
      <c r="H50" s="29" t="s">
        <v>240</v>
      </c>
    </row>
    <row r="51" spans="1:9" x14ac:dyDescent="0.2">
      <c r="A51" s="39" t="s">
        <v>40</v>
      </c>
      <c r="B51" s="31" t="s">
        <v>3</v>
      </c>
      <c r="C51" s="84">
        <v>679.94174092724461</v>
      </c>
      <c r="D51" s="84">
        <v>713.86243103917968</v>
      </c>
      <c r="E51" s="83">
        <v>810.07675183774268</v>
      </c>
      <c r="F51" s="22" t="s">
        <v>240</v>
      </c>
      <c r="G51" s="23">
        <v>19.139141352468144</v>
      </c>
      <c r="H51" s="24">
        <v>13.477991923248084</v>
      </c>
    </row>
    <row r="52" spans="1:9" x14ac:dyDescent="0.2">
      <c r="A52" s="34"/>
      <c r="B52" s="25" t="s">
        <v>240</v>
      </c>
      <c r="C52" s="82" t="s">
        <v>240</v>
      </c>
      <c r="D52" s="82" t="s">
        <v>240</v>
      </c>
      <c r="E52" s="82" t="s">
        <v>240</v>
      </c>
      <c r="F52" s="27"/>
      <c r="G52" s="38" t="s">
        <v>240</v>
      </c>
      <c r="H52" s="24" t="s">
        <v>240</v>
      </c>
    </row>
    <row r="53" spans="1:9" x14ac:dyDescent="0.2">
      <c r="A53" s="30" t="s">
        <v>41</v>
      </c>
      <c r="B53" s="31" t="s">
        <v>3</v>
      </c>
      <c r="C53" s="84">
        <v>5704.8063058059452</v>
      </c>
      <c r="D53" s="84">
        <v>6408.9540404294748</v>
      </c>
      <c r="E53" s="83">
        <v>7309.9789433679634</v>
      </c>
      <c r="F53" s="22" t="s">
        <v>240</v>
      </c>
      <c r="G53" s="37">
        <v>28.137197855926985</v>
      </c>
      <c r="H53" s="33">
        <v>14.058844817025857</v>
      </c>
    </row>
    <row r="54" spans="1:9" x14ac:dyDescent="0.2">
      <c r="A54" s="34"/>
      <c r="B54" s="25" t="s">
        <v>240</v>
      </c>
      <c r="C54" s="82" t="s">
        <v>240</v>
      </c>
      <c r="D54" s="82" t="s">
        <v>240</v>
      </c>
      <c r="E54" s="82" t="s">
        <v>240</v>
      </c>
      <c r="F54" s="27"/>
      <c r="G54" s="28" t="s">
        <v>240</v>
      </c>
      <c r="H54" s="29" t="s">
        <v>240</v>
      </c>
    </row>
    <row r="55" spans="1:9" x14ac:dyDescent="0.2">
      <c r="A55" s="30" t="s">
        <v>24</v>
      </c>
      <c r="B55" s="31" t="s">
        <v>3</v>
      </c>
      <c r="C55" s="84">
        <v>662.01883154164057</v>
      </c>
      <c r="D55" s="84">
        <v>731.04622230141717</v>
      </c>
      <c r="E55" s="83">
        <v>847.57486431911173</v>
      </c>
      <c r="F55" s="22" t="s">
        <v>240</v>
      </c>
      <c r="G55" s="23">
        <v>28.028814882103518</v>
      </c>
      <c r="H55" s="24">
        <v>15.93998278943964</v>
      </c>
    </row>
    <row r="56" spans="1:9" ht="13.5" thickBot="1" x14ac:dyDescent="0.25">
      <c r="A56" s="56"/>
      <c r="B56" s="42" t="s">
        <v>240</v>
      </c>
      <c r="C56" s="86" t="s">
        <v>240</v>
      </c>
      <c r="D56" s="86" t="s">
        <v>240</v>
      </c>
      <c r="E56" s="86" t="s">
        <v>240</v>
      </c>
      <c r="F56" s="44"/>
      <c r="G56" s="57" t="s">
        <v>240</v>
      </c>
      <c r="H56" s="46" t="s">
        <v>240</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241</v>
      </c>
      <c r="H61" s="196">
        <v>12</v>
      </c>
    </row>
    <row r="62" spans="1:9" ht="12.75" customHeight="1" x14ac:dyDescent="0.2">
      <c r="A62" s="54" t="s">
        <v>242</v>
      </c>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199" t="s">
        <v>1</v>
      </c>
      <c r="H5" s="200"/>
    </row>
    <row r="6" spans="1:8" x14ac:dyDescent="0.2">
      <c r="A6" s="12"/>
      <c r="B6" s="13"/>
      <c r="C6" s="14" t="s">
        <v>235</v>
      </c>
      <c r="D6" s="15" t="s">
        <v>236</v>
      </c>
      <c r="E6" s="15" t="s">
        <v>237</v>
      </c>
      <c r="F6" s="16"/>
      <c r="G6" s="17" t="s">
        <v>238</v>
      </c>
      <c r="H6" s="18" t="s">
        <v>239</v>
      </c>
    </row>
    <row r="7" spans="1:8" x14ac:dyDescent="0.2">
      <c r="A7" s="201" t="s">
        <v>17</v>
      </c>
      <c r="B7" s="19" t="s">
        <v>3</v>
      </c>
      <c r="C7" s="20">
        <v>334517.38835614501</v>
      </c>
      <c r="D7" s="20">
        <v>312410.11965267966</v>
      </c>
      <c r="E7" s="21">
        <v>402881.93909904256</v>
      </c>
      <c r="F7" s="22" t="s">
        <v>240</v>
      </c>
      <c r="G7" s="23">
        <v>20.436770440797829</v>
      </c>
      <c r="H7" s="24">
        <v>28.959311416334572</v>
      </c>
    </row>
    <row r="8" spans="1:8" x14ac:dyDescent="0.2">
      <c r="A8" s="202"/>
      <c r="B8" s="25" t="s">
        <v>240</v>
      </c>
      <c r="C8" s="26" t="s">
        <v>240</v>
      </c>
      <c r="D8" s="26" t="s">
        <v>240</v>
      </c>
      <c r="E8" s="26" t="s">
        <v>240</v>
      </c>
      <c r="F8" s="27"/>
      <c r="G8" s="28" t="s">
        <v>240</v>
      </c>
      <c r="H8" s="29" t="s">
        <v>240</v>
      </c>
    </row>
    <row r="9" spans="1:8" x14ac:dyDescent="0.2">
      <c r="A9" s="30" t="s">
        <v>18</v>
      </c>
      <c r="B9" s="31" t="s">
        <v>3</v>
      </c>
      <c r="C9" s="20">
        <v>23536.523630187305</v>
      </c>
      <c r="D9" s="20">
        <v>22734.102206588694</v>
      </c>
      <c r="E9" s="21">
        <v>24862.406678260872</v>
      </c>
      <c r="F9" s="22" t="s">
        <v>240</v>
      </c>
      <c r="G9" s="32">
        <v>5.6333002651802957</v>
      </c>
      <c r="H9" s="33">
        <v>9.361726503786727</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65001.412100624351</v>
      </c>
      <c r="D11" s="20">
        <v>60163.007355295653</v>
      </c>
      <c r="E11" s="21">
        <v>70303.022260869562</v>
      </c>
      <c r="F11" s="22" t="s">
        <v>240</v>
      </c>
      <c r="G11" s="37">
        <v>8.1561461342380568</v>
      </c>
      <c r="H11" s="33">
        <v>16.854235436888217</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31805.624809821118</v>
      </c>
      <c r="D13" s="20">
        <v>26862.717788236027</v>
      </c>
      <c r="E13" s="21">
        <v>29741.962981366458</v>
      </c>
      <c r="F13" s="22" t="s">
        <v>240</v>
      </c>
      <c r="G13" s="23">
        <v>-6.4883549397131475</v>
      </c>
      <c r="H13" s="24">
        <v>10.718368914970085</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7423.0572361978266</v>
      </c>
      <c r="D15" s="20">
        <v>4938.2510215688408</v>
      </c>
      <c r="E15" s="21">
        <v>4864.7808695652175</v>
      </c>
      <c r="F15" s="22" t="s">
        <v>240</v>
      </c>
      <c r="G15" s="37">
        <v>-34.463918103142461</v>
      </c>
      <c r="H15" s="33">
        <v>-1.4877767793238377</v>
      </c>
    </row>
    <row r="16" spans="1:8" x14ac:dyDescent="0.2">
      <c r="A16" s="34"/>
      <c r="B16" s="25" t="s">
        <v>240</v>
      </c>
      <c r="C16" s="26" t="s">
        <v>240</v>
      </c>
      <c r="D16" s="26" t="s">
        <v>240</v>
      </c>
      <c r="E16" s="26" t="s">
        <v>240</v>
      </c>
      <c r="F16" s="27"/>
      <c r="G16" s="28" t="s">
        <v>240</v>
      </c>
      <c r="H16" s="29" t="s">
        <v>240</v>
      </c>
    </row>
    <row r="17" spans="1:8" x14ac:dyDescent="0.2">
      <c r="A17" s="30" t="s">
        <v>22</v>
      </c>
      <c r="B17" s="31" t="s">
        <v>3</v>
      </c>
      <c r="C17" s="20">
        <v>6049.0572361978266</v>
      </c>
      <c r="D17" s="20">
        <v>6123.2510215688408</v>
      </c>
      <c r="E17" s="21">
        <v>8089.7808695652175</v>
      </c>
      <c r="F17" s="22" t="s">
        <v>240</v>
      </c>
      <c r="G17" s="37">
        <v>33.736226219775375</v>
      </c>
      <c r="H17" s="33">
        <v>32.115780343960665</v>
      </c>
    </row>
    <row r="18" spans="1:8" x14ac:dyDescent="0.2">
      <c r="A18" s="34"/>
      <c r="B18" s="25" t="s">
        <v>240</v>
      </c>
      <c r="C18" s="26" t="s">
        <v>240</v>
      </c>
      <c r="D18" s="26" t="s">
        <v>240</v>
      </c>
      <c r="E18" s="26" t="s">
        <v>240</v>
      </c>
      <c r="F18" s="27"/>
      <c r="G18" s="28" t="s">
        <v>240</v>
      </c>
      <c r="H18" s="29" t="s">
        <v>240</v>
      </c>
    </row>
    <row r="19" spans="1:8" x14ac:dyDescent="0.2">
      <c r="A19" s="30" t="s">
        <v>190</v>
      </c>
      <c r="B19" s="31" t="s">
        <v>3</v>
      </c>
      <c r="C19" s="20">
        <v>141955.06202455278</v>
      </c>
      <c r="D19" s="20">
        <v>123601.29447059006</v>
      </c>
      <c r="E19" s="21">
        <v>174066.40745341615</v>
      </c>
      <c r="F19" s="22" t="s">
        <v>240</v>
      </c>
      <c r="G19" s="23">
        <v>22.620782218607545</v>
      </c>
      <c r="H19" s="24">
        <v>40.828951831757621</v>
      </c>
    </row>
    <row r="20" spans="1:8" x14ac:dyDescent="0.2">
      <c r="A20" s="30"/>
      <c r="B20" s="25" t="s">
        <v>240</v>
      </c>
      <c r="C20" s="26" t="s">
        <v>240</v>
      </c>
      <c r="D20" s="26" t="s">
        <v>240</v>
      </c>
      <c r="E20" s="26" t="s">
        <v>240</v>
      </c>
      <c r="F20" s="27"/>
      <c r="G20" s="38" t="s">
        <v>240</v>
      </c>
      <c r="H20" s="24" t="s">
        <v>240</v>
      </c>
    </row>
    <row r="21" spans="1:8" x14ac:dyDescent="0.2">
      <c r="A21" s="39" t="s">
        <v>12</v>
      </c>
      <c r="B21" s="31" t="s">
        <v>3</v>
      </c>
      <c r="C21" s="20">
        <v>1743.0343417186957</v>
      </c>
      <c r="D21" s="20">
        <v>1834.7506129413043</v>
      </c>
      <c r="E21" s="21">
        <v>1964.6685217391305</v>
      </c>
      <c r="F21" s="22" t="s">
        <v>240</v>
      </c>
      <c r="G21" s="37">
        <v>12.715422451280872</v>
      </c>
      <c r="H21" s="33">
        <v>7.0809573727054698</v>
      </c>
    </row>
    <row r="22" spans="1:8" x14ac:dyDescent="0.2">
      <c r="A22" s="34"/>
      <c r="B22" s="25" t="s">
        <v>240</v>
      </c>
      <c r="C22" s="26" t="s">
        <v>240</v>
      </c>
      <c r="D22" s="26" t="s">
        <v>240</v>
      </c>
      <c r="E22" s="26" t="s">
        <v>240</v>
      </c>
      <c r="F22" s="27"/>
      <c r="G22" s="28" t="s">
        <v>240</v>
      </c>
      <c r="H22" s="29" t="s">
        <v>240</v>
      </c>
    </row>
    <row r="23" spans="1:8" x14ac:dyDescent="0.2">
      <c r="A23" s="39" t="s">
        <v>23</v>
      </c>
      <c r="B23" s="31" t="s">
        <v>3</v>
      </c>
      <c r="C23" s="20">
        <v>12473.057236197827</v>
      </c>
      <c r="D23" s="20">
        <v>12935.251021568842</v>
      </c>
      <c r="E23" s="21">
        <v>13348.780869565217</v>
      </c>
      <c r="F23" s="22" t="s">
        <v>240</v>
      </c>
      <c r="G23" s="23">
        <v>7.0209221106271258</v>
      </c>
      <c r="H23" s="24">
        <v>3.1969217088005308</v>
      </c>
    </row>
    <row r="24" spans="1:8" x14ac:dyDescent="0.2">
      <c r="A24" s="34"/>
      <c r="B24" s="25" t="s">
        <v>240</v>
      </c>
      <c r="C24" s="26" t="s">
        <v>240</v>
      </c>
      <c r="D24" s="26" t="s">
        <v>240</v>
      </c>
      <c r="E24" s="26" t="s">
        <v>240</v>
      </c>
      <c r="F24" s="27"/>
      <c r="G24" s="28" t="s">
        <v>240</v>
      </c>
      <c r="H24" s="29" t="s">
        <v>240</v>
      </c>
    </row>
    <row r="25" spans="1:8" x14ac:dyDescent="0.2">
      <c r="A25" s="30" t="s">
        <v>24</v>
      </c>
      <c r="B25" s="31" t="s">
        <v>3</v>
      </c>
      <c r="C25" s="20">
        <v>51892.114472395653</v>
      </c>
      <c r="D25" s="20">
        <v>59331.502043137683</v>
      </c>
      <c r="E25" s="21">
        <v>87144.56173913044</v>
      </c>
      <c r="F25" s="22" t="s">
        <v>240</v>
      </c>
      <c r="G25" s="23">
        <v>67.934112196348337</v>
      </c>
      <c r="H25" s="24">
        <v>46.877390152318981</v>
      </c>
    </row>
    <row r="26" spans="1:8" ht="13.5" thickBot="1" x14ac:dyDescent="0.25">
      <c r="A26" s="41"/>
      <c r="B26" s="42" t="s">
        <v>240</v>
      </c>
      <c r="C26" s="43" t="s">
        <v>240</v>
      </c>
      <c r="D26" s="43" t="s">
        <v>240</v>
      </c>
      <c r="E26" s="43" t="s">
        <v>240</v>
      </c>
      <c r="F26" s="44"/>
      <c r="G26" s="45" t="s">
        <v>240</v>
      </c>
      <c r="H26" s="46" t="s">
        <v>240</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5" t="s">
        <v>16</v>
      </c>
      <c r="D33" s="199"/>
      <c r="E33" s="199"/>
      <c r="F33" s="206"/>
      <c r="G33" s="199" t="s">
        <v>1</v>
      </c>
      <c r="H33" s="200"/>
    </row>
    <row r="34" spans="1:8" x14ac:dyDescent="0.2">
      <c r="A34" s="12"/>
      <c r="B34" s="13"/>
      <c r="C34" s="14" t="s">
        <v>235</v>
      </c>
      <c r="D34" s="15" t="s">
        <v>236</v>
      </c>
      <c r="E34" s="15" t="s">
        <v>237</v>
      </c>
      <c r="F34" s="16"/>
      <c r="G34" s="17" t="s">
        <v>238</v>
      </c>
      <c r="H34" s="18" t="s">
        <v>239</v>
      </c>
    </row>
    <row r="35" spans="1:8" x14ac:dyDescent="0.2">
      <c r="A35" s="201" t="s">
        <v>17</v>
      </c>
      <c r="B35" s="19" t="s">
        <v>3</v>
      </c>
      <c r="C35" s="80">
        <v>7461.0390863119956</v>
      </c>
      <c r="D35" s="80">
        <v>7171.790369567203</v>
      </c>
      <c r="E35" s="83">
        <v>8904.1419745772473</v>
      </c>
      <c r="F35" s="22" t="s">
        <v>240</v>
      </c>
      <c r="G35" s="23">
        <v>19.341848656345533</v>
      </c>
      <c r="H35" s="24">
        <v>24.155078658755997</v>
      </c>
    </row>
    <row r="36" spans="1:8" x14ac:dyDescent="0.2">
      <c r="A36" s="202"/>
      <c r="B36" s="25" t="s">
        <v>240</v>
      </c>
      <c r="C36" s="82" t="s">
        <v>240</v>
      </c>
      <c r="D36" s="82" t="s">
        <v>240</v>
      </c>
      <c r="E36" s="82" t="s">
        <v>240</v>
      </c>
      <c r="F36" s="27"/>
      <c r="G36" s="28" t="s">
        <v>240</v>
      </c>
      <c r="H36" s="29" t="s">
        <v>240</v>
      </c>
    </row>
    <row r="37" spans="1:8" x14ac:dyDescent="0.2">
      <c r="A37" s="30" t="s">
        <v>18</v>
      </c>
      <c r="B37" s="31" t="s">
        <v>3</v>
      </c>
      <c r="C37" s="80">
        <v>2583.8458609515292</v>
      </c>
      <c r="D37" s="80">
        <v>2543.9606140869664</v>
      </c>
      <c r="E37" s="83">
        <v>3037.294126298033</v>
      </c>
      <c r="F37" s="22" t="s">
        <v>240</v>
      </c>
      <c r="G37" s="32">
        <v>17.549354324855756</v>
      </c>
      <c r="H37" s="33">
        <v>19.392340804306258</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2736.5334327549722</v>
      </c>
      <c r="D39" s="80">
        <v>2463.2625002424434</v>
      </c>
      <c r="E39" s="83">
        <v>2934.7476806299087</v>
      </c>
      <c r="F39" s="22" t="s">
        <v>240</v>
      </c>
      <c r="G39" s="37">
        <v>7.2432605976016333</v>
      </c>
      <c r="H39" s="33">
        <v>19.140679498878413</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423.23251028523339</v>
      </c>
      <c r="D41" s="80">
        <v>364.95528732458069</v>
      </c>
      <c r="E41" s="83">
        <v>375.45911592854429</v>
      </c>
      <c r="F41" s="22" t="s">
        <v>240</v>
      </c>
      <c r="G41" s="23">
        <v>-11.287742126542383</v>
      </c>
      <c r="H41" s="24">
        <v>2.8781138316875001</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44.045885796575199</v>
      </c>
      <c r="D43" s="80">
        <v>41.787927755822381</v>
      </c>
      <c r="E43" s="83">
        <v>45.958752576502974</v>
      </c>
      <c r="F43" s="22" t="s">
        <v>240</v>
      </c>
      <c r="G43" s="37">
        <v>4.3428954721499053</v>
      </c>
      <c r="H43" s="33">
        <v>9.9809324000266173</v>
      </c>
    </row>
    <row r="44" spans="1:8" x14ac:dyDescent="0.2">
      <c r="A44" s="34"/>
      <c r="B44" s="25" t="s">
        <v>240</v>
      </c>
      <c r="C44" s="82" t="s">
        <v>240</v>
      </c>
      <c r="D44" s="82" t="s">
        <v>240</v>
      </c>
      <c r="E44" s="82" t="s">
        <v>240</v>
      </c>
      <c r="F44" s="27"/>
      <c r="G44" s="28" t="s">
        <v>240</v>
      </c>
      <c r="H44" s="29" t="s">
        <v>240</v>
      </c>
    </row>
    <row r="45" spans="1:8" x14ac:dyDescent="0.2">
      <c r="A45" s="30" t="s">
        <v>22</v>
      </c>
      <c r="B45" s="31" t="s">
        <v>3</v>
      </c>
      <c r="C45" s="80">
        <v>29.401197695459167</v>
      </c>
      <c r="D45" s="80">
        <v>29.436083674779383</v>
      </c>
      <c r="E45" s="83">
        <v>40.378602719497842</v>
      </c>
      <c r="F45" s="22" t="s">
        <v>240</v>
      </c>
      <c r="G45" s="37">
        <v>37.33659131081609</v>
      </c>
      <c r="H45" s="33">
        <v>37.173827760565615</v>
      </c>
    </row>
    <row r="46" spans="1:8" x14ac:dyDescent="0.2">
      <c r="A46" s="34"/>
      <c r="B46" s="25" t="s">
        <v>240</v>
      </c>
      <c r="C46" s="82" t="s">
        <v>240</v>
      </c>
      <c r="D46" s="82" t="s">
        <v>240</v>
      </c>
      <c r="E46" s="82" t="s">
        <v>240</v>
      </c>
      <c r="F46" s="27"/>
      <c r="G46" s="28" t="s">
        <v>240</v>
      </c>
      <c r="H46" s="29" t="s">
        <v>240</v>
      </c>
    </row>
    <row r="47" spans="1:8" x14ac:dyDescent="0.2">
      <c r="A47" s="30" t="s">
        <v>190</v>
      </c>
      <c r="B47" s="31" t="s">
        <v>3</v>
      </c>
      <c r="C47" s="80">
        <v>862.625715075926</v>
      </c>
      <c r="D47" s="80">
        <v>820.15248308190007</v>
      </c>
      <c r="E47" s="83">
        <v>1259.486450698118</v>
      </c>
      <c r="F47" s="22" t="s">
        <v>240</v>
      </c>
      <c r="G47" s="23">
        <v>46.006133214711951</v>
      </c>
      <c r="H47" s="24">
        <v>53.56735200816874</v>
      </c>
    </row>
    <row r="48" spans="1:8" x14ac:dyDescent="0.2">
      <c r="A48" s="30"/>
      <c r="B48" s="25" t="s">
        <v>240</v>
      </c>
      <c r="C48" s="82" t="s">
        <v>240</v>
      </c>
      <c r="D48" s="82" t="s">
        <v>240</v>
      </c>
      <c r="E48" s="82" t="s">
        <v>240</v>
      </c>
      <c r="F48" s="27"/>
      <c r="G48" s="38" t="s">
        <v>240</v>
      </c>
      <c r="H48" s="24" t="s">
        <v>240</v>
      </c>
    </row>
    <row r="49" spans="1:8" x14ac:dyDescent="0.2">
      <c r="A49" s="39" t="s">
        <v>12</v>
      </c>
      <c r="B49" s="31" t="s">
        <v>3</v>
      </c>
      <c r="C49" s="80">
        <v>19.688462147813876</v>
      </c>
      <c r="D49" s="80">
        <v>20.946257253498221</v>
      </c>
      <c r="E49" s="83">
        <v>22.75966142455481</v>
      </c>
      <c r="F49" s="22" t="s">
        <v>240</v>
      </c>
      <c r="G49" s="37">
        <v>15.598980020295514</v>
      </c>
      <c r="H49" s="33">
        <v>8.6574138239123215</v>
      </c>
    </row>
    <row r="50" spans="1:8" x14ac:dyDescent="0.2">
      <c r="A50" s="34"/>
      <c r="B50" s="25" t="s">
        <v>240</v>
      </c>
      <c r="C50" s="82" t="s">
        <v>240</v>
      </c>
      <c r="D50" s="82" t="s">
        <v>240</v>
      </c>
      <c r="E50" s="82" t="s">
        <v>240</v>
      </c>
      <c r="F50" s="27"/>
      <c r="G50" s="28" t="s">
        <v>240</v>
      </c>
      <c r="H50" s="29" t="s">
        <v>240</v>
      </c>
    </row>
    <row r="51" spans="1:8" x14ac:dyDescent="0.2">
      <c r="A51" s="39" t="s">
        <v>23</v>
      </c>
      <c r="B51" s="31" t="s">
        <v>3</v>
      </c>
      <c r="C51" s="80">
        <v>284.09974608049771</v>
      </c>
      <c r="D51" s="80">
        <v>307.54379769015583</v>
      </c>
      <c r="E51" s="83">
        <v>332.91484501083897</v>
      </c>
      <c r="F51" s="22" t="s">
        <v>240</v>
      </c>
      <c r="G51" s="23">
        <v>17.182380344863063</v>
      </c>
      <c r="H51" s="24">
        <v>8.2495720971241866</v>
      </c>
    </row>
    <row r="52" spans="1:8" x14ac:dyDescent="0.2">
      <c r="A52" s="34"/>
      <c r="B52" s="25" t="s">
        <v>240</v>
      </c>
      <c r="C52" s="82" t="s">
        <v>240</v>
      </c>
      <c r="D52" s="82" t="s">
        <v>240</v>
      </c>
      <c r="E52" s="82" t="s">
        <v>240</v>
      </c>
      <c r="F52" s="27"/>
      <c r="G52" s="28" t="s">
        <v>240</v>
      </c>
      <c r="H52" s="29" t="s">
        <v>240</v>
      </c>
    </row>
    <row r="53" spans="1:8" x14ac:dyDescent="0.2">
      <c r="A53" s="30" t="s">
        <v>24</v>
      </c>
      <c r="B53" s="31" t="s">
        <v>3</v>
      </c>
      <c r="C53" s="80">
        <v>477.56627552398908</v>
      </c>
      <c r="D53" s="80">
        <v>579.74541845705619</v>
      </c>
      <c r="E53" s="83">
        <v>855.14273929124772</v>
      </c>
      <c r="F53" s="22" t="s">
        <v>240</v>
      </c>
      <c r="G53" s="23">
        <v>79.062631328600219</v>
      </c>
      <c r="H53" s="24">
        <v>47.503147427561998</v>
      </c>
    </row>
    <row r="54" spans="1:8" ht="13.5" thickBot="1" x14ac:dyDescent="0.25">
      <c r="A54" s="41"/>
      <c r="B54" s="42" t="s">
        <v>240</v>
      </c>
      <c r="C54" s="86" t="s">
        <v>240</v>
      </c>
      <c r="D54" s="86" t="s">
        <v>240</v>
      </c>
      <c r="E54" s="86" t="s">
        <v>240</v>
      </c>
      <c r="F54" s="44"/>
      <c r="G54" s="45" t="s">
        <v>240</v>
      </c>
      <c r="H54" s="46" t="s">
        <v>240</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G61" s="53"/>
      <c r="H61" s="204">
        <v>13</v>
      </c>
    </row>
    <row r="62" spans="1:8" ht="12.75" customHeight="1" x14ac:dyDescent="0.2">
      <c r="A62" s="54" t="s">
        <v>242</v>
      </c>
      <c r="G62" s="53"/>
      <c r="H62" s="197"/>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'Tab2'!Print_Area</vt:lpstr>
      <vt:lpstr>'Tab3'!Print_Area</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2019-02-28T11:19:55Z</dcterms:modified>
</cp:coreProperties>
</file>