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mc:AlternateContent xmlns:mc="http://schemas.openxmlformats.org/markup-compatibility/2006">
    <mc:Choice Requires="x15">
      <x15ac:absPath xmlns:x15ac="http://schemas.microsoft.com/office/spreadsheetml/2010/11/ac" url="M:\Kvartalstatistikkene\Skadestatistikk\Rapport\"/>
    </mc:Choice>
  </mc:AlternateContent>
  <bookViews>
    <workbookView xWindow="7668" yWindow="-12" windowWidth="7356" windowHeight="5292" tabRatio="721" activeTab="1"/>
  </bookViews>
  <sheets>
    <sheet name="Forside" sheetId="47"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aar">'Tab3'!$E$6</definedName>
    <definedName name="aar_1">'Tab3'!$D$6</definedName>
    <definedName name="aar_2">'Tab3'!$C$6</definedName>
    <definedName name="aaret_i_alt">'Tab3'!$B$7</definedName>
    <definedName name="DATA_0" localSheetId="0">#REF!</definedName>
    <definedName name="DATA_0">#REF!</definedName>
    <definedName name="DATA_AN" localSheetId="0">#REF!</definedName>
    <definedName name="DATA_AN">#REF!</definedName>
    <definedName name="DATA_B" localSheetId="0">#REF!</definedName>
    <definedName name="DATA_B">#REF!</definedName>
    <definedName name="DATA_BEH" localSheetId="0">#REF!</definedName>
    <definedName name="DATA_BEH">#REF!</definedName>
    <definedName name="DATA_BKN" localSheetId="0">#REF!</definedName>
    <definedName name="DATA_BKN">#REF!</definedName>
    <definedName name="DATA_BKP" localSheetId="0">#REF!</definedName>
    <definedName name="DATA_BKP">#REF!</definedName>
    <definedName name="DATA_FB" localSheetId="0">#REF!</definedName>
    <definedName name="DATA_FB">#REF!</definedName>
    <definedName name="DATA_K" localSheetId="0">#REF!</definedName>
    <definedName name="DATA_K">#REF!</definedName>
    <definedName name="DATA_M1" localSheetId="0">#REF!</definedName>
    <definedName name="DATA_M1">#REF!</definedName>
    <definedName name="DATA_M2" localSheetId="0">#REF!</definedName>
    <definedName name="DATA_M2">#REF!</definedName>
    <definedName name="DATA_P" localSheetId="0">#REF!</definedName>
    <definedName name="DATA_P">#REF!</definedName>
    <definedName name="DATA_RS" localSheetId="0">#REF!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'Tab9'!$A$4:$H$62</definedName>
    <definedName name="pros_1">'Tab3'!$H$6</definedName>
    <definedName name="pros_2">'Tab3'!$G$6</definedName>
  </definedNames>
  <calcPr calcId="171027"/>
</workbook>
</file>

<file path=xl/calcChain.xml><?xml version="1.0" encoding="utf-8"?>
<calcChain xmlns="http://schemas.openxmlformats.org/spreadsheetml/2006/main">
  <c r="I69" i="19" l="1"/>
  <c r="Q206" i="19" s="1"/>
  <c r="N206" i="19" l="1"/>
  <c r="T206" i="19"/>
  <c r="C206" i="19"/>
  <c r="D206" i="19"/>
  <c r="B124" i="21"/>
  <c r="C205" i="19" l="1"/>
  <c r="D205" i="19"/>
  <c r="D204" i="19" l="1"/>
  <c r="C204" i="19"/>
  <c r="T205" i="19" l="1"/>
  <c r="Q205" i="19"/>
  <c r="N205" i="19"/>
  <c r="T203" i="19"/>
  <c r="Q204" i="19"/>
  <c r="N204" i="19"/>
  <c r="T204" i="19"/>
  <c r="N203" i="19"/>
  <c r="Q203" i="19"/>
  <c r="D203" i="19"/>
  <c r="C203" i="19"/>
  <c r="D202" i="19" l="1"/>
  <c r="C202" i="19"/>
  <c r="C201" i="19" l="1"/>
  <c r="D201" i="19"/>
  <c r="D200" i="19"/>
  <c r="C200" i="19"/>
  <c r="D199" i="19"/>
  <c r="C199" i="19"/>
  <c r="C198" i="19"/>
  <c r="D198" i="19"/>
  <c r="C197" i="19"/>
  <c r="D197" i="19"/>
  <c r="T198" i="19" l="1"/>
  <c r="N202" i="19"/>
  <c r="Q202" i="19"/>
  <c r="T202" i="19"/>
  <c r="Q201" i="19"/>
  <c r="N201" i="19"/>
  <c r="N200" i="19"/>
  <c r="T201" i="19"/>
  <c r="T200" i="19"/>
  <c r="Q200" i="19"/>
  <c r="T199" i="19"/>
  <c r="Q199" i="19"/>
  <c r="N199" i="19"/>
  <c r="Q198" i="19"/>
  <c r="N198" i="19"/>
  <c r="H24" i="21"/>
  <c r="D196" i="19"/>
  <c r="C196" i="19"/>
  <c r="K195" i="19"/>
  <c r="J195" i="19"/>
  <c r="D195" i="19"/>
  <c r="C195" i="19"/>
  <c r="K191" i="19"/>
  <c r="D194" i="19" l="1"/>
  <c r="C194" i="19"/>
  <c r="T197" i="19" l="1"/>
  <c r="N197" i="19"/>
  <c r="Q197" i="19"/>
  <c r="N195" i="19"/>
  <c r="T196" i="19"/>
  <c r="N196" i="19"/>
  <c r="Q196" i="19"/>
  <c r="B123" i="21"/>
  <c r="C193" i="19"/>
  <c r="D193" i="19"/>
  <c r="D192" i="19"/>
  <c r="C192" i="19"/>
  <c r="L209" i="19"/>
  <c r="D191" i="19"/>
  <c r="C191" i="19"/>
  <c r="Q191" i="19"/>
  <c r="C190" i="19"/>
  <c r="D190" i="19"/>
  <c r="D189" i="19"/>
  <c r="C189" i="19"/>
  <c r="D188" i="19"/>
  <c r="C188" i="19"/>
  <c r="D187" i="19"/>
  <c r="C187" i="19"/>
  <c r="C186" i="19"/>
  <c r="D186" i="19"/>
  <c r="B15" i="21"/>
  <c r="AD32" i="19"/>
  <c r="B20" i="21" s="1"/>
  <c r="AD6" i="19"/>
  <c r="B19" i="21" s="1"/>
  <c r="X112" i="19" l="1"/>
  <c r="W112" i="19"/>
  <c r="T193" i="19"/>
  <c r="Q193" i="19"/>
  <c r="N193" i="19"/>
  <c r="T192" i="19"/>
  <c r="T191" i="19"/>
  <c r="Q192" i="19"/>
  <c r="N192" i="19"/>
  <c r="T189" i="19"/>
  <c r="Q188" i="19"/>
  <c r="N186" i="19"/>
  <c r="T187" i="19"/>
  <c r="N188" i="19"/>
  <c r="N190" i="19"/>
  <c r="N191" i="19"/>
  <c r="Q186" i="19"/>
  <c r="Q187" i="19"/>
  <c r="N187" i="19"/>
  <c r="N189" i="19"/>
  <c r="Q190" i="19"/>
  <c r="T188" i="19"/>
  <c r="Q189" i="19"/>
  <c r="T190" i="19"/>
  <c r="T186" i="19"/>
  <c r="D185" i="19"/>
  <c r="C185" i="19"/>
  <c r="D184" i="19"/>
  <c r="C184" i="19"/>
  <c r="N181" i="19"/>
  <c r="D183" i="19"/>
  <c r="C183" i="19"/>
  <c r="D182" i="19"/>
  <c r="C182" i="19"/>
  <c r="C181" i="19"/>
  <c r="D181" i="19"/>
  <c r="C180" i="19"/>
  <c r="D180" i="19"/>
  <c r="I32" i="19"/>
  <c r="B14" i="21" s="1"/>
  <c r="N108" i="19"/>
  <c r="D179" i="19"/>
  <c r="C179" i="19"/>
  <c r="D178" i="19"/>
  <c r="C178" i="19"/>
  <c r="C177" i="19"/>
  <c r="D177" i="19"/>
  <c r="D176" i="19"/>
  <c r="C176" i="19"/>
  <c r="D175" i="19"/>
  <c r="C175" i="19"/>
  <c r="D174" i="19"/>
  <c r="C174" i="19"/>
  <c r="D173" i="19"/>
  <c r="C173" i="19"/>
  <c r="D172" i="19"/>
  <c r="C172" i="19"/>
  <c r="D171" i="19"/>
  <c r="C171" i="19"/>
  <c r="D170" i="19"/>
  <c r="C170" i="19"/>
  <c r="D169" i="19"/>
  <c r="C169" i="19"/>
  <c r="D168" i="19"/>
  <c r="C168" i="19"/>
  <c r="D167" i="19"/>
  <c r="C167" i="19"/>
  <c r="D166" i="19"/>
  <c r="C166" i="19"/>
  <c r="D165" i="19"/>
  <c r="C165" i="19"/>
  <c r="D164" i="19"/>
  <c r="C164" i="19"/>
  <c r="D163" i="19"/>
  <c r="C163" i="19"/>
  <c r="D162" i="19"/>
  <c r="C162" i="19"/>
  <c r="D161" i="19"/>
  <c r="C161" i="19"/>
  <c r="D160" i="19"/>
  <c r="C160" i="19"/>
  <c r="D156" i="19"/>
  <c r="D159" i="19"/>
  <c r="C159" i="19"/>
  <c r="C158" i="19"/>
  <c r="D158" i="19"/>
  <c r="D157" i="19"/>
  <c r="C157" i="19"/>
  <c r="C156" i="19"/>
  <c r="C112" i="19"/>
  <c r="C113" i="19" s="1"/>
  <c r="C114" i="19" s="1"/>
  <c r="D112" i="19"/>
  <c r="D113" i="19" s="1"/>
  <c r="D114" i="19" s="1"/>
  <c r="C116" i="19"/>
  <c r="D116" i="19"/>
  <c r="D117" i="19" s="1"/>
  <c r="D118" i="19" s="1"/>
  <c r="C120" i="19"/>
  <c r="C121" i="19" s="1"/>
  <c r="C122" i="19" s="1"/>
  <c r="D120" i="19"/>
  <c r="D121" i="19" s="1"/>
  <c r="D122" i="19" s="1"/>
  <c r="C124" i="19"/>
  <c r="C125" i="19" s="1"/>
  <c r="C126" i="19" s="1"/>
  <c r="D124" i="19"/>
  <c r="D125" i="19" s="1"/>
  <c r="D126" i="19" s="1"/>
  <c r="C128" i="19"/>
  <c r="C129" i="19" s="1"/>
  <c r="C130" i="19" s="1"/>
  <c r="D128" i="19"/>
  <c r="D129" i="19" s="1"/>
  <c r="D130" i="19" s="1"/>
  <c r="C132" i="19"/>
  <c r="C133" i="19" s="1"/>
  <c r="D132" i="19"/>
  <c r="D133" i="19" s="1"/>
  <c r="C134" i="19"/>
  <c r="D134" i="19"/>
  <c r="C135" i="19"/>
  <c r="D135" i="19"/>
  <c r="C136" i="19"/>
  <c r="D136" i="19"/>
  <c r="C137" i="19"/>
  <c r="D137" i="19"/>
  <c r="C138" i="19"/>
  <c r="D138" i="19"/>
  <c r="C139" i="19"/>
  <c r="D139" i="19"/>
  <c r="C140" i="19"/>
  <c r="D140" i="19"/>
  <c r="C141" i="19"/>
  <c r="D141" i="19"/>
  <c r="C142" i="19"/>
  <c r="D142" i="19"/>
  <c r="C143" i="19"/>
  <c r="D143" i="19"/>
  <c r="C144" i="19"/>
  <c r="D144" i="19"/>
  <c r="C145" i="19"/>
  <c r="D145" i="19"/>
  <c r="C146" i="19"/>
  <c r="D146" i="19"/>
  <c r="C147" i="19"/>
  <c r="D147" i="19"/>
  <c r="C148" i="19"/>
  <c r="D148" i="19"/>
  <c r="C149" i="19"/>
  <c r="D149" i="19"/>
  <c r="C150" i="19"/>
  <c r="D150" i="19"/>
  <c r="C151" i="19"/>
  <c r="D151" i="19"/>
  <c r="C152" i="19"/>
  <c r="D152" i="19"/>
  <c r="C153" i="19"/>
  <c r="D153" i="19"/>
  <c r="C154" i="19"/>
  <c r="D154" i="19"/>
  <c r="C155" i="19"/>
  <c r="D155" i="19"/>
  <c r="H26" i="21"/>
  <c r="L208" i="19" l="1"/>
  <c r="L207" i="19" s="1"/>
  <c r="Y112" i="19"/>
  <c r="N185" i="19"/>
  <c r="N184" i="19"/>
  <c r="T104" i="19"/>
  <c r="T108" i="19"/>
  <c r="T112" i="19"/>
  <c r="T116" i="19"/>
  <c r="T120" i="19"/>
  <c r="T124" i="19"/>
  <c r="T128" i="19"/>
  <c r="T132" i="19"/>
  <c r="T136" i="19"/>
  <c r="T140" i="19"/>
  <c r="T144" i="19"/>
  <c r="T148" i="19"/>
  <c r="T152" i="19"/>
  <c r="T156" i="19"/>
  <c r="T160" i="19"/>
  <c r="T164" i="19"/>
  <c r="T168" i="19"/>
  <c r="T172" i="19"/>
  <c r="T176" i="19"/>
  <c r="T180" i="19"/>
  <c r="T184" i="19"/>
  <c r="Q106" i="19"/>
  <c r="Q110" i="19"/>
  <c r="Q114" i="19"/>
  <c r="Q118" i="19"/>
  <c r="Q122" i="19"/>
  <c r="Q126" i="19"/>
  <c r="Q130" i="19"/>
  <c r="Q134" i="19"/>
  <c r="Q138" i="19"/>
  <c r="Q142" i="19"/>
  <c r="Q146" i="19"/>
  <c r="Q150" i="19"/>
  <c r="Q154" i="19"/>
  <c r="Q158" i="19"/>
  <c r="Q162" i="19"/>
  <c r="Q166" i="19"/>
  <c r="Q170" i="19"/>
  <c r="Q174" i="19"/>
  <c r="Q178" i="19"/>
  <c r="Q182" i="19"/>
  <c r="T103" i="19"/>
  <c r="T145" i="19"/>
  <c r="T161" i="19"/>
  <c r="T173" i="19"/>
  <c r="T185" i="19"/>
  <c r="Q111" i="19"/>
  <c r="Q123" i="19"/>
  <c r="Q139" i="19"/>
  <c r="Q155" i="19"/>
  <c r="Q167" i="19"/>
  <c r="Q175" i="19"/>
  <c r="Q103" i="19"/>
  <c r="T107" i="19"/>
  <c r="T111" i="19"/>
  <c r="T115" i="19"/>
  <c r="T119" i="19"/>
  <c r="T123" i="19"/>
  <c r="T127" i="19"/>
  <c r="T131" i="19"/>
  <c r="T135" i="19"/>
  <c r="T139" i="19"/>
  <c r="T143" i="19"/>
  <c r="T147" i="19"/>
  <c r="T151" i="19"/>
  <c r="T155" i="19"/>
  <c r="T159" i="19"/>
  <c r="T163" i="19"/>
  <c r="T167" i="19"/>
  <c r="T171" i="19"/>
  <c r="T175" i="19"/>
  <c r="T179" i="19"/>
  <c r="T183" i="19"/>
  <c r="Q105" i="19"/>
  <c r="Q109" i="19"/>
  <c r="Q113" i="19"/>
  <c r="Q117" i="19"/>
  <c r="Q121" i="19"/>
  <c r="Q125" i="19"/>
  <c r="Q129" i="19"/>
  <c r="Q133" i="19"/>
  <c r="Q137" i="19"/>
  <c r="Q141" i="19"/>
  <c r="Q145" i="19"/>
  <c r="Q149" i="19"/>
  <c r="Q153" i="19"/>
  <c r="Q157" i="19"/>
  <c r="Q161" i="19"/>
  <c r="Q165" i="19"/>
  <c r="Q169" i="19"/>
  <c r="Q173" i="19"/>
  <c r="Q177" i="19"/>
  <c r="Q181" i="19"/>
  <c r="Q185" i="19"/>
  <c r="T137" i="19"/>
  <c r="T153" i="19"/>
  <c r="T169" i="19"/>
  <c r="T181" i="19"/>
  <c r="Q115" i="19"/>
  <c r="Q127" i="19"/>
  <c r="Q135" i="19"/>
  <c r="Q151" i="19"/>
  <c r="Q163" i="19"/>
  <c r="Q179" i="19"/>
  <c r="T106" i="19"/>
  <c r="T110" i="19"/>
  <c r="T114" i="19"/>
  <c r="T118" i="19"/>
  <c r="T122" i="19"/>
  <c r="T126" i="19"/>
  <c r="T130" i="19"/>
  <c r="T134" i="19"/>
  <c r="T138" i="19"/>
  <c r="T142" i="19"/>
  <c r="T146" i="19"/>
  <c r="T150" i="19"/>
  <c r="T154" i="19"/>
  <c r="T158" i="19"/>
  <c r="T162" i="19"/>
  <c r="T166" i="19"/>
  <c r="T170" i="19"/>
  <c r="T174" i="19"/>
  <c r="T178" i="19"/>
  <c r="T182" i="19"/>
  <c r="Q104" i="19"/>
  <c r="Q108" i="19"/>
  <c r="Q112" i="19"/>
  <c r="Q116" i="19"/>
  <c r="Q120" i="19"/>
  <c r="Q124" i="19"/>
  <c r="Q128" i="19"/>
  <c r="Q132" i="19"/>
  <c r="Q136" i="19"/>
  <c r="Q140" i="19"/>
  <c r="Q144" i="19"/>
  <c r="Q148" i="19"/>
  <c r="Q152" i="19"/>
  <c r="Q156" i="19"/>
  <c r="Q160" i="19"/>
  <c r="Q164" i="19"/>
  <c r="Q168" i="19"/>
  <c r="Q172" i="19"/>
  <c r="Q176" i="19"/>
  <c r="Q180" i="19"/>
  <c r="Q184" i="19"/>
  <c r="T105" i="19"/>
  <c r="T109" i="19"/>
  <c r="T113" i="19"/>
  <c r="T117" i="19"/>
  <c r="T121" i="19"/>
  <c r="T125" i="19"/>
  <c r="T129" i="19"/>
  <c r="T133" i="19"/>
  <c r="T141" i="19"/>
  <c r="T149" i="19"/>
  <c r="T157" i="19"/>
  <c r="T165" i="19"/>
  <c r="T177" i="19"/>
  <c r="Q107" i="19"/>
  <c r="Q119" i="19"/>
  <c r="Q131" i="19"/>
  <c r="Q143" i="19"/>
  <c r="Q147" i="19"/>
  <c r="Q159" i="19"/>
  <c r="Q171" i="19"/>
  <c r="Q183" i="19"/>
  <c r="N183" i="19"/>
  <c r="N180" i="19"/>
  <c r="I6" i="19"/>
  <c r="B13" i="21" s="1"/>
  <c r="AD61" i="19"/>
  <c r="P62" i="19"/>
  <c r="H53" i="24"/>
  <c r="AD62" i="19"/>
  <c r="H28" i="21"/>
  <c r="H29" i="21" s="1"/>
  <c r="H31" i="21" s="1"/>
  <c r="H32" i="21" s="1"/>
  <c r="H27" i="21"/>
  <c r="A62" i="19"/>
  <c r="N106" i="19"/>
  <c r="N104" i="19"/>
  <c r="N102" i="19"/>
  <c r="N100" i="19"/>
  <c r="N98" i="19"/>
  <c r="N96" i="19"/>
  <c r="N94" i="19"/>
  <c r="N92" i="19"/>
  <c r="N90" i="19"/>
  <c r="N88" i="19"/>
  <c r="N86" i="19"/>
  <c r="N84" i="19"/>
  <c r="N82" i="19"/>
  <c r="N80" i="19"/>
  <c r="N78" i="19"/>
  <c r="N76" i="19"/>
  <c r="N74" i="19"/>
  <c r="N72" i="19"/>
  <c r="C117" i="19"/>
  <c r="C118" i="19" s="1"/>
  <c r="N105" i="19"/>
  <c r="N103" i="19"/>
  <c r="N101" i="19"/>
  <c r="N99" i="19"/>
  <c r="N97" i="19"/>
  <c r="N95" i="19"/>
  <c r="N93" i="19"/>
  <c r="N91" i="19"/>
  <c r="N89" i="19"/>
  <c r="N87" i="19"/>
  <c r="N85" i="19"/>
  <c r="N83" i="19"/>
  <c r="N81" i="19"/>
  <c r="N79" i="19"/>
  <c r="N77" i="19"/>
  <c r="N75" i="19"/>
  <c r="N73" i="19"/>
  <c r="N71" i="19"/>
  <c r="A61" i="19"/>
  <c r="H52" i="24"/>
  <c r="X125" i="19"/>
  <c r="X84" i="19"/>
  <c r="W84" i="19"/>
  <c r="W125" i="19"/>
  <c r="B62" i="21"/>
  <c r="A52" i="23"/>
  <c r="W62" i="19"/>
  <c r="I62" i="19"/>
  <c r="A53" i="24"/>
  <c r="O209" i="19"/>
  <c r="B61" i="21"/>
  <c r="P61" i="19"/>
  <c r="X124" i="19"/>
  <c r="A51" i="23"/>
  <c r="W61" i="19"/>
  <c r="I61" i="19"/>
  <c r="A52" i="24"/>
  <c r="X133" i="19"/>
  <c r="X131" i="19"/>
  <c r="X86" i="19"/>
  <c r="X92" i="19"/>
  <c r="Y121" i="19"/>
  <c r="W82" i="19"/>
  <c r="W100" i="19" s="1"/>
  <c r="W111" i="19" s="1"/>
  <c r="X70" i="19"/>
  <c r="X121" i="19"/>
  <c r="X132" i="19"/>
  <c r="W123" i="19"/>
  <c r="W128" i="19"/>
  <c r="Z70" i="19"/>
  <c r="Y82" i="19"/>
  <c r="Y100" i="19" s="1"/>
  <c r="Y111" i="19" s="1"/>
  <c r="Y128" i="19"/>
  <c r="W129" i="19"/>
  <c r="W133" i="19"/>
  <c r="W86" i="19"/>
  <c r="N177" i="19"/>
  <c r="N175" i="19"/>
  <c r="N173" i="19"/>
  <c r="N171" i="19"/>
  <c r="N169" i="19"/>
  <c r="N167" i="19"/>
  <c r="N165" i="19"/>
  <c r="N163" i="19"/>
  <c r="N161" i="19"/>
  <c r="N159" i="19"/>
  <c r="N157" i="19"/>
  <c r="N155" i="19"/>
  <c r="N153" i="19"/>
  <c r="N151" i="19"/>
  <c r="N149" i="19"/>
  <c r="N147" i="19"/>
  <c r="N145" i="19"/>
  <c r="N143" i="19"/>
  <c r="N141" i="19"/>
  <c r="N139" i="19"/>
  <c r="N137" i="19"/>
  <c r="N135" i="19"/>
  <c r="N133" i="19"/>
  <c r="N131" i="19"/>
  <c r="N129" i="19"/>
  <c r="N127" i="19"/>
  <c r="N125" i="19"/>
  <c r="N123" i="19"/>
  <c r="N121" i="19"/>
  <c r="N119" i="19"/>
  <c r="N117" i="19"/>
  <c r="N115" i="19"/>
  <c r="N113" i="19"/>
  <c r="N111" i="19"/>
  <c r="N109" i="19"/>
  <c r="N107" i="19"/>
  <c r="N178" i="19"/>
  <c r="N176" i="19"/>
  <c r="N174" i="19"/>
  <c r="N172" i="19"/>
  <c r="N170" i="19"/>
  <c r="N168" i="19"/>
  <c r="N166" i="19"/>
  <c r="N164" i="19"/>
  <c r="N162" i="19"/>
  <c r="N160" i="19"/>
  <c r="N158" i="19"/>
  <c r="N156" i="19"/>
  <c r="N154" i="19"/>
  <c r="N152" i="19"/>
  <c r="N150" i="19"/>
  <c r="N148" i="19"/>
  <c r="N146" i="19"/>
  <c r="N144" i="19"/>
  <c r="N142" i="19"/>
  <c r="N140" i="19"/>
  <c r="N138" i="19"/>
  <c r="N136" i="19"/>
  <c r="N134" i="19"/>
  <c r="N132" i="19"/>
  <c r="N130" i="19"/>
  <c r="N128" i="19"/>
  <c r="N126" i="19"/>
  <c r="N124" i="19"/>
  <c r="N122" i="19"/>
  <c r="N120" i="19"/>
  <c r="N118" i="19"/>
  <c r="N116" i="19"/>
  <c r="N114" i="19"/>
  <c r="N112" i="19"/>
  <c r="N110" i="19"/>
  <c r="W132" i="19"/>
  <c r="X128" i="19"/>
  <c r="Y70" i="19"/>
  <c r="W121" i="19"/>
  <c r="H33" i="21" l="1"/>
  <c r="H34" i="21" s="1"/>
  <c r="H35" i="21" s="1"/>
  <c r="H36" i="21" s="1"/>
  <c r="H37" i="21" s="1"/>
  <c r="H38" i="21" s="1"/>
  <c r="H40" i="21" s="1"/>
  <c r="H43" i="21" s="1"/>
  <c r="W114" i="19"/>
  <c r="X101" i="19"/>
  <c r="R209" i="19"/>
  <c r="P209" i="19"/>
  <c r="W6" i="19"/>
  <c r="B17" i="21" s="1"/>
  <c r="W32" i="19"/>
  <c r="B18" i="21" s="1"/>
  <c r="P32" i="19"/>
  <c r="B16" i="21" s="1"/>
  <c r="A6" i="19"/>
  <c r="B11" i="21" s="1"/>
  <c r="A32" i="19"/>
  <c r="B12" i="21" s="1"/>
  <c r="S209" i="19"/>
  <c r="X77" i="19"/>
  <c r="X91" i="19"/>
  <c r="W83" i="19"/>
  <c r="W91" i="19"/>
  <c r="X89" i="19"/>
  <c r="W87" i="19"/>
  <c r="X103" i="19"/>
  <c r="W106" i="19"/>
  <c r="X129" i="19"/>
  <c r="X114" i="19"/>
  <c r="W117" i="19"/>
  <c r="X106" i="19"/>
  <c r="X85" i="19"/>
  <c r="W90" i="19"/>
  <c r="X102" i="19"/>
  <c r="W85" i="19"/>
  <c r="W101" i="19"/>
  <c r="X75" i="19"/>
  <c r="W88" i="19"/>
  <c r="Z76" i="19"/>
  <c r="Y88" i="19"/>
  <c r="W122" i="19"/>
  <c r="X122" i="19"/>
  <c r="Y133" i="19"/>
  <c r="Y85" i="19"/>
  <c r="W103" i="19"/>
  <c r="W102" i="19"/>
  <c r="W113" i="19"/>
  <c r="X117" i="19"/>
  <c r="X113" i="19"/>
  <c r="M209" i="19"/>
  <c r="X74" i="19"/>
  <c r="X72" i="19"/>
  <c r="W89" i="19"/>
  <c r="X123" i="19"/>
  <c r="X130" i="19"/>
  <c r="Y123" i="19"/>
  <c r="E208" i="19"/>
  <c r="Y129" i="19"/>
  <c r="X76" i="19"/>
  <c r="Z74" i="19"/>
  <c r="X83" i="19"/>
  <c r="Y83" i="19"/>
  <c r="Y91" i="19"/>
  <c r="W92" i="19"/>
  <c r="Y92" i="19"/>
  <c r="X87" i="19"/>
  <c r="X90" i="19"/>
  <c r="X88" i="19"/>
  <c r="Y122" i="19"/>
  <c r="Y124" i="19"/>
  <c r="X82" i="19"/>
  <c r="X100" i="19" s="1"/>
  <c r="X111" i="19" s="1"/>
  <c r="W124" i="19"/>
  <c r="Y130" i="19"/>
  <c r="W130" i="19"/>
  <c r="Y72" i="19"/>
  <c r="Y74" i="19"/>
  <c r="Y76" i="19"/>
  <c r="Y77" i="19"/>
  <c r="Z72" i="19"/>
  <c r="Y75" i="19"/>
  <c r="W131" i="19"/>
  <c r="Q195" i="19" l="1"/>
  <c r="T195" i="19"/>
  <c r="H41" i="21"/>
  <c r="Y131" i="19"/>
  <c r="Y106" i="19"/>
  <c r="Y117" i="19"/>
  <c r="Y125" i="19"/>
  <c r="Y103" i="19"/>
  <c r="Y87" i="19"/>
  <c r="G208" i="19"/>
  <c r="Z77" i="19"/>
  <c r="Y101" i="19"/>
  <c r="Z75" i="19"/>
  <c r="X104" i="19"/>
  <c r="R208" i="19"/>
  <c r="R207" i="19" s="1"/>
  <c r="S208" i="19"/>
  <c r="S207" i="19" s="1"/>
  <c r="P208" i="19"/>
  <c r="P207" i="19" s="1"/>
  <c r="O208" i="19"/>
  <c r="O207" i="19" s="1"/>
  <c r="X78" i="19"/>
  <c r="Y89" i="19"/>
  <c r="M208" i="19"/>
  <c r="M207" i="19" s="1"/>
  <c r="W93" i="19"/>
  <c r="W95" i="19" s="1"/>
  <c r="Y114" i="19"/>
  <c r="Y102" i="19"/>
  <c r="Y113" i="19"/>
  <c r="H45" i="21"/>
  <c r="H46" i="21" s="1"/>
  <c r="H44" i="21"/>
  <c r="X115" i="19"/>
  <c r="Y132" i="19"/>
  <c r="Y84" i="19"/>
  <c r="Y86" i="19"/>
  <c r="Y90" i="19"/>
  <c r="W104" i="19"/>
  <c r="W115" i="19"/>
  <c r="X93" i="19"/>
  <c r="X95" i="19" s="1"/>
  <c r="N179" i="19"/>
  <c r="Y78" i="19"/>
  <c r="T194" i="19" l="1"/>
  <c r="N194" i="19"/>
  <c r="Q194" i="19"/>
  <c r="Z78" i="19"/>
  <c r="H47" i="21"/>
  <c r="H48" i="21" s="1"/>
  <c r="Y93" i="19"/>
  <c r="Y95" i="19" s="1"/>
  <c r="Y115" i="19"/>
  <c r="Y104" i="19"/>
  <c r="N182" i="19"/>
  <c r="H66" i="21" l="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<sst xmlns="http://schemas.openxmlformats.org/spreadsheetml/2006/main" count="2877" uniqueCount="244">
  <si>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</si>
  <si>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</si>
  <si>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</si>
  <si>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</si>
  <si>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</si>
  <si>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</si>
  <si>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</si>
  <si>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</si>
  <si>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</si>
  <si>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</si>
  <si>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</si>
  <si>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</si>
  <si>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</si>
  <si>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</si>
  <si>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</si>
  <si>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</si>
  <si>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</si>
  <si>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</si>
  <si>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</si>
  <si>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</si>
  <si>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</si>
  <si>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</si>
  <si>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</si>
  <si>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</si>
  <si>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</si>
  <si>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</si>
  <si>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</si>
  <si>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</si>
  <si>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</si>
  <si>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</si>
  <si>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</si>
  <si>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</si>
  <si>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</si>
  <si>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</si>
  <si>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</si>
  <si>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</si>
  <si>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</si>
  <si>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</si>
  <si>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</si>
  <si>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</si>
  <si>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</si>
  <si>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</si>
  <si>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</si>
  <si>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</si>
  <si>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</si>
  <si>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</si>
  <si>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</si>
  <si>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</si>
  <si>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</si>
  <si>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</si>
  <si>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</si>
  <si>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</si>
  <si>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</si>
  <si>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</si>
  <si>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</si>
  <si>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</si>
  <si>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</si>
  <si>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</si>
  <si>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</si>
  <si>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</si>
  <si>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</si>
  <si>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</si>
  <si>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</si>
  <si>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</si>
  <si>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</si>
  <si>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</si>
  <si>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</si>
  <si>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</si>
  <si>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</si>
  <si>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</si>
  <si>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</si>
  <si>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</si>
  <si>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</si>
  <si>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</si>
  <si>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</si>
  <si>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</si>
  <si>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</si>
  <si>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</si>
  <si>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</si>
  <si>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</si>
  <si>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</si>
  <si>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</si>
  <si>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</si>
  <si>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</si>
  <si>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</si>
  <si>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</si>
  <si>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</si>
  <si>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</si>
  <si>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</si>
  <si>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</si>
  <si>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</si>
  <si>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</si>
  <si>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</si>
  <si>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</si>
  <si>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</si>
  <si>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</si>
  <si>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</si>
  <si>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</si>
  <si>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</si>
  <si>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</si>
  <si>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</si>
  <si>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</si>
  <si>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</si>
  <si>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</si>
  <si>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</si>
  <si>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</si>
  <si>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</si>
  <si>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</si>
  <si>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</si>
  <si>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</si>
  <si>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</si>
  <si>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</si>
  <si>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</si>
  <si>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</si>
  <si>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</si>
  <si>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</si>
  <si>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</si>
  <si>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</si>
  <si>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</si>
  <si>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</si>
  <si>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</si>
  <si>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</si>
  <si>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</si>
  <si>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</si>
  <si>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</si>
  <si>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</si>
  <si>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</si>
  <si>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</si>
  <si>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</si>
  <si>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</si>
  <si>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</si>
  <si>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</si>
  <si>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</si>
  <si>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</si>
  <si>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</si>
  <si>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</si>
  <si>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</si>
  <si>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</si>
  <si>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</si>
  <si>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</si>
  <si>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</si>
  <si>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</si>
  <si>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</si>
  <si>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</si>
  <si>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</si>
  <si>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</si>
  <si>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</si>
  <si>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</si>
  <si>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</si>
  <si>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</si>
  <si>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</si>
  <si>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</si>
  <si>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</si>
  <si>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</si>
  <si>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</si>
  <si>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</si>
  <si>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</si>
  <si>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</si>
  <si>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</si>
  <si>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</si>
  <si>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</si>
  <si>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</si>
  <si>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</si>
  <si>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</si>
  <si>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</si>
  <si>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</si>
  <si>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</si>
  <si>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</si>
  <si>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</si>
  <si>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</si>
  <si>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</si>
  <si>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</si>
  <si>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</si>
  <si>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</si>
  <si>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</si>
  <si>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</si>
  <si>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</si>
  <si>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</si>
  <si>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</si>
  <si>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</si>
  <si>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</si>
  <si>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</si>
  <si>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</si>
  <si>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</si>
  <si>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</si>
  <si>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</si>
  <si>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</si>
  <si>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</si>
  <si>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</si>
  <si>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</si>
  <si>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</si>
  <si>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punkt 4. Prinsipper, begreper og definisjoner på side 24.</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</si>
  <si>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</si>
  <si>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</si>
  <si>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</si>
  <si>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</si>
  <si>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</si>
  <si>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</si>
  <si>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</si>
  <si>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</si>
  <si>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</si>
  <si>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</si>
  <si>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</si>
  <si>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</si>
  <si>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</si>
  <si>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</si>
  <si>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</si>
  <si>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</si>
  <si>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</si>
  <si>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</si>
  <si>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</si>
  <si>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</si>
  <si>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</si>
  <si>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</si>
  <si>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</si>
  <si>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</si>
  <si>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</si>
  <si>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</si>
  <si>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</si>
  <si>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</si>
  <si>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</si>
  <si>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</si>
  <si>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</si>
  <si>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</si>
  <si>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</si>
  <si>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</si>
  <si>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</si>
  <si>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</si>
  <si>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</si>
  <si>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</si>
  <si>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</si>
  <si>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</si>
  <si>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</si>
  <si>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</si>
  <si>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</si>
  <si>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(2016)</t>
  </si>
  <si>
    <t>2014</t>
  </si>
  <si>
    <t>2015</t>
  </si>
  <si>
    <t>2016</t>
  </si>
  <si>
    <t>14-16</t>
  </si>
  <si>
    <t>15-16</t>
  </si>
  <si>
    <t/>
  </si>
  <si>
    <t>Finans Norge / Skadestatistikk</t>
  </si>
  <si>
    <t>Skadestatistikk for landbasert forsikring 4. kvartal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</si>
</sst>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41"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6">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13">
    <xf numFmtId="0" fontId="0" fillId="0" borderId="0" xfId="0"/>
    <xf numFmtId="0" fontId="5" fillId="0" borderId="0" xfId="0" applyFont="1"/>
    <xf numFmtId="0" fontId="5" fillId="0" borderId="0" xfId="0" applyFont="1" applyAlignment="1" applyProtection="1">
      <alignment horizontal="left"/>
    </xf>
    <xf numFmtId="0" fontId="6" fillId="0" borderId="0" xfId="3"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3" applyFont="1" applyAlignment="1" applyProtection="1">
      <alignment horizontal="left"/>
    </xf>
    <xf numFmtId="0" fontId="4" fillId="0" borderId="0" xfId="4" applyAlignment="1" applyProtection="1">
      <alignment horizontal="left"/>
    </xf>
    <xf numFmtId="0" fontId="4" fillId="0" borderId="0" xfId="4" applyAlignment="1" applyProtection="1"/>
    <xf numFmtId="0" fontId="24" fillId="0" borderId="0" xfId="0" applyFont="1"/>
    <xf numFmtId="0" fontId="3" fillId="0" borderId="0" xfId="5"/>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26" fillId="0" borderId="0" xfId="10" applyFont="1"/>
    <xf numFmtId="0" fontId="3" fillId="0" borderId="0" xfId="10"/>
    <xf numFmtId="0" fontId="0" fillId="0" borderId="0" xfId="10" applyFont="1"/>
    <xf numFmtId="0" fontId="27" fillId="0" borderId="0" xfId="10" applyFont="1" applyAlignment="1">
      <alignment horizontal="right"/>
    </xf>
    <xf numFmtId="0" fontId="29" fillId="0" borderId="0" xfId="10" applyFont="1" applyAlignment="1">
      <alignment horizontal="left"/>
    </xf>
    <xf numFmtId="0" fontId="32" fillId="0" borderId="0" xfId="10" applyFont="1" applyAlignment="1">
      <alignment horizontal="left"/>
    </xf>
    <xf numFmtId="0" fontId="20" fillId="0" borderId="0" xfId="5" applyFont="1" applyAlignment="1">
      <alignment horizontal="left"/>
    </xf>
    <xf numFmtId="0" fontId="10" fillId="0" borderId="0" xfId="10" applyFont="1" applyAlignment="1">
      <alignment horizontal="right"/>
    </xf>
    <xf numFmtId="0" fontId="3" fillId="0" borderId="0" xfId="10" applyAlignment="1">
      <alignment horizontal="right"/>
    </xf>
    <xf numFmtId="0" fontId="30" fillId="0" borderId="0" xfId="10" applyFont="1" applyAlignment="1">
      <alignment horizontal="left"/>
    </xf>
    <xf numFmtId="14" fontId="31" fillId="0" borderId="0" xfId="10" applyNumberFormat="1" applyFont="1" applyAlignment="1">
      <alignment horizontal="left"/>
    </xf>
    <xf numFmtId="0" fontId="31" fillId="0" borderId="0" xfId="10" applyFont="1" applyAlignment="1">
      <alignment horizontal="left"/>
    </xf>
    <xf numFmtId="0" fontId="33" fillId="0" borderId="0" xfId="5" applyFont="1" applyAlignment="1">
      <alignment vertical="center"/>
    </xf>
    <xf numFmtId="0" fontId="34" fillId="0" borderId="0" xfId="5" applyFont="1" applyAlignment="1">
      <alignment vertical="center"/>
    </xf>
    <xf numFmtId="0" fontId="35" fillId="0" borderId="0" xfId="5" applyFont="1"/>
    <xf numFmtId="14" fontId="28" fillId="0" borderId="0" xfId="10" applyNumberFormat="1" applyFont="1"/>
    <xf numFmtId="14" fontId="36" fillId="0" borderId="0" xfId="10" applyNumberFormat="1" applyFont="1" applyAlignment="1">
      <alignment horizontal="right"/>
    </xf>
    <xf numFmtId="0" fontId="5" fillId="0" borderId="0" xfId="5" applyFont="1"/>
    <xf numFmtId="0" fontId="5" fillId="0" borderId="0" xfId="5" applyFont="1" applyAlignment="1" applyProtection="1">
      <alignment horizontal="left"/>
    </xf>
    <xf numFmtId="0" fontId="7" fillId="2" borderId="0" xfId="5" applyFont="1" applyFill="1" applyBorder="1"/>
    <xf numFmtId="165" fontId="8" fillId="0" borderId="0" xfId="5" applyNumberFormat="1" applyFont="1" applyProtection="1"/>
    <xf numFmtId="0" fontId="8" fillId="0" borderId="0" xfId="5" applyFont="1"/>
    <xf numFmtId="0" fontId="9" fillId="2" borderId="1" xfId="5" applyFont="1" applyFill="1" applyBorder="1"/>
    <xf numFmtId="0" fontId="9" fillId="2" borderId="2" xfId="5" applyFont="1" applyFill="1" applyBorder="1" applyAlignment="1">
      <alignment horizontal="center"/>
    </xf>
    <xf numFmtId="0" fontId="9" fillId="2" borderId="3" xfId="5" applyFont="1" applyFill="1" applyBorder="1"/>
    <xf numFmtId="0" fontId="8" fillId="2" borderId="2" xfId="5" applyFont="1" applyFill="1" applyBorder="1"/>
    <xf numFmtId="0" fontId="8" fillId="2" borderId="4" xfId="5" applyFont="1" applyFill="1" applyBorder="1"/>
    <xf numFmtId="0" fontId="9" fillId="2" borderId="5" xfId="5" applyFont="1" applyFill="1" applyBorder="1" applyAlignment="1">
      <alignment horizontal="left"/>
    </xf>
    <xf numFmtId="14" fontId="9" fillId="2" borderId="6" xfId="5" applyNumberFormat="1" applyFont="1" applyFill="1" applyBorder="1" applyAlignment="1">
      <alignment horizontal="right"/>
    </xf>
    <xf numFmtId="1" fontId="9" fillId="2" borderId="7" xfId="5" applyNumberFormat="1" applyFont="1" applyFill="1" applyBorder="1" applyAlignment="1">
      <alignment horizontal="right"/>
    </xf>
    <xf numFmtId="1" fontId="9" fillId="2" borderId="6" xfId="5" applyNumberFormat="1" applyFont="1" applyFill="1" applyBorder="1" applyAlignment="1">
      <alignment horizontal="right"/>
    </xf>
    <xf numFmtId="1" fontId="9" fillId="2" borderId="8" xfId="5" applyNumberFormat="1" applyFont="1" applyFill="1" applyBorder="1" applyAlignment="1">
      <alignment horizontal="right"/>
    </xf>
    <xf numFmtId="14" fontId="9" fillId="2" borderId="7" xfId="5" applyNumberFormat="1" applyFont="1" applyFill="1" applyBorder="1" applyAlignment="1">
      <alignment horizontal="right"/>
    </xf>
    <xf numFmtId="14" fontId="9" fillId="2" borderId="9" xfId="5" applyNumberFormat="1" applyFont="1" applyFill="1" applyBorder="1" applyAlignment="1">
      <alignment horizontal="right"/>
    </xf>
    <xf numFmtId="0" fontId="8" fillId="0" borderId="10" xfId="5" applyFont="1" applyBorder="1"/>
    <xf numFmtId="165" fontId="8" fillId="0" borderId="0" xfId="5" applyNumberFormat="1" applyFont="1" applyAlignment="1" applyProtection="1">
      <alignment horizontal="right"/>
    </xf>
    <xf numFmtId="165" fontId="8" fillId="0" borderId="12" xfId="5" applyNumberFormat="1" applyFont="1" applyBorder="1" applyAlignment="1">
      <alignment horizontal="right"/>
    </xf>
    <xf numFmtId="0" fontId="11" fillId="0" borderId="13" xfId="5" applyFont="1" applyBorder="1"/>
    <xf numFmtId="165" fontId="8" fillId="0" borderId="14" xfId="5" applyNumberFormat="1" applyFont="1" applyBorder="1" applyAlignment="1" applyProtection="1">
      <alignment horizontal="right"/>
    </xf>
    <xf numFmtId="165" fontId="8" fillId="0" borderId="15" xfId="5" applyNumberFormat="1" applyFont="1" applyBorder="1" applyAlignment="1">
      <alignment horizontal="right"/>
    </xf>
    <xf numFmtId="0" fontId="8" fillId="0" borderId="16" xfId="5" applyFont="1" applyBorder="1"/>
    <xf numFmtId="0" fontId="8" fillId="0" borderId="11" xfId="5" applyFont="1" applyBorder="1"/>
    <xf numFmtId="165" fontId="8" fillId="0" borderId="17" xfId="5" applyNumberFormat="1" applyFont="1" applyBorder="1" applyAlignment="1" applyProtection="1">
      <alignment horizontal="right"/>
    </xf>
    <xf numFmtId="165" fontId="8" fillId="0" borderId="18" xfId="5" applyNumberFormat="1" applyFont="1" applyBorder="1" applyAlignment="1">
      <alignment horizontal="right"/>
    </xf>
    <xf numFmtId="0" fontId="8" fillId="0" borderId="19" xfId="5" applyFont="1" applyBorder="1"/>
    <xf numFmtId="165" fontId="8" fillId="0" borderId="20" xfId="5" applyNumberFormat="1" applyFont="1" applyBorder="1" applyAlignment="1" applyProtection="1">
      <alignment horizontal="right"/>
    </xf>
    <xf numFmtId="165" fontId="8" fillId="0" borderId="21" xfId="5" applyNumberFormat="1" applyFont="1" applyBorder="1" applyAlignment="1" applyProtection="1">
      <alignment horizontal="right"/>
    </xf>
    <xf numFmtId="165" fontId="8" fillId="0" borderId="0" xfId="5" applyNumberFormat="1" applyFont="1" applyBorder="1" applyAlignment="1" applyProtection="1">
      <alignment horizontal="right"/>
    </xf>
    <xf numFmtId="0" fontId="8" fillId="0" borderId="22" xfId="5" applyFont="1" applyBorder="1"/>
    <xf numFmtId="0" fontId="5" fillId="0" borderId="0" xfId="5" applyFont="1" applyBorder="1"/>
    <xf numFmtId="0" fontId="8" fillId="0" borderId="23" xfId="5" applyFont="1" applyBorder="1"/>
    <xf numFmtId="0" fontId="11" fillId="0" borderId="24" xfId="5" applyFont="1" applyBorder="1"/>
    <xf numFmtId="165" fontId="8" fillId="0" borderId="25" xfId="5" applyNumberFormat="1" applyFont="1" applyBorder="1" applyAlignment="1" applyProtection="1">
      <alignment horizontal="right"/>
    </xf>
    <xf numFmtId="165" fontId="8" fillId="0" borderId="27" xfId="5" applyNumberFormat="1" applyFont="1" applyBorder="1" applyAlignment="1">
      <alignment horizontal="right"/>
    </xf>
    <xf numFmtId="0" fontId="8" fillId="0" borderId="0" xfId="5" applyFont="1" applyBorder="1"/>
    <xf numFmtId="165" fontId="8" fillId="0" borderId="0" xfId="5" applyNumberFormat="1" applyFont="1" applyBorder="1" applyAlignment="1">
      <alignment horizontal="right"/>
    </xf>
    <xf numFmtId="0" fontId="9" fillId="0" borderId="0" xfId="5" applyFont="1" applyBorder="1"/>
    <xf numFmtId="0" fontId="11" fillId="0" borderId="0" xfId="5" applyFont="1" applyBorder="1"/>
    <xf numFmtId="0" fontId="12" fillId="0" borderId="0" xfId="5" applyFont="1" applyBorder="1"/>
    <xf numFmtId="0" fontId="13" fillId="0" borderId="0" xfId="5" applyFont="1" applyBorder="1"/>
    <xf numFmtId="165" fontId="5" fillId="0" borderId="0" xfId="5" applyNumberFormat="1" applyFont="1" applyBorder="1" applyAlignment="1" applyProtection="1">
      <alignment horizontal="right"/>
    </xf>
    <xf numFmtId="165" fontId="5" fillId="0" borderId="0" xfId="5" applyNumberFormat="1" applyFont="1" applyBorder="1" applyAlignment="1">
      <alignment horizontal="right"/>
    </xf>
    <xf numFmtId="0" fontId="5" fillId="0" borderId="6" xfId="5" applyFont="1" applyBorder="1"/>
    <xf numFmtId="0" fontId="15" fillId="0" borderId="0" xfId="5" applyFont="1" applyAlignment="1">
      <alignment horizontal="left"/>
    </xf>
    <xf numFmtId="0" fontId="15" fillId="0" borderId="0" xfId="5" applyFont="1" applyAlignment="1">
      <alignment horizontal="right"/>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6" fontId="37" fillId="0" borderId="0" xfId="0" applyNumberFormat="1" applyFont="1"/>
    <xf numFmtId="3" fontId="37" fillId="0" borderId="0" xfId="0" applyNumberFormat="1" applyFont="1"/>
    <xf numFmtId="168" fontId="40" fillId="0" borderId="0" xfId="0" applyNumberFormat="1" applyFont="1"/>
    <xf numFmtId="169" fontId="40" fillId="0" borderId="0" xfId="0" applyNumberFormat="1" applyFont="1"/>
    <xf numFmtId="166" fontId="40" fillId="0" borderId="0" xfId="0" applyNumberFormat="1" applyFont="1"/>
    <xf numFmtId="3" fontId="40" fillId="0" borderId="0" xfId="0" applyNumberFormat="1" applyFont="1"/>
    <xf numFmtId="167" fontId="40" fillId="0" borderId="0" xfId="1" applyNumberFormat="1" applyFont="1"/>
    <xf numFmtId="166" fontId="40" fillId="0" borderId="0" xfId="1" applyNumberFormat="1" applyFont="1"/>
    <xf numFmtId="169" fontId="37" fillId="0" borderId="0" xfId="0" applyNumberFormat="1" applyFont="1"/>
    <xf numFmtId="3" fontId="37" fillId="0" borderId="0" xfId="0" applyNumberFormat="1" applyFont="1" applyBorder="1"/>
    <xf numFmtId="166" fontId="37" fillId="0" borderId="0" xfId="0" applyNumberFormat="1" applyFont="1" applyBorder="1"/>
    <xf numFmtId="170" fontId="37" fillId="0" borderId="0" xfId="0" applyNumberFormat="1" applyFont="1"/>
    <xf numFmtId="1" fontId="37" fillId="0" borderId="0" xfId="0" applyNumberFormat="1" applyFont="1"/>
    <xf numFmtId="168" fontId="37" fillId="0" borderId="0" xfId="0" applyNumberFormat="1" applyFont="1"/>
    <xf numFmtId="0" fontId="37" fillId="0" borderId="28" xfId="0" applyFont="1" applyBorder="1"/>
    <xf numFmtId="0" fontId="38" fillId="0" borderId="28" xfId="0" applyFont="1" applyBorder="1" applyAlignment="1">
      <alignment horizontal="right"/>
    </xf>
    <xf numFmtId="3" fontId="37" fillId="0" borderId="28" xfId="0" applyNumberFormat="1" applyFont="1" applyBorder="1"/>
    <xf numFmtId="0" fontId="37" fillId="0" borderId="28" xfId="0" applyFont="1" applyBorder="1" applyAlignment="1">
      <alignment horizontal="left" indent="1"/>
    </xf>
    <xf numFmtId="166" fontId="37" fillId="0" borderId="28" xfId="0" applyNumberFormat="1" applyFont="1" applyBorder="1"/>
    <xf numFmtId="0" fontId="37" fillId="0" borderId="0" xfId="0" applyFont="1" applyAlignment="1">
      <alignment horizontal="left" indent="1"/>
    </xf>
    <xf numFmtId="14" fontId="20" fillId="0" borderId="0" xfId="10"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5" applyFont="1" applyBorder="1" applyAlignment="1">
      <alignment horizontal="right"/>
    </xf>
    <xf numFmtId="0" fontId="14" fillId="0" borderId="0" xfId="5" applyFont="1" applyAlignment="1">
      <alignment horizontal="right"/>
    </xf>
    <xf numFmtId="0" fontId="9" fillId="2" borderId="2" xfId="5" applyFont="1" applyFill="1" applyBorder="1" applyAlignment="1">
      <alignment horizontal="center"/>
    </xf>
    <xf numFmtId="0" fontId="9" fillId="2" borderId="29" xfId="5" applyFont="1" applyFill="1" applyBorder="1" applyAlignment="1">
      <alignment horizontal="center"/>
    </xf>
    <xf numFmtId="0" fontId="7" fillId="0" borderId="30" xfId="5" applyFont="1" applyBorder="1" applyAlignment="1">
      <alignment vertical="top"/>
    </xf>
    <xf numFmtId="0" fontId="10" fillId="0" borderId="19" xfId="5" applyFont="1" applyBorder="1" applyAlignment="1">
      <alignment vertical="top"/>
    </xf>
    <xf numFmtId="0" fontId="9" fillId="2" borderId="3" xfId="5" applyFont="1" applyFill="1" applyBorder="1" applyAlignment="1">
      <alignment horizontal="center"/>
    </xf>
    <xf numFmtId="0" fontId="9" fillId="2" borderId="4" xfId="5" applyFont="1" applyFill="1" applyBorder="1" applyAlignment="1">
      <alignment horizontal="center"/>
    </xf>
  </cellXfs>
  <cellStyles count="16">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2 2" xfId="10"/>
    <cellStyle name="Normal 3" xfId="9"/>
    <cellStyle name="Normal 4" xfId="11"/>
    <cellStyle name="Normal 5" xfId="12"/>
    <cellStyle name="Normal 6" xfId="13"/>
    <cellStyle name="Normal 7" xfId="14"/>
    <cellStyle name="Normal 8" xfId="8"/>
    <cellStyle name="Tusenskille 2"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'Tab2'!$B$71:$B$206</c:f>
              <c:numCache>
                <c:formatCode>General</c:formatCode>
                <c:ptCount val="136"/>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numCache>
            </c:numRef>
          </c:cat>
          <c:val>
            <c:numRef>
              <c:f>'Tab2'!$C$71:$C$206</c:f>
              <c:numCache>
                <c:formatCode>General</c:formatCode>
                <c:ptCount val="136"/>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'Tab2'!$B$71:$B$206</c:f>
              <c:numCache>
                <c:formatCode>General</c:formatCode>
                <c:ptCount val="136"/>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numCache>
            </c:numRef>
          </c:cat>
          <c:val>
            <c:numRef>
              <c:f>'Tab2'!$D$71:$D$206</c:f>
              <c:numCache>
                <c:formatCode>General</c:formatCode>
                <c:ptCount val="136"/>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50800"/>
          </c:spPr>
          <c:marker>
            <c:symbol val="none"/>
          </c:marker>
          <c:cat>
            <c:numRef>
              <c:f>'Tab2'!$K$103:$K$206</c:f>
              <c:numCache>
                <c:formatCode>General</c:formatCode>
                <c:ptCount val="104"/>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numCache>
            </c:numRef>
          </c:cat>
          <c:val>
            <c:numRef>
              <c:f>'Tab2'!$T$103:$T$206</c:f>
              <c:numCache>
                <c:formatCode>#\ ##0.0</c:formatCode>
                <c:ptCount val="104"/>
                <c:pt idx="0">
                  <c:v>236.93005847953219</c:v>
                </c:pt>
                <c:pt idx="1">
                  <c:v>294.78337182448041</c:v>
                </c:pt>
                <c:pt idx="2">
                  <c:v>342.60415704387998</c:v>
                </c:pt>
                <c:pt idx="3">
                  <c:v>306.8499427262314</c:v>
                </c:pt>
                <c:pt idx="4">
                  <c:v>298.70171428571427</c:v>
                </c:pt>
                <c:pt idx="5">
                  <c:v>272.93002257336349</c:v>
                </c:pt>
                <c:pt idx="6">
                  <c:v>357.67395715896282</c:v>
                </c:pt>
                <c:pt idx="7">
                  <c:v>177.39216125419932</c:v>
                </c:pt>
                <c:pt idx="8">
                  <c:v>282.988864142539</c:v>
                </c:pt>
                <c:pt idx="9">
                  <c:v>304.90925110132167</c:v>
                </c:pt>
                <c:pt idx="10">
                  <c:v>346.65695364238411</c:v>
                </c:pt>
                <c:pt idx="11">
                  <c:v>261.75384615384615</c:v>
                </c:pt>
                <c:pt idx="12">
                  <c:v>257.29846153846154</c:v>
                </c:pt>
                <c:pt idx="13">
                  <c:v>309.81199563794985</c:v>
                </c:pt>
                <c:pt idx="14">
                  <c:v>345.57046688382212</c:v>
                </c:pt>
                <c:pt idx="15">
                  <c:v>335.26047516198707</c:v>
                </c:pt>
                <c:pt idx="16">
                  <c:v>283.86381156316918</c:v>
                </c:pt>
                <c:pt idx="17">
                  <c:v>328.37747077577052</c:v>
                </c:pt>
                <c:pt idx="18">
                  <c:v>344.84250797024436</c:v>
                </c:pt>
                <c:pt idx="19">
                  <c:v>315.77420718816097</c:v>
                </c:pt>
                <c:pt idx="20">
                  <c:v>305.27898089171981</c:v>
                </c:pt>
                <c:pt idx="21">
                  <c:v>335.12597266035755</c:v>
                </c:pt>
                <c:pt idx="22">
                  <c:v>353.58492146596859</c:v>
                </c:pt>
                <c:pt idx="23">
                  <c:v>282.68328141225356</c:v>
                </c:pt>
                <c:pt idx="24">
                  <c:v>279.48036998972253</c:v>
                </c:pt>
                <c:pt idx="25">
                  <c:v>332.87697031729778</c:v>
                </c:pt>
                <c:pt idx="26">
                  <c:v>294.63909928352109</c:v>
                </c:pt>
                <c:pt idx="27">
                  <c:v>272.38292682926817</c:v>
                </c:pt>
                <c:pt idx="28">
                  <c:v>270.35166163141997</c:v>
                </c:pt>
                <c:pt idx="29">
                  <c:v>296.57131394182551</c:v>
                </c:pt>
                <c:pt idx="30">
                  <c:v>304.1090180360722</c:v>
                </c:pt>
                <c:pt idx="31">
                  <c:v>295.92691161866929</c:v>
                </c:pt>
                <c:pt idx="32">
                  <c:v>232.47968441814598</c:v>
                </c:pt>
                <c:pt idx="33">
                  <c:v>282.09080234833658</c:v>
                </c:pt>
                <c:pt idx="34">
                  <c:v>324.19823008849568</c:v>
                </c:pt>
                <c:pt idx="35">
                  <c:v>268.89429951690812</c:v>
                </c:pt>
                <c:pt idx="36">
                  <c:v>274.09560229445509</c:v>
                </c:pt>
                <c:pt idx="37">
                  <c:v>254.1921979067555</c:v>
                </c:pt>
                <c:pt idx="38">
                  <c:v>266.6355175688509</c:v>
                </c:pt>
                <c:pt idx="39">
                  <c:v>291.498127340824</c:v>
                </c:pt>
                <c:pt idx="40">
                  <c:v>219.20369003690035</c:v>
                </c:pt>
                <c:pt idx="41">
                  <c:v>251.41824817518247</c:v>
                </c:pt>
                <c:pt idx="42">
                  <c:v>212.31082331174838</c:v>
                </c:pt>
                <c:pt idx="43">
                  <c:v>344.34958601655933</c:v>
                </c:pt>
                <c:pt idx="44">
                  <c:v>262.17676120768527</c:v>
                </c:pt>
                <c:pt idx="45">
                  <c:v>307.37090909090909</c:v>
                </c:pt>
                <c:pt idx="46">
                  <c:v>243.75547445255478</c:v>
                </c:pt>
                <c:pt idx="47">
                  <c:v>253.07387387387405</c:v>
                </c:pt>
                <c:pt idx="48">
                  <c:v>231.22513089005238</c:v>
                </c:pt>
                <c:pt idx="49">
                  <c:v>262.00676758682101</c:v>
                </c:pt>
                <c:pt idx="50">
                  <c:v>244.30956210902593</c:v>
                </c:pt>
                <c:pt idx="51">
                  <c:v>284.07033747779769</c:v>
                </c:pt>
                <c:pt idx="52">
                  <c:v>230.05968028419181</c:v>
                </c:pt>
                <c:pt idx="53">
                  <c:v>291.64303350970022</c:v>
                </c:pt>
                <c:pt idx="54">
                  <c:v>206.0516814159291</c:v>
                </c:pt>
                <c:pt idx="55">
                  <c:v>206.91157894736855</c:v>
                </c:pt>
                <c:pt idx="56">
                  <c:v>203.38223394898858</c:v>
                </c:pt>
                <c:pt idx="57">
                  <c:v>191.68402777777789</c:v>
                </c:pt>
                <c:pt idx="58">
                  <c:v>192.47958297132922</c:v>
                </c:pt>
                <c:pt idx="59">
                  <c:v>177.25517241379319</c:v>
                </c:pt>
                <c:pt idx="60">
                  <c:v>187.02298456260721</c:v>
                </c:pt>
                <c:pt idx="61">
                  <c:v>216.27888040712469</c:v>
                </c:pt>
                <c:pt idx="62">
                  <c:v>206.27519181585683</c:v>
                </c:pt>
                <c:pt idx="63">
                  <c:v>175.34184873949576</c:v>
                </c:pt>
                <c:pt idx="64">
                  <c:v>206.29378723404258</c:v>
                </c:pt>
                <c:pt idx="65">
                  <c:v>197.06508875739644</c:v>
                </c:pt>
                <c:pt idx="66">
                  <c:v>187.94499151103562</c:v>
                </c:pt>
                <c:pt idx="67">
                  <c:v>171.1708609271524</c:v>
                </c:pt>
                <c:pt idx="68">
                  <c:v>190.17621000820344</c:v>
                </c:pt>
                <c:pt idx="69">
                  <c:v>223.6091803278689</c:v>
                </c:pt>
                <c:pt idx="70">
                  <c:v>219.14086108854588</c:v>
                </c:pt>
                <c:pt idx="71">
                  <c:v>313.0559743384124</c:v>
                </c:pt>
                <c:pt idx="72">
                  <c:v>246.97088000000002</c:v>
                </c:pt>
                <c:pt idx="73">
                  <c:v>271.05361972951476</c:v>
                </c:pt>
                <c:pt idx="74">
                  <c:v>267.66060606060603</c:v>
                </c:pt>
                <c:pt idx="75">
                  <c:v>316.13522906793065</c:v>
                </c:pt>
                <c:pt idx="76">
                  <c:v>273.51111111111118</c:v>
                </c:pt>
                <c:pt idx="77">
                  <c:v>226.46764934057413</c:v>
                </c:pt>
                <c:pt idx="78">
                  <c:v>227.39718309859148</c:v>
                </c:pt>
                <c:pt idx="79">
                  <c:v>230.10852713178295</c:v>
                </c:pt>
                <c:pt idx="80">
                  <c:v>174.04915514592938</c:v>
                </c:pt>
                <c:pt idx="81">
                  <c:v>218.63694656488545</c:v>
                </c:pt>
                <c:pt idx="82">
                  <c:v>187.2105100463678</c:v>
                </c:pt>
                <c:pt idx="83">
                  <c:v>200.94850460419948</c:v>
                </c:pt>
                <c:pt idx="84">
                  <c:v>193.21803402477872</c:v>
                </c:pt>
                <c:pt idx="85">
                  <c:v>202.53028057592974</c:v>
                </c:pt>
                <c:pt idx="86">
                  <c:v>211.66261883125446</c:v>
                </c:pt>
                <c:pt idx="87">
                  <c:v>208.8820350681292</c:v>
                </c:pt>
                <c:pt idx="88">
                  <c:v>182.73955867251556</c:v>
                </c:pt>
                <c:pt idx="89">
                  <c:v>189.9406372188547</c:v>
                </c:pt>
                <c:pt idx="90">
                  <c:v>186.03673566392874</c:v>
                </c:pt>
                <c:pt idx="91">
                  <c:v>192.74599988250509</c:v>
                </c:pt>
                <c:pt idx="92">
                  <c:v>176.10861191735435</c:v>
                </c:pt>
                <c:pt idx="93">
                  <c:v>177.23544198804618</c:v>
                </c:pt>
                <c:pt idx="94">
                  <c:v>187.11102815009937</c:v>
                </c:pt>
                <c:pt idx="95">
                  <c:v>184.19842799316481</c:v>
                </c:pt>
                <c:pt idx="96">
                  <c:v>162.55444685707343</c:v>
                </c:pt>
                <c:pt idx="97">
                  <c:v>175.14241229061494</c:v>
                </c:pt>
                <c:pt idx="98">
                  <c:v>135.95157290456265</c:v>
                </c:pt>
                <c:pt idx="99">
                  <c:v>162.02723909337985</c:v>
                </c:pt>
                <c:pt idx="100">
                  <c:v>130.48535587294188</c:v>
                </c:pt>
                <c:pt idx="101">
                  <c:v>153.14353088582675</c:v>
                </c:pt>
                <c:pt idx="102">
                  <c:v>148.63863372130487</c:v>
                </c:pt>
                <c:pt idx="103">
                  <c:v>145.94961003691347</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val>
            <c:numRef>
              <c:f>'Tab2'!$R$103:$R$206</c:f>
              <c:numCache>
                <c:formatCode>#,##0</c:formatCode>
                <c:ptCount val="104"/>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223.20845500400003</c:v>
                </c:pt>
                <c:pt idx="1">
                  <c:v>1471.146694841</c:v>
                </c:pt>
                <c:pt idx="2">
                  <c:v>196.17641437899999</c:v>
                </c:pt>
                <c:pt idx="3">
                  <c:v>1178.1485436949999</c:v>
                </c:pt>
                <c:pt idx="4" formatCode="0.000">
                  <c:v>9687.0743284989985</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2014</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6807.4207896280004</c:v>
                </c:pt>
                <c:pt idx="1">
                  <c:v>5057.4810805440002</c:v>
                </c:pt>
                <c:pt idx="2">
                  <c:v>2434.703342413</c:v>
                </c:pt>
                <c:pt idx="3">
                  <c:v>1700.2929333249999</c:v>
                </c:pt>
                <c:pt idx="4">
                  <c:v>643.95455599599995</c:v>
                </c:pt>
                <c:pt idx="5">
                  <c:v>1854.3190241750001</c:v>
                </c:pt>
                <c:pt idx="6">
                  <c:v>477.56383193200003</c:v>
                </c:pt>
                <c:pt idx="7">
                  <c:v>1175.4142453750001</c:v>
                </c:pt>
                <c:pt idx="8">
                  <c:v>238.074885722</c:v>
                </c:pt>
                <c:pt idx="9">
                  <c:v>880.461629109</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2015</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6790.1078110569997</c:v>
                </c:pt>
                <c:pt idx="1">
                  <c:v>5832.965228219</c:v>
                </c:pt>
                <c:pt idx="2">
                  <c:v>2427.3984782100001</c:v>
                </c:pt>
                <c:pt idx="3">
                  <c:v>1969.2178060450001</c:v>
                </c:pt>
                <c:pt idx="4">
                  <c:v>617.195755996</c:v>
                </c:pt>
                <c:pt idx="5">
                  <c:v>2002.9648543779999</c:v>
                </c:pt>
                <c:pt idx="6">
                  <c:v>470.83394949500001</c:v>
                </c:pt>
                <c:pt idx="7">
                  <c:v>1175.9397378880001</c:v>
                </c:pt>
                <c:pt idx="8">
                  <c:v>239.90116805900001</c:v>
                </c:pt>
                <c:pt idx="9">
                  <c:v>910.87891344699995</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2016</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7461.0390863120001</c:v>
                </c:pt>
                <c:pt idx="1">
                  <c:v>5391.969568126</c:v>
                </c:pt>
                <c:pt idx="2">
                  <c:v>1966.977229306</c:v>
                </c:pt>
                <c:pt idx="3">
                  <c:v>1986.7947992970001</c:v>
                </c:pt>
                <c:pt idx="4">
                  <c:v>507.423043302</c:v>
                </c:pt>
                <c:pt idx="5">
                  <c:v>2043.508105676</c:v>
                </c:pt>
                <c:pt idx="6">
                  <c:v>453.98179332199999</c:v>
                </c:pt>
                <c:pt idx="7">
                  <c:v>1026.4393155570001</c:v>
                </c:pt>
                <c:pt idx="8">
                  <c:v>144.28091435900001</c:v>
                </c:pt>
                <c:pt idx="9">
                  <c:v>749.46103067699994</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2014</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46530</c:v>
                </c:pt>
                <c:pt idx="1">
                  <c:v>78404</c:v>
                </c:pt>
                <c:pt idx="2">
                  <c:v>40957</c:v>
                </c:pt>
                <c:pt idx="3" formatCode="_ * #\ ##0_ ;_ * \-#\ ##0_ ;_ * &quot;-&quot;??_ ;_ @_ ">
                  <c:v>176904</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2015</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31084.431800000002</c:v>
                </c:pt>
                <c:pt idx="1">
                  <c:v>75724.328727273009</c:v>
                </c:pt>
                <c:pt idx="2">
                  <c:v>36932.783571429005</c:v>
                </c:pt>
                <c:pt idx="3" formatCode="_ * #\ ##0_ ;_ * \-#\ ##0_ ;_ * &quot;-&quot;??_ ;_ @_ ">
                  <c:v>205070.169595238</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2016</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28310.174221493999</c:v>
                </c:pt>
                <c:pt idx="1">
                  <c:v>83401.904944901995</c:v>
                </c:pt>
                <c:pt idx="2">
                  <c:v>34730.615164604998</c:v>
                </c:pt>
                <c:pt idx="3" formatCode="_ * #\ ##0_ ;_ * \-#\ ##0_ ;_ * &quot;-&quot;??_ ;_ @_ ">
                  <c:v>228188.29312105101</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2014</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5010.407602151</c:v>
                </c:pt>
                <c:pt idx="1">
                  <c:v>3569.9051307219997</c:v>
                </c:pt>
                <c:pt idx="2">
                  <c:v>684.93652275500006</c:v>
                </c:pt>
                <c:pt idx="3">
                  <c:v>2599.6526145440002</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2015</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5253.0194746540001</c:v>
                </c:pt>
                <c:pt idx="1">
                  <c:v>3559.6675912239998</c:v>
                </c:pt>
                <c:pt idx="2">
                  <c:v>613.94413477299997</c:v>
                </c:pt>
                <c:pt idx="3">
                  <c:v>3196.4418386249999</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2016</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4973.2635679180003</c:v>
                </c:pt>
                <c:pt idx="1">
                  <c:v>4183.1515041450002</c:v>
                </c:pt>
                <c:pt idx="2">
                  <c:v>578.22426147800002</c:v>
                </c:pt>
                <c:pt idx="3">
                  <c:v>3118.369320896998</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2014</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306308</c:v>
                </c:pt>
                <c:pt idx="1">
                  <c:v>111974</c:v>
                </c:pt>
                <c:pt idx="2">
                  <c:v>122672</c:v>
                </c:pt>
                <c:pt idx="3">
                  <c:v>46146</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2015</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320739</c:v>
                </c:pt>
                <c:pt idx="1">
                  <c:v>108145.685466667</c:v>
                </c:pt>
                <c:pt idx="2">
                  <c:v>124066.90919999999</c:v>
                </c:pt>
                <c:pt idx="3">
                  <c:v>42956.936227273</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2016</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311962</c:v>
                </c:pt>
                <c:pt idx="1">
                  <c:v>110745.20394415699</c:v>
                </c:pt>
                <c:pt idx="2">
                  <c:v>135636.54006907999</c:v>
                </c:pt>
                <c:pt idx="3">
                  <c:v>40113.599095906997</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2014</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10634</c:v>
                </c:pt>
                <c:pt idx="1">
                  <c:v>8890</c:v>
                </c:pt>
                <c:pt idx="2">
                  <c:v>9129</c:v>
                </c:pt>
                <c:pt idx="3">
                  <c:v>15847</c:v>
                </c:pt>
                <c:pt idx="4">
                  <c:v>22664</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2015</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10720.65475</c:v>
                </c:pt>
                <c:pt idx="1">
                  <c:v>9026</c:v>
                </c:pt>
                <c:pt idx="2">
                  <c:v>9685</c:v>
                </c:pt>
                <c:pt idx="3">
                  <c:v>16072.498266667</c:v>
                </c:pt>
                <c:pt idx="4">
                  <c:v>24133</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2016</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10018.849101247</c:v>
                </c:pt>
                <c:pt idx="1">
                  <c:v>8825.3934933599994</c:v>
                </c:pt>
                <c:pt idx="2">
                  <c:v>9463</c:v>
                </c:pt>
                <c:pt idx="3">
                  <c:v>14653.806941663001</c:v>
                </c:pt>
                <c:pt idx="4">
                  <c:v>25480.007092866999</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50800"/>
          </c:spPr>
          <c:marker>
            <c:symbol val="none"/>
          </c:marker>
          <c:cat>
            <c:numRef>
              <c:f>'Tab2'!$K$71:$K$206</c:f>
              <c:numCache>
                <c:formatCode>General</c:formatCode>
                <c:ptCount val="136"/>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numCache>
            </c:numRef>
          </c:cat>
          <c:val>
            <c:numRef>
              <c:f>'Tab2'!$N$71:$N$206</c:f>
              <c:numCache>
                <c:formatCode>#\ ##0.0</c:formatCode>
                <c:ptCount val="136"/>
                <c:pt idx="0">
                  <c:v>217.73828996282532</c:v>
                </c:pt>
                <c:pt idx="1">
                  <c:v>182.38976234003661</c:v>
                </c:pt>
                <c:pt idx="2">
                  <c:v>166.7949367088608</c:v>
                </c:pt>
                <c:pt idx="3">
                  <c:v>204.31743772241992</c:v>
                </c:pt>
                <c:pt idx="4">
                  <c:v>219.09528795811522</c:v>
                </c:pt>
                <c:pt idx="5">
                  <c:v>207.24810996563573</c:v>
                </c:pt>
                <c:pt idx="6">
                  <c:v>205.48279386712096</c:v>
                </c:pt>
                <c:pt idx="7">
                  <c:v>229.83355704697985</c:v>
                </c:pt>
                <c:pt idx="8">
                  <c:v>248.3655629139073</c:v>
                </c:pt>
                <c:pt idx="9">
                  <c:v>271.47056910569108</c:v>
                </c:pt>
                <c:pt idx="10">
                  <c:v>240.55483870967745</c:v>
                </c:pt>
                <c:pt idx="11">
                  <c:v>272.82158730158733</c:v>
                </c:pt>
                <c:pt idx="12">
                  <c:v>252.94750000000002</c:v>
                </c:pt>
                <c:pt idx="13">
                  <c:v>270.66461538461539</c:v>
                </c:pt>
                <c:pt idx="14">
                  <c:v>217.84835820895523</c:v>
                </c:pt>
                <c:pt idx="15">
                  <c:v>254.93255474452556</c:v>
                </c:pt>
                <c:pt idx="16">
                  <c:v>278.50893617021279</c:v>
                </c:pt>
                <c:pt idx="17">
                  <c:v>274.83687150837994</c:v>
                </c:pt>
                <c:pt idx="18">
                  <c:v>224.9106500691563</c:v>
                </c:pt>
                <c:pt idx="19">
                  <c:v>264.61413043478262</c:v>
                </c:pt>
                <c:pt idx="20">
                  <c:v>251.85957446808516</c:v>
                </c:pt>
                <c:pt idx="21">
                  <c:v>179.5368970013038</c:v>
                </c:pt>
                <c:pt idx="22">
                  <c:v>279.63324675324674</c:v>
                </c:pt>
                <c:pt idx="23">
                  <c:v>370.43585147247131</c:v>
                </c:pt>
                <c:pt idx="24">
                  <c:v>261.70443599493029</c:v>
                </c:pt>
                <c:pt idx="25">
                  <c:v>211.51980074719805</c:v>
                </c:pt>
                <c:pt idx="26">
                  <c:v>186.12009925558314</c:v>
                </c:pt>
                <c:pt idx="27">
                  <c:v>234.81081081081081</c:v>
                </c:pt>
                <c:pt idx="28">
                  <c:v>251.42065613608753</c:v>
                </c:pt>
                <c:pt idx="29">
                  <c:v>202.2685851318945</c:v>
                </c:pt>
                <c:pt idx="30">
                  <c:v>175.42078853046598</c:v>
                </c:pt>
                <c:pt idx="31">
                  <c:v>204.18331374853116</c:v>
                </c:pt>
                <c:pt idx="32">
                  <c:v>220.33309941520471</c:v>
                </c:pt>
                <c:pt idx="33">
                  <c:v>211.84942263279439</c:v>
                </c:pt>
                <c:pt idx="34">
                  <c:v>221.71454965357972</c:v>
                </c:pt>
                <c:pt idx="35">
                  <c:v>229.22520045819024</c:v>
                </c:pt>
                <c:pt idx="36">
                  <c:v>214.13851428571431</c:v>
                </c:pt>
                <c:pt idx="37">
                  <c:v>184.51376975169305</c:v>
                </c:pt>
                <c:pt idx="38">
                  <c:v>213.2004509582863</c:v>
                </c:pt>
                <c:pt idx="39">
                  <c:v>175.93281075028005</c:v>
                </c:pt>
                <c:pt idx="40">
                  <c:v>220.74743875278395</c:v>
                </c:pt>
                <c:pt idx="41">
                  <c:v>183.71101321585908</c:v>
                </c:pt>
                <c:pt idx="42">
                  <c:v>212.24547461368655</c:v>
                </c:pt>
                <c:pt idx="43">
                  <c:v>251.09274725274719</c:v>
                </c:pt>
                <c:pt idx="44">
                  <c:v>300.73846153846159</c:v>
                </c:pt>
                <c:pt idx="45">
                  <c:v>262.91384950926937</c:v>
                </c:pt>
                <c:pt idx="46">
                  <c:v>267.11748099891423</c:v>
                </c:pt>
                <c:pt idx="47">
                  <c:v>220.1710583153349</c:v>
                </c:pt>
                <c:pt idx="48">
                  <c:v>265.25995717344756</c:v>
                </c:pt>
                <c:pt idx="49">
                  <c:v>228.20233793836354</c:v>
                </c:pt>
                <c:pt idx="50">
                  <c:v>277.28969181721567</c:v>
                </c:pt>
                <c:pt idx="51">
                  <c:v>263.27272727272737</c:v>
                </c:pt>
                <c:pt idx="52">
                  <c:v>577.35541401273883</c:v>
                </c:pt>
                <c:pt idx="53">
                  <c:v>357.50830704521564</c:v>
                </c:pt>
                <c:pt idx="54">
                  <c:v>363.89528795811538</c:v>
                </c:pt>
                <c:pt idx="55">
                  <c:v>350.94828660436156</c:v>
                </c:pt>
                <c:pt idx="56">
                  <c:v>379.93257965056529</c:v>
                </c:pt>
                <c:pt idx="57">
                  <c:v>416.9113613101332</c:v>
                </c:pt>
                <c:pt idx="58">
                  <c:v>441.51402251791194</c:v>
                </c:pt>
                <c:pt idx="59">
                  <c:v>393.93252032520331</c:v>
                </c:pt>
                <c:pt idx="60">
                  <c:v>415.58912386706947</c:v>
                </c:pt>
                <c:pt idx="61">
                  <c:v>368.17251755265801</c:v>
                </c:pt>
                <c:pt idx="62">
                  <c:v>374.18757515030063</c:v>
                </c:pt>
                <c:pt idx="63">
                  <c:v>430.08619662363463</c:v>
                </c:pt>
                <c:pt idx="64">
                  <c:v>469.10059171597641</c:v>
                </c:pt>
                <c:pt idx="65">
                  <c:v>471.37925636007827</c:v>
                </c:pt>
                <c:pt idx="66">
                  <c:v>634.30088495575217</c:v>
                </c:pt>
                <c:pt idx="67">
                  <c:v>574.44328502415419</c:v>
                </c:pt>
                <c:pt idx="68">
                  <c:v>478.83671128107079</c:v>
                </c:pt>
                <c:pt idx="69">
                  <c:v>347.74043767840158</c:v>
                </c:pt>
                <c:pt idx="70">
                  <c:v>431.09971509971513</c:v>
                </c:pt>
                <c:pt idx="71">
                  <c:v>657.29438202247195</c:v>
                </c:pt>
                <c:pt idx="72">
                  <c:v>902.06125461254612</c:v>
                </c:pt>
                <c:pt idx="73">
                  <c:v>597.16788321167894</c:v>
                </c:pt>
                <c:pt idx="74">
                  <c:v>536.33598519889006</c:v>
                </c:pt>
                <c:pt idx="75">
                  <c:v>678.57516099356008</c:v>
                </c:pt>
                <c:pt idx="76">
                  <c:v>618.01646843549872</c:v>
                </c:pt>
                <c:pt idx="77">
                  <c:v>537.73454545454558</c:v>
                </c:pt>
                <c:pt idx="78">
                  <c:v>664.54744525547449</c:v>
                </c:pt>
                <c:pt idx="79">
                  <c:v>605.55099099099107</c:v>
                </c:pt>
                <c:pt idx="80">
                  <c:v>791.97766143106458</c:v>
                </c:pt>
                <c:pt idx="81">
                  <c:v>523.62671415850423</c:v>
                </c:pt>
                <c:pt idx="82">
                  <c:v>557.07238605898124</c:v>
                </c:pt>
                <c:pt idx="83">
                  <c:v>606.84831261101237</c:v>
                </c:pt>
                <c:pt idx="84">
                  <c:v>665.74564831261102</c:v>
                </c:pt>
                <c:pt idx="85">
                  <c:v>440.14603174603172</c:v>
                </c:pt>
                <c:pt idx="86">
                  <c:v>581.89097345132734</c:v>
                </c:pt>
                <c:pt idx="87">
                  <c:v>543.889122807018</c:v>
                </c:pt>
                <c:pt idx="88">
                  <c:v>532.33421284080919</c:v>
                </c:pt>
                <c:pt idx="89">
                  <c:v>406.24444444444453</c:v>
                </c:pt>
                <c:pt idx="90">
                  <c:v>563.97775847089486</c:v>
                </c:pt>
                <c:pt idx="91">
                  <c:v>597.67448275862068</c:v>
                </c:pt>
                <c:pt idx="92">
                  <c:v>726.48370497427118</c:v>
                </c:pt>
                <c:pt idx="93">
                  <c:v>532.77557251908388</c:v>
                </c:pt>
                <c:pt idx="94">
                  <c:v>613.02369991474848</c:v>
                </c:pt>
                <c:pt idx="95">
                  <c:v>639.55361344537835</c:v>
                </c:pt>
                <c:pt idx="96">
                  <c:v>800.52834042553195</c:v>
                </c:pt>
                <c:pt idx="97">
                  <c:v>629.3842772612004</c:v>
                </c:pt>
                <c:pt idx="98">
                  <c:v>804.14397283531457</c:v>
                </c:pt>
                <c:pt idx="99">
                  <c:v>679.88874172185399</c:v>
                </c:pt>
                <c:pt idx="100">
                  <c:v>703.09368334700571</c:v>
                </c:pt>
                <c:pt idx="101">
                  <c:v>650.88786885245906</c:v>
                </c:pt>
                <c:pt idx="102">
                  <c:v>850.09715678310363</c:v>
                </c:pt>
                <c:pt idx="103">
                  <c:v>816.43047313552552</c:v>
                </c:pt>
                <c:pt idx="104">
                  <c:v>856.75263999999993</c:v>
                </c:pt>
                <c:pt idx="105">
                  <c:v>695.54685759745439</c:v>
                </c:pt>
                <c:pt idx="106">
                  <c:v>918.79872408293443</c:v>
                </c:pt>
                <c:pt idx="107">
                  <c:v>868.45687203791499</c:v>
                </c:pt>
                <c:pt idx="108">
                  <c:v>1905.0427086087475</c:v>
                </c:pt>
                <c:pt idx="109">
                  <c:v>971.66640175726889</c:v>
                </c:pt>
                <c:pt idx="110">
                  <c:v>976.34081407813926</c:v>
                </c:pt>
                <c:pt idx="111">
                  <c:v>998.83820017812968</c:v>
                </c:pt>
                <c:pt idx="112">
                  <c:v>1180.4435776834252</c:v>
                </c:pt>
                <c:pt idx="113">
                  <c:v>858.39107764534435</c:v>
                </c:pt>
                <c:pt idx="114">
                  <c:v>1023.4995508999925</c:v>
                </c:pt>
                <c:pt idx="115">
                  <c:v>862.56882588621966</c:v>
                </c:pt>
                <c:pt idx="116">
                  <c:v>955.60811421484948</c:v>
                </c:pt>
                <c:pt idx="117">
                  <c:v>698.6369375712743</c:v>
                </c:pt>
                <c:pt idx="118">
                  <c:v>963.22482821987148</c:v>
                </c:pt>
                <c:pt idx="119">
                  <c:v>906.96739075245534</c:v>
                </c:pt>
                <c:pt idx="120">
                  <c:v>1113.850824100705</c:v>
                </c:pt>
                <c:pt idx="121">
                  <c:v>1090.6702155951366</c:v>
                </c:pt>
                <c:pt idx="122">
                  <c:v>793.62191698596166</c:v>
                </c:pt>
                <c:pt idx="123">
                  <c:v>958.6026536729463</c:v>
                </c:pt>
                <c:pt idx="124">
                  <c:v>945.44001402849915</c:v>
                </c:pt>
                <c:pt idx="125">
                  <c:v>776.39288691467209</c:v>
                </c:pt>
                <c:pt idx="126">
                  <c:v>1142.1150943905293</c:v>
                </c:pt>
                <c:pt idx="127">
                  <c:v>913.18951015700009</c:v>
                </c:pt>
                <c:pt idx="128">
                  <c:v>1001.8875281908158</c:v>
                </c:pt>
                <c:pt idx="129">
                  <c:v>767.26971348766347</c:v>
                </c:pt>
                <c:pt idx="130">
                  <c:v>1015.6467459215863</c:v>
                </c:pt>
                <c:pt idx="131">
                  <c:v>901.77791742734723</c:v>
                </c:pt>
                <c:pt idx="132">
                  <c:v>1036.6645318926198</c:v>
                </c:pt>
                <c:pt idx="133">
                  <c:v>797.95930775999977</c:v>
                </c:pt>
                <c:pt idx="134">
                  <c:v>1399.478692834158</c:v>
                </c:pt>
                <c:pt idx="135">
                  <c:v>949.54687744068235</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val>
            <c:numRef>
              <c:f>'Tab2'!$L$71:$L$206</c:f>
              <c:numCache>
                <c:formatCode>#,##0</c:formatCode>
                <c:ptCount val="136"/>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50800"/>
          </c:spPr>
          <c:marker>
            <c:symbol val="none"/>
          </c:marker>
          <c:cat>
            <c:numRef>
              <c:f>'Tab2'!$K$103:$K$206</c:f>
              <c:numCache>
                <c:formatCode>General</c:formatCode>
                <c:ptCount val="104"/>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numCache>
            </c:numRef>
          </c:cat>
          <c:val>
            <c:numRef>
              <c:f>'Tab2'!$Q$103:$Q$206</c:f>
              <c:numCache>
                <c:formatCode>#\ ##0.0</c:formatCode>
                <c:ptCount val="104"/>
                <c:pt idx="0">
                  <c:v>638.30549707602336</c:v>
                </c:pt>
                <c:pt idx="1">
                  <c:v>617.4900692840647</c:v>
                </c:pt>
                <c:pt idx="2">
                  <c:v>720.4886836027714</c:v>
                </c:pt>
                <c:pt idx="3">
                  <c:v>708.24284077892378</c:v>
                </c:pt>
                <c:pt idx="4">
                  <c:v>677.66399999999999</c:v>
                </c:pt>
                <c:pt idx="5">
                  <c:v>673.33634311512424</c:v>
                </c:pt>
                <c:pt idx="6">
                  <c:v>718.93934611048496</c:v>
                </c:pt>
                <c:pt idx="7">
                  <c:v>690.11063829787224</c:v>
                </c:pt>
                <c:pt idx="8">
                  <c:v>724.64498886414253</c:v>
                </c:pt>
                <c:pt idx="9">
                  <c:v>562.77444933920708</c:v>
                </c:pt>
                <c:pt idx="10">
                  <c:v>620.91390728476858</c:v>
                </c:pt>
                <c:pt idx="11">
                  <c:v>743.09450549450526</c:v>
                </c:pt>
                <c:pt idx="12">
                  <c:v>680.40087912087915</c:v>
                </c:pt>
                <c:pt idx="13">
                  <c:v>780.53042529989102</c:v>
                </c:pt>
                <c:pt idx="14">
                  <c:v>668.97285559174827</c:v>
                </c:pt>
                <c:pt idx="15">
                  <c:v>610.78704103671703</c:v>
                </c:pt>
                <c:pt idx="16">
                  <c:v>841.8244111349037</c:v>
                </c:pt>
                <c:pt idx="17">
                  <c:v>711.53581296493121</c:v>
                </c:pt>
                <c:pt idx="18">
                  <c:v>750.7749202975557</c:v>
                </c:pt>
                <c:pt idx="19">
                  <c:v>566.18942917547554</c:v>
                </c:pt>
                <c:pt idx="20">
                  <c:v>737.68067940552021</c:v>
                </c:pt>
                <c:pt idx="21">
                  <c:v>891.18233438485822</c:v>
                </c:pt>
                <c:pt idx="22">
                  <c:v>882.29445026177996</c:v>
                </c:pt>
                <c:pt idx="23">
                  <c:v>1001.1198338525445</c:v>
                </c:pt>
                <c:pt idx="24">
                  <c:v>931.15477903391582</c:v>
                </c:pt>
                <c:pt idx="25">
                  <c:v>984.69928352098236</c:v>
                </c:pt>
                <c:pt idx="26">
                  <c:v>1067.5480040941661</c:v>
                </c:pt>
                <c:pt idx="27">
                  <c:v>829.95121951219517</c:v>
                </c:pt>
                <c:pt idx="28">
                  <c:v>874.34118831822764</c:v>
                </c:pt>
                <c:pt idx="29">
                  <c:v>837.8647943831495</c:v>
                </c:pt>
                <c:pt idx="30">
                  <c:v>627.9503006012028</c:v>
                </c:pt>
                <c:pt idx="31">
                  <c:v>1062.058391261171</c:v>
                </c:pt>
                <c:pt idx="32">
                  <c:v>984.04023668639059</c:v>
                </c:pt>
                <c:pt idx="33">
                  <c:v>1239.1592954990217</c:v>
                </c:pt>
                <c:pt idx="34">
                  <c:v>807.29203539822981</c:v>
                </c:pt>
                <c:pt idx="35">
                  <c:v>1308.7961352657005</c:v>
                </c:pt>
                <c:pt idx="36">
                  <c:v>1135.0049713193118</c:v>
                </c:pt>
                <c:pt idx="37">
                  <c:v>928.8692673644149</c:v>
                </c:pt>
                <c:pt idx="38">
                  <c:v>971.10883190883237</c:v>
                </c:pt>
                <c:pt idx="39">
                  <c:v>1002.2112359550561</c:v>
                </c:pt>
                <c:pt idx="40">
                  <c:v>1171.490774907749</c:v>
                </c:pt>
                <c:pt idx="41">
                  <c:v>1219.4379562043796</c:v>
                </c:pt>
                <c:pt idx="42">
                  <c:v>1570.1624421831636</c:v>
                </c:pt>
                <c:pt idx="43">
                  <c:v>1070.0813247470105</c:v>
                </c:pt>
                <c:pt idx="44">
                  <c:v>1086.8611161939618</c:v>
                </c:pt>
                <c:pt idx="45">
                  <c:v>907.10618181818177</c:v>
                </c:pt>
                <c:pt idx="46">
                  <c:v>1183.6343065693434</c:v>
                </c:pt>
                <c:pt idx="47">
                  <c:v>1224.2774774774775</c:v>
                </c:pt>
                <c:pt idx="48">
                  <c:v>1373.7047120418852</c:v>
                </c:pt>
                <c:pt idx="49">
                  <c:v>1054.4740872662512</c:v>
                </c:pt>
                <c:pt idx="50">
                  <c:v>1113.1095621090258</c:v>
                </c:pt>
                <c:pt idx="51">
                  <c:v>980.29342806394345</c:v>
                </c:pt>
                <c:pt idx="52">
                  <c:v>945.44369449378348</c:v>
                </c:pt>
                <c:pt idx="53">
                  <c:v>904.42539682539677</c:v>
                </c:pt>
                <c:pt idx="54">
                  <c:v>836.38017699115039</c:v>
                </c:pt>
                <c:pt idx="55">
                  <c:v>901.06245614035163</c:v>
                </c:pt>
                <c:pt idx="56">
                  <c:v>910.82638522427442</c:v>
                </c:pt>
                <c:pt idx="57">
                  <c:v>937.05208333333337</c:v>
                </c:pt>
                <c:pt idx="58">
                  <c:v>1046.8121633362298</c:v>
                </c:pt>
                <c:pt idx="59">
                  <c:v>993.37793103448246</c:v>
                </c:pt>
                <c:pt idx="60">
                  <c:v>1176.2826758147517</c:v>
                </c:pt>
                <c:pt idx="61">
                  <c:v>996.28295165394411</c:v>
                </c:pt>
                <c:pt idx="62">
                  <c:v>1056.5585677749364</c:v>
                </c:pt>
                <c:pt idx="63">
                  <c:v>1005.0823529411766</c:v>
                </c:pt>
                <c:pt idx="64">
                  <c:v>1345.9622127659575</c:v>
                </c:pt>
                <c:pt idx="65">
                  <c:v>1275.047844463229</c:v>
                </c:pt>
                <c:pt idx="66">
                  <c:v>835.36570458404128</c:v>
                </c:pt>
                <c:pt idx="67">
                  <c:v>1092.8324503311258</c:v>
                </c:pt>
                <c:pt idx="68">
                  <c:v>1144.6208367514357</c:v>
                </c:pt>
                <c:pt idx="69">
                  <c:v>1369.4281967213119</c:v>
                </c:pt>
                <c:pt idx="70">
                  <c:v>1748.5393988627129</c:v>
                </c:pt>
                <c:pt idx="71">
                  <c:v>1346.9767441860467</c:v>
                </c:pt>
                <c:pt idx="72">
                  <c:v>1216.2041600000002</c:v>
                </c:pt>
                <c:pt idx="73">
                  <c:v>1241.6859188544154</c:v>
                </c:pt>
                <c:pt idx="74">
                  <c:v>1475.8283891547048</c:v>
                </c:pt>
                <c:pt idx="75">
                  <c:v>1363.5905213270148</c:v>
                </c:pt>
                <c:pt idx="76">
                  <c:v>1854.7226107226111</c:v>
                </c:pt>
                <c:pt idx="77">
                  <c:v>1552.134678044996</c:v>
                </c:pt>
                <c:pt idx="78">
                  <c:v>1457.2907668231612</c:v>
                </c:pt>
                <c:pt idx="79">
                  <c:v>1471.3475968992261</c:v>
                </c:pt>
                <c:pt idx="80">
                  <c:v>1889.1840245775732</c:v>
                </c:pt>
                <c:pt idx="81">
                  <c:v>1694.9337404580156</c:v>
                </c:pt>
                <c:pt idx="82">
                  <c:v>1438.3765069551775</c:v>
                </c:pt>
                <c:pt idx="83">
                  <c:v>1427.8752383009585</c:v>
                </c:pt>
                <c:pt idx="84">
                  <c:v>1264.7340584392095</c:v>
                </c:pt>
                <c:pt idx="85">
                  <c:v>1141.0251725727212</c:v>
                </c:pt>
                <c:pt idx="86">
                  <c:v>1260.9417031803418</c:v>
                </c:pt>
                <c:pt idx="87">
                  <c:v>1174.8675530147818</c:v>
                </c:pt>
                <c:pt idx="88">
                  <c:v>1250.0530439382078</c:v>
                </c:pt>
                <c:pt idx="89">
                  <c:v>1222.3432902698978</c:v>
                </c:pt>
                <c:pt idx="90">
                  <c:v>1427.9189320638418</c:v>
                </c:pt>
                <c:pt idx="91">
                  <c:v>1297.8093744453488</c:v>
                </c:pt>
                <c:pt idx="92">
                  <c:v>1583.326188025231</c:v>
                </c:pt>
                <c:pt idx="93">
                  <c:v>1227.4292013294998</c:v>
                </c:pt>
                <c:pt idx="94">
                  <c:v>1331.6041044629019</c:v>
                </c:pt>
                <c:pt idx="95">
                  <c:v>1162.2334323748785</c:v>
                </c:pt>
                <c:pt idx="96">
                  <c:v>1339.019177178335</c:v>
                </c:pt>
                <c:pt idx="97">
                  <c:v>1251.6910757101889</c:v>
                </c:pt>
                <c:pt idx="98">
                  <c:v>1390.064424791404</c:v>
                </c:pt>
                <c:pt idx="99">
                  <c:v>1456.5200529001688</c:v>
                </c:pt>
                <c:pt idx="100">
                  <c:v>1285.8249220969533</c:v>
                </c:pt>
                <c:pt idx="101">
                  <c:v>994.95397419176732</c:v>
                </c:pt>
                <c:pt idx="102">
                  <c:v>1487.3175801730924</c:v>
                </c:pt>
                <c:pt idx="103">
                  <c:v>1206.2866078818604</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val>
            <c:numRef>
              <c:f>'Tab2'!$O$103:$O$206</c:f>
              <c:numCache>
                <c:formatCode>#,##0</c:formatCode>
                <c:ptCount val="104"/>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xdr:cNvPicPr>
          <a:picLocks noChangeAspect="1"/>
        </xdr:cNvPicPr>
      </xdr:nvPicPr>
      <xdr:blipFill>
        <a:blip xmlns:r="http://schemas.openxmlformats.org/officeDocument/2006/relationships" r:embed="rId1" cstate="print"/>
        <a:srcRect/>
        <a:stretch>
          <a:fillRect/>
        </a:stretch>
      </xdr:blipFill>
      <xdr:spPr bwMode="auto">
        <a:xfrm>
          <a:off x="0" y="9525"/>
          <a:ext cx="6755130" cy="1151191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xdr:cNvSpPr txBox="1"/>
      </xdr:nvSpPr>
      <xdr:spPr>
        <a:xfrm>
          <a:off x="695325" y="9237345"/>
          <a:ext cx="3595387" cy="525780"/>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4. KVARTAL 2016 </a:t>
          </a:r>
          <a:r>
            <a:rPr lang="nb-NO" sz="1000">
              <a:effectLst/>
              <a:latin typeface="Arial"/>
              <a:ea typeface="ＭＳ 明朝"/>
              <a:cs typeface="Times New Roman"/>
            </a:rPr>
            <a:t>(14. februar 2017)</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xdr:cNvSpPr txBox="1"/>
      </xdr:nvSpPr>
      <xdr:spPr>
        <a:xfrm>
          <a:off x="666750" y="7414260"/>
          <a:ext cx="5812155" cy="1183640"/>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xdr:cNvSpPr txBox="1"/>
      </xdr:nvSpPr>
      <xdr:spPr>
        <a:xfrm>
          <a:off x="654050" y="8430260"/>
          <a:ext cx="5653433" cy="372829"/>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xdr:cNvSpPr txBox="1"/>
      </xdr:nvSpPr>
      <xdr:spPr>
        <a:xfrm>
          <a:off x="108858" y="794385"/>
          <a:ext cx="2142475" cy="650693"/>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38101</xdr:rowOff>
    </xdr:from>
    <xdr:to>
      <xdr:col>7</xdr:col>
      <xdr:colOff>457200</xdr:colOff>
      <xdr:row>102</xdr:row>
      <xdr:rowOff>142876</xdr:rowOff>
    </xdr:to>
    <xdr:sp macro="" textlink="">
      <xdr:nvSpPr>
        <xdr:cNvPr id="4" name="TextBox 3"/>
        <xdr:cNvSpPr txBox="1"/>
      </xdr:nvSpPr>
      <xdr:spPr>
        <a:xfrm>
          <a:off x="790575" y="14773276"/>
          <a:ext cx="5400675" cy="188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nb-NO" sz="1200" b="1" i="0">
              <a:solidFill>
                <a:schemeClr val="dk1"/>
              </a:solidFill>
              <a:effectLst/>
              <a:latin typeface="Times New Roman" panose="02020603050405020304" pitchFamily="18" charset="0"/>
              <a:ea typeface="+mn-ea"/>
              <a:cs typeface="Times New Roman" panose="02020603050405020304" pitchFamily="18" charset="0"/>
            </a:rPr>
            <a:t>1. </a:t>
          </a:r>
          <a:r>
            <a:rPr lang="en-US" sz="1200" b="1" i="0" baseline="0">
              <a:solidFill>
                <a:schemeClr val="dk1"/>
              </a:solidFill>
              <a:effectLst/>
              <a:latin typeface="Times New Roman" panose="02020603050405020304" pitchFamily="18" charset="0"/>
              <a:ea typeface="+mn-ea"/>
              <a:cs typeface="Times New Roman" panose="02020603050405020304" pitchFamily="18" charset="0"/>
            </a:rPr>
            <a:t>HOVEDTREKK – økte vannskader, gunstig brannår og dyrere motorvognskader</a:t>
          </a:r>
        </a:p>
        <a:p>
          <a:pPr rtl="0" eaLnBrk="1" fontAlgn="auto" latinLnBrk="0" hangingPunct="1"/>
          <a:endParaRPr lang="en-US" sz="1200" b="1"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en-US" sz="1200" b="0" i="0" baseline="0">
              <a:solidFill>
                <a:schemeClr val="dk1"/>
              </a:solidFill>
              <a:effectLst/>
              <a:latin typeface="Times New Roman" panose="02020603050405020304" pitchFamily="18" charset="0"/>
              <a:ea typeface="+mn-ea"/>
              <a:cs typeface="Times New Roman" panose="02020603050405020304" pitchFamily="18" charset="0"/>
            </a:rPr>
            <a:t>Erstatningene for landbasert forsikring totalt for 2016 ble på 36,5 milliarder kr, en marginal økning fra 2015 på 0,6 prosent. Brannerstatningene på privat og næring samlet er på nesten 5 milliarder kr i 2016 og er 5 prosent lavere enn i 2015. Erstatning etter vannskader økte med over 600 mill. kr fra 2015 til 2016 og det er boligene som ble hardest rammet. Til sammen ble det erstattet vannskader for 4,2 milliarder kr i 2016. Kjøretøyerstatningene økte med nesten 7 prosent fra 2015 til 2016, og ble på nærmere 12,8 milliarder kr.</a:t>
          </a:r>
        </a:p>
      </xdr:txBody>
    </xdr:sp>
    <xdr:clientData/>
  </xdr:twoCellAnchor>
  <xdr:twoCellAnchor>
    <xdr:from>
      <xdr:col>1</xdr:col>
      <xdr:colOff>66675</xdr:colOff>
      <xdr:row>103</xdr:row>
      <xdr:rowOff>76201</xdr:rowOff>
    </xdr:from>
    <xdr:to>
      <xdr:col>7</xdr:col>
      <xdr:colOff>57150</xdr:colOff>
      <xdr:row>118</xdr:row>
      <xdr:rowOff>28576</xdr:rowOff>
    </xdr:to>
    <xdr:sp macro="" textlink="">
      <xdr:nvSpPr>
        <xdr:cNvPr id="3309" name="Text Box 3"/>
        <xdr:cNvSpPr txBox="1">
          <a:spLocks noChangeArrowheads="1"/>
        </xdr:cNvSpPr>
      </xdr:nvSpPr>
      <xdr:spPr bwMode="auto">
        <a:xfrm>
          <a:off x="819150" y="16754476"/>
          <a:ext cx="4972050" cy="2381250"/>
        </a:xfrm>
        <a:prstGeom prst="rect">
          <a:avLst/>
        </a:prstGeom>
        <a:solidFill>
          <a:srgbClr val="FFFFFF"/>
        </a:solidFill>
        <a:ln w="9525">
          <a:noFill/>
          <a:miter lim="800000"/>
          <a:headEnd/>
          <a:tailEnd/>
        </a:ln>
      </xdr:spPr>
      <xdr:txBody>
        <a:bodyPr/>
        <a:lstStyle/>
        <a:p>
          <a:pPr rtl="0"/>
          <a:r>
            <a:rPr lang="nb-NO" sz="1100" b="1" i="0" baseline="0">
              <a:latin typeface="Times New Roman" pitchFamily="18" charset="0"/>
              <a:ea typeface="+mn-ea"/>
              <a:cs typeface="Times New Roman" pitchFamily="18" charset="0"/>
            </a:rPr>
            <a:t>Motorvogn – dyrere kaskoskader, redusert konsekvens av personskade og færre tyverier</a:t>
          </a:r>
        </a:p>
        <a:p>
          <a:pPr rtl="0"/>
          <a:endParaRPr lang="nb-NO" sz="1100" b="0" i="0" baseline="0">
            <a:latin typeface="Times New Roman" pitchFamily="18" charset="0"/>
            <a:ea typeface="+mn-ea"/>
            <a:cs typeface="Times New Roman" pitchFamily="18" charset="0"/>
          </a:endParaRPr>
        </a:p>
        <a:p>
          <a:pPr rtl="0"/>
          <a:r>
            <a:rPr lang="nb-NO" sz="1100" b="0" i="0" baseline="0">
              <a:latin typeface="Times New Roman" pitchFamily="18" charset="0"/>
              <a:ea typeface="+mn-ea"/>
              <a:cs typeface="Times New Roman" pitchFamily="18" charset="0"/>
            </a:rPr>
            <a:t>Antall skader innen motorvognforsikringer økte med drøyt 4 prosent fra 2015 til 2016 som er større enn porteføljeveksten i samme periode. Ansvarsskadene øker mest i antall, mens tyveri av og fra bil reduseres. Totale erstatninger ble på nesten 12,8 milliarder kr i 2016 som er 7 prosent høyere enn året før og det er kasko og redningsskadene som har økt mest. Kaskoskadene i 2016 er på 5,7 milliarder kr og ansvarsskadene er på 3,7 milliarder kr. Det er tingskadene på ansvar som har økt mye fra 2015 til 2016, mens erstatningene etter personskader er redusert. I 2015 ble 4500 kjøretøy meldt stjålet, i 2016 ble det meldt nesten 700 færre. Også tyveri fra bil er færre i 2016 enn tidligere år, selv om erstatningene i 2016 er litt høyere enn i 2015.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4</xdr:row>
      <xdr:rowOff>60960</xdr:rowOff>
    </xdr:from>
    <xdr:to>
      <xdr:col>1</xdr:col>
      <xdr:colOff>590550</xdr:colOff>
      <xdr:row>44</xdr:row>
      <xdr:rowOff>161913</xdr:rowOff>
    </xdr:to>
    <xdr:sp macro="" textlink="">
      <xdr:nvSpPr>
        <xdr:cNvPr id="5121" name="Text Box 1"/>
        <xdr:cNvSpPr txBox="1">
          <a:spLocks noChangeArrowheads="1"/>
        </xdr:cNvSpPr>
      </xdr:nvSpPr>
      <xdr:spPr bwMode="auto">
        <a:xfrm>
          <a:off x="87951" y="609600"/>
          <a:ext cx="2361879" cy="8025753"/>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Brann-kombinert privatmarkedet – store vannskader og færre tyverier</a:t>
          </a:r>
        </a:p>
        <a:p>
          <a:pPr rtl="0"/>
          <a:endParaRPr lang="en-US" sz="1100" b="1" i="0" baseline="0">
            <a:latin typeface="Times New Roman" pitchFamily="18" charset="0"/>
            <a:ea typeface="+mn-ea"/>
            <a:cs typeface="Times New Roman" pitchFamily="18" charset="0"/>
          </a:endParaRPr>
        </a:p>
        <a:p>
          <a:pPr rtl="0"/>
          <a:r>
            <a:rPr lang="nb-NO" sz="1100" b="0" i="0" baseline="0">
              <a:latin typeface="Times New Roman" pitchFamily="18" charset="0"/>
              <a:ea typeface="+mn-ea"/>
              <a:cs typeface="Times New Roman" pitchFamily="18" charset="0"/>
            </a:rPr>
            <a:t>Totalt ble det erstattet skader på private bygninger og innbo med nesten 7,5 milliarder kr i 2016, som er en økning på 10 prosent fra 2015. Dette skyldes hovedsakelig vannskadene som følge av regnværet i august i fjor; og da særlig på østlandsområdet. Erstatning etter brann økte med 1 prosent fra 2015 og utgjør nå rundt 2,6 milliarder kr. I gjennomsnitt ble en brannskade erstattet med 109 800 kr i 2016, mens det i 2015 var 102 400 kr per skade. I 2016 fortsetter reduksjonen av skader etter innbrudd/tyveri/ran - det ble meldt 31 800 skader med et erstatningsbeløp på 423,2 mill. kr – noe som er 5 prosent i antallsreduksjon og 6 prosent i erstatningsreduksjon fra 2015.</a:t>
          </a:r>
        </a:p>
        <a:p>
          <a:pPr rtl="0"/>
          <a:endParaRPr lang="nb-NO" sz="1100" b="0" i="0" baseline="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Brann-kombinert Næring – mindre brannskader</a:t>
          </a:r>
        </a:p>
        <a:p>
          <a:pPr rtl="0"/>
          <a:endParaRPr lang="nb-NO" sz="1100" b="0" i="0" baseline="0">
            <a:latin typeface="Times New Roman" pitchFamily="18" charset="0"/>
            <a:ea typeface="+mn-ea"/>
            <a:cs typeface="Times New Roman" pitchFamily="18" charset="0"/>
          </a:endParaRPr>
        </a:p>
        <a:p>
          <a:pPr rtl="0"/>
          <a:r>
            <a:rPr lang="nb-NO" sz="1100" b="0" i="0" baseline="0">
              <a:latin typeface="Times New Roman" pitchFamily="18" charset="0"/>
              <a:ea typeface="+mn-ea"/>
              <a:cs typeface="Times New Roman" pitchFamily="18" charset="0"/>
            </a:rPr>
            <a:t>På næringsrelaterte bransjer er totale erstatninger på 5,4 milliarder kr i 2016 som er en reduksjon på nesten 8 prosent fra 2015. Reduksjonen skyldes hovedsakelig mindre brannskader enn i 2016. Vannskadeerstatningene i 2016 ble også noe lavere enn året før. Innbrudd/tyveri/ran reduseres i likhet med privat; erstatningene ble på 155 mill. kr i 2016 noe som er 10 mill. kr lavere enn året før.</a:t>
          </a:r>
        </a:p>
        <a:p>
          <a:pPr rtl="0"/>
          <a:endParaRPr lang="nb-NO" sz="1100" b="0" i="0" baseline="0">
            <a:latin typeface="Times New Roman" pitchFamily="18" charset="0"/>
            <a:ea typeface="+mn-ea"/>
            <a:cs typeface="Times New Roman" pitchFamily="18" charset="0"/>
          </a:endParaRPr>
        </a:p>
        <a:p>
          <a:pPr rtl="0"/>
          <a:r>
            <a:rPr lang="en-US" sz="1100" b="1" i="0" baseline="0">
              <a:latin typeface="Times New Roman" pitchFamily="18" charset="0"/>
              <a:ea typeface="+mn-ea"/>
              <a:cs typeface="Times New Roman" pitchFamily="18" charset="0"/>
            </a:rPr>
            <a:t>Reiseforsikring – færre skader, men økt erstatningsnivå på sykdom</a:t>
          </a:r>
        </a:p>
        <a:p>
          <a:pPr rtl="0"/>
          <a:endParaRPr lang="nb-NO" sz="1100" b="0" i="0" baseline="0">
            <a:latin typeface="Times New Roman" pitchFamily="18" charset="0"/>
            <a:ea typeface="+mn-ea"/>
            <a:cs typeface="Times New Roman" pitchFamily="18" charset="0"/>
          </a:endParaRPr>
        </a:p>
        <a:p>
          <a:r>
            <a:rPr lang="nb-NO" sz="1100" b="0" i="0" baseline="0">
              <a:latin typeface="Times New Roman" pitchFamily="18" charset="0"/>
              <a:ea typeface="+mn-ea"/>
              <a:cs typeface="Times New Roman" pitchFamily="18" charset="0"/>
            </a:rPr>
            <a:t>Fra 2015 til 2016 ble det meldt nesten 9000 færre reiseskader og særlig stor var reduksjonen i 4 kvartal; noe som kan ha sammenheng med reiseaktiviteten. Men erstatningene øker fortsatt og særlig </a:t>
          </a:r>
        </a:p>
      </xdr:txBody>
    </xdr:sp>
    <xdr:clientData/>
  </xdr:twoCellAnchor>
  <xdr:twoCellAnchor>
    <xdr:from>
      <xdr:col>2</xdr:col>
      <xdr:colOff>400050</xdr:colOff>
      <xdr:row>4</xdr:row>
      <xdr:rowOff>59851</xdr:rowOff>
    </xdr:from>
    <xdr:to>
      <xdr:col>6</xdr:col>
      <xdr:colOff>395305</xdr:colOff>
      <xdr:row>44</xdr:row>
      <xdr:rowOff>161925</xdr:rowOff>
    </xdr:to>
    <xdr:sp macro="" textlink="">
      <xdr:nvSpPr>
        <xdr:cNvPr id="5122" name="Text Box 2"/>
        <xdr:cNvSpPr txBox="1">
          <a:spLocks noChangeArrowheads="1"/>
        </xdr:cNvSpPr>
      </xdr:nvSpPr>
      <xdr:spPr bwMode="auto">
        <a:xfrm>
          <a:off x="2990850" y="608491"/>
          <a:ext cx="2525095" cy="8026874"/>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lang="nb-NO" sz="1100">
              <a:latin typeface="Times New Roman" pitchFamily="18" charset="0"/>
              <a:ea typeface="+mn-ea"/>
              <a:cs typeface="Times New Roman" pitchFamily="18" charset="0"/>
            </a:rPr>
            <a:t>innen reisesykdom. Andelen av de totale erstatningene som går til å dekke </a:t>
          </a:r>
          <a:endParaRPr lang="nb-NO" sz="1100">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100">
              <a:latin typeface="Times New Roman" pitchFamily="18" charset="0"/>
              <a:ea typeface="+mn-ea"/>
              <a:cs typeface="Times New Roman" pitchFamily="18" charset="0"/>
            </a:rPr>
            <a:t>reisesykdom øker; for ti år siden utgjorde reisesykdom 36 prosent av totale </a:t>
          </a:r>
        </a:p>
        <a:p>
          <a:pPr marL="0" marR="0" lvl="0" indent="0" defTabSz="914400" rtl="0" eaLnBrk="1" fontAlgn="auto" latinLnBrk="0" hangingPunct="1">
            <a:lnSpc>
              <a:spcPct val="100000"/>
            </a:lnSpc>
            <a:spcBef>
              <a:spcPts val="0"/>
            </a:spcBef>
            <a:spcAft>
              <a:spcPts val="0"/>
            </a:spcAft>
            <a:buClrTx/>
            <a:buSzTx/>
            <a:buFontTx/>
            <a:buNone/>
            <a:tabLst/>
            <a:defRPr/>
          </a:pPr>
          <a:r>
            <a:rPr lang="nb-NO" sz="1100">
              <a:latin typeface="Times New Roman" pitchFamily="18" charset="0"/>
              <a:ea typeface="+mn-ea"/>
              <a:cs typeface="Times New Roman" pitchFamily="18" charset="0"/>
            </a:rPr>
            <a:t>erstatninger, mens det i 2016 var en andel </a:t>
          </a:r>
        </a:p>
        <a:p>
          <a:pPr rtl="0"/>
          <a:r>
            <a:rPr lang="nb-NO" sz="1100">
              <a:latin typeface="Times New Roman" pitchFamily="18" charset="0"/>
              <a:ea typeface="+mn-ea"/>
              <a:cs typeface="Times New Roman" pitchFamily="18" charset="0"/>
            </a:rPr>
            <a:t>på 48 prosent. Skader etter tyveri/tap av reisegods reduseres; i 2016 utgjorde slike erstatninger 330 mill. kr; en andel på 16 prosent av totalen mot 28 prosent for ti år siden.</a:t>
          </a:r>
        </a:p>
        <a:p>
          <a:pPr rtl="0"/>
          <a:endParaRPr lang="nb-NO" sz="110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Fritidsbåtforsikring – lite båtbruk og få skader</a:t>
          </a:r>
        </a:p>
        <a:p>
          <a:pPr rtl="0"/>
          <a:endParaRPr lang="nb-NO" sz="1100" b="1" i="0" baseline="0">
            <a:latin typeface="Times New Roman" pitchFamily="18" charset="0"/>
            <a:ea typeface="+mn-ea"/>
            <a:cs typeface="Times New Roman" pitchFamily="18" charset="0"/>
          </a:endParaRPr>
        </a:p>
        <a:p>
          <a:pPr rtl="0"/>
          <a:r>
            <a:rPr lang="nb-NO" sz="1100" b="0" i="0" baseline="0">
              <a:latin typeface="Times New Roman" pitchFamily="18" charset="0"/>
              <a:ea typeface="+mn-ea"/>
              <a:cs typeface="Times New Roman" pitchFamily="18" charset="0"/>
            </a:rPr>
            <a:t>I 2016 ble det meldt 10 000 skader på båt som er 700 færre enn i 2015. Erstatningene ble nesten 4 prosent lavere enn året før. Antall meldte forsikringskrav etter tyveri av og fra båt er redusert med 13 prosent fra 2015 til 2016. Skader etter havari utgjør nesten halvparten av de totale erstatningene på 454 mill. kr, og havariskadene var 3 prosent lavere enn i 2015.</a:t>
          </a:r>
        </a:p>
        <a:p>
          <a:pPr rtl="0"/>
          <a:endParaRPr lang="nb-NO" sz="1100" b="0" i="0" baseline="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Personproduktene – barn, kritisk sykdom, behandling, ulykke, yrkesskade, trygghet</a:t>
          </a:r>
        </a:p>
        <a:p>
          <a:pPr rtl="0"/>
          <a:endParaRPr lang="nb-NO" sz="1100" b="0" i="0" baseline="0">
            <a:latin typeface="Times New Roman" pitchFamily="18" charset="0"/>
            <a:ea typeface="+mn-ea"/>
            <a:cs typeface="Times New Roman" pitchFamily="18" charset="0"/>
          </a:endParaRPr>
        </a:p>
        <a:p>
          <a:pPr rtl="0"/>
          <a:r>
            <a:rPr lang="nb-NO" sz="1100" b="0" i="0" baseline="0">
              <a:latin typeface="Times New Roman" pitchFamily="18" charset="0"/>
              <a:ea typeface="+mn-ea"/>
              <a:cs typeface="Times New Roman" pitchFamily="18" charset="0"/>
            </a:rPr>
            <a:t>Samlet erstatningsbeløp for alle personproduktene i 2016 ble på 6,5 milliarder kr og dette er en reduksjon på 6 prosent fra året før. Reduksjonen skyldes yrkesskade hvor det erstatningene er 19 prosent lavere; fra 2,4 milliarder kr til rett under 2 milliarder. Behandlingsforsikring øker både i porteføljestørrelse og i erstatning; erstatningene i 2016 ble på 890 mill. kr og her er de største erstatnings-postene på operasjoner og legespesialist/diagnostikk. På barneforsikring ble det registrert nesten 5 300 skader i 2016 med et erstatningsbeløp på 832 mill. kr. Halvparten av erstatningene går til å dekke medisinsk invaliditet.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algn="l" rtl="0">
            <a:defRPr sz="1000"/>
          </a:pPr>
          <a:r>
            <a:rPr lang="en-US" sz="1050" b="0" i="0" strike="noStrike">
              <a:solidFill>
                <a:srgbClr val="000000"/>
              </a:solidFill>
              <a:latin typeface="Times New Roman" pitchFamily="18" charset="0"/>
              <a:cs typeface="Times New Roman" pitchFamily="18" charset="0"/>
            </a:rPr>
            <a:t>     Vardia</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66675</xdr:rowOff>
    </xdr:from>
    <xdr:to>
      <xdr:col>14</xdr:col>
      <xdr:colOff>257175</xdr:colOff>
      <xdr:row>50</xdr:row>
      <xdr:rowOff>133350</xdr:rowOff>
    </xdr:to>
    <xdr:sp macro="" textlink="">
      <xdr:nvSpPr>
        <xdr:cNvPr id="6152" name="Text Box 8"/>
        <xdr:cNvSpPr txBox="1">
          <a:spLocks noChangeArrowheads="1"/>
        </xdr:cNvSpPr>
      </xdr:nvSpPr>
      <xdr:spPr bwMode="auto">
        <a:xfrm>
          <a:off x="8562975" y="571500"/>
          <a:ext cx="2552700" cy="92678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J57"/>
  <sheetViews>
    <sheetView showGridLines="0" showRowColHeaders="0" zoomScale="50" zoomScaleNormal="50" zoomScaleSheetLayoutView="100" workbookViewId="0"/>
  </sheetViews>
  <sheetFormatPr defaultColWidth="11.44140625" defaultRowHeight="13.2" x14ac:dyDescent="0.25"/>
  <cols>
    <col min="1" max="1" width="16.33203125" style="100" customWidth="1"/>
    <col min="2" max="4" width="11.44140625" style="100"/>
    <col min="5" max="5" width="14.109375" style="100" bestFit="1" customWidth="1"/>
    <col min="6" max="7" width="11.44140625" style="100"/>
    <col min="8" max="8" width="13.44140625" style="100" customWidth="1"/>
    <col min="9" max="9" width="11.44140625" style="100"/>
    <col min="10" max="10" width="13.44140625" style="100" bestFit="1" customWidth="1"/>
    <col min="11" max="256" width="11.44140625" style="100"/>
    <col min="257" max="257" width="16.33203125" style="100" customWidth="1"/>
    <col min="258" max="260" width="11.44140625" style="100"/>
    <col min="261" max="261" width="14.109375" style="100" bestFit="1" customWidth="1"/>
    <col min="262" max="263" width="11.44140625" style="100"/>
    <col min="264" max="264" width="13.44140625" style="100" customWidth="1"/>
    <col min="265" max="265" width="11.44140625" style="100"/>
    <col min="266" max="266" width="13.44140625" style="100" bestFit="1" customWidth="1"/>
    <col min="267" max="512" width="11.44140625" style="100"/>
    <col min="513" max="513" width="16.33203125" style="100" customWidth="1"/>
    <col min="514" max="516" width="11.44140625" style="100"/>
    <col min="517" max="517" width="14.109375" style="100" bestFit="1" customWidth="1"/>
    <col min="518" max="519" width="11.44140625" style="100"/>
    <col min="520" max="520" width="13.44140625" style="100" customWidth="1"/>
    <col min="521" max="521" width="11.44140625" style="100"/>
    <col min="522" max="522" width="13.44140625" style="100" bestFit="1" customWidth="1"/>
    <col min="523" max="768" width="11.44140625" style="100"/>
    <col min="769" max="769" width="16.33203125" style="100" customWidth="1"/>
    <col min="770" max="772" width="11.44140625" style="100"/>
    <col min="773" max="773" width="14.109375" style="100" bestFit="1" customWidth="1"/>
    <col min="774" max="775" width="11.44140625" style="100"/>
    <col min="776" max="776" width="13.44140625" style="100" customWidth="1"/>
    <col min="777" max="777" width="11.44140625" style="100"/>
    <col min="778" max="778" width="13.44140625" style="100" bestFit="1" customWidth="1"/>
    <col min="779" max="1024" width="11.44140625" style="100"/>
    <col min="1025" max="1025" width="16.33203125" style="100" customWidth="1"/>
    <col min="1026" max="1028" width="11.44140625" style="100"/>
    <col min="1029" max="1029" width="14.109375" style="100" bestFit="1" customWidth="1"/>
    <col min="1030" max="1031" width="11.44140625" style="100"/>
    <col min="1032" max="1032" width="13.44140625" style="100" customWidth="1"/>
    <col min="1033" max="1033" width="11.44140625" style="100"/>
    <col min="1034" max="1034" width="13.44140625" style="100" bestFit="1" customWidth="1"/>
    <col min="1035" max="1280" width="11.44140625" style="100"/>
    <col min="1281" max="1281" width="16.33203125" style="100" customWidth="1"/>
    <col min="1282" max="1284" width="11.44140625" style="100"/>
    <col min="1285" max="1285" width="14.109375" style="100" bestFit="1" customWidth="1"/>
    <col min="1286" max="1287" width="11.44140625" style="100"/>
    <col min="1288" max="1288" width="13.44140625" style="100" customWidth="1"/>
    <col min="1289" max="1289" width="11.44140625" style="100"/>
    <col min="1290" max="1290" width="13.44140625" style="100" bestFit="1" customWidth="1"/>
    <col min="1291" max="1536" width="11.44140625" style="100"/>
    <col min="1537" max="1537" width="16.33203125" style="100" customWidth="1"/>
    <col min="1538" max="1540" width="11.44140625" style="100"/>
    <col min="1541" max="1541" width="14.109375" style="100" bestFit="1" customWidth="1"/>
    <col min="1542" max="1543" width="11.44140625" style="100"/>
    <col min="1544" max="1544" width="13.44140625" style="100" customWidth="1"/>
    <col min="1545" max="1545" width="11.44140625" style="100"/>
    <col min="1546" max="1546" width="13.44140625" style="100" bestFit="1" customWidth="1"/>
    <col min="1547" max="1792" width="11.44140625" style="100"/>
    <col min="1793" max="1793" width="16.33203125" style="100" customWidth="1"/>
    <col min="1794" max="1796" width="11.44140625" style="100"/>
    <col min="1797" max="1797" width="14.109375" style="100" bestFit="1" customWidth="1"/>
    <col min="1798" max="1799" width="11.44140625" style="100"/>
    <col min="1800" max="1800" width="13.44140625" style="100" customWidth="1"/>
    <col min="1801" max="1801" width="11.44140625" style="100"/>
    <col min="1802" max="1802" width="13.44140625" style="100" bestFit="1" customWidth="1"/>
    <col min="1803" max="2048" width="11.44140625" style="100"/>
    <col min="2049" max="2049" width="16.33203125" style="100" customWidth="1"/>
    <col min="2050" max="2052" width="11.44140625" style="100"/>
    <col min="2053" max="2053" width="14.109375" style="100" bestFit="1" customWidth="1"/>
    <col min="2054" max="2055" width="11.44140625" style="100"/>
    <col min="2056" max="2056" width="13.44140625" style="100" customWidth="1"/>
    <col min="2057" max="2057" width="11.44140625" style="100"/>
    <col min="2058" max="2058" width="13.44140625" style="100" bestFit="1" customWidth="1"/>
    <col min="2059" max="2304" width="11.44140625" style="100"/>
    <col min="2305" max="2305" width="16.33203125" style="100" customWidth="1"/>
    <col min="2306" max="2308" width="11.44140625" style="100"/>
    <col min="2309" max="2309" width="14.109375" style="100" bestFit="1" customWidth="1"/>
    <col min="2310" max="2311" width="11.44140625" style="100"/>
    <col min="2312" max="2312" width="13.44140625" style="100" customWidth="1"/>
    <col min="2313" max="2313" width="11.44140625" style="100"/>
    <col min="2314" max="2314" width="13.44140625" style="100" bestFit="1" customWidth="1"/>
    <col min="2315" max="2560" width="11.44140625" style="100"/>
    <col min="2561" max="2561" width="16.33203125" style="100" customWidth="1"/>
    <col min="2562" max="2564" width="11.44140625" style="100"/>
    <col min="2565" max="2565" width="14.109375" style="100" bestFit="1" customWidth="1"/>
    <col min="2566" max="2567" width="11.44140625" style="100"/>
    <col min="2568" max="2568" width="13.44140625" style="100" customWidth="1"/>
    <col min="2569" max="2569" width="11.44140625" style="100"/>
    <col min="2570" max="2570" width="13.44140625" style="100" bestFit="1" customWidth="1"/>
    <col min="2571" max="2816" width="11.44140625" style="100"/>
    <col min="2817" max="2817" width="16.33203125" style="100" customWidth="1"/>
    <col min="2818" max="2820" width="11.44140625" style="100"/>
    <col min="2821" max="2821" width="14.109375" style="100" bestFit="1" customWidth="1"/>
    <col min="2822" max="2823" width="11.44140625" style="100"/>
    <col min="2824" max="2824" width="13.44140625" style="100" customWidth="1"/>
    <col min="2825" max="2825" width="11.44140625" style="100"/>
    <col min="2826" max="2826" width="13.44140625" style="100" bestFit="1" customWidth="1"/>
    <col min="2827" max="3072" width="11.44140625" style="100"/>
    <col min="3073" max="3073" width="16.33203125" style="100" customWidth="1"/>
    <col min="3074" max="3076" width="11.44140625" style="100"/>
    <col min="3077" max="3077" width="14.109375" style="100" bestFit="1" customWidth="1"/>
    <col min="3078" max="3079" width="11.44140625" style="100"/>
    <col min="3080" max="3080" width="13.44140625" style="100" customWidth="1"/>
    <col min="3081" max="3081" width="11.44140625" style="100"/>
    <col min="3082" max="3082" width="13.44140625" style="100" bestFit="1" customWidth="1"/>
    <col min="3083" max="3328" width="11.44140625" style="100"/>
    <col min="3329" max="3329" width="16.33203125" style="100" customWidth="1"/>
    <col min="3330" max="3332" width="11.44140625" style="100"/>
    <col min="3333" max="3333" width="14.109375" style="100" bestFit="1" customWidth="1"/>
    <col min="3334" max="3335" width="11.44140625" style="100"/>
    <col min="3336" max="3336" width="13.44140625" style="100" customWidth="1"/>
    <col min="3337" max="3337" width="11.44140625" style="100"/>
    <col min="3338" max="3338" width="13.44140625" style="100" bestFit="1" customWidth="1"/>
    <col min="3339" max="3584" width="11.44140625" style="100"/>
    <col min="3585" max="3585" width="16.33203125" style="100" customWidth="1"/>
    <col min="3586" max="3588" width="11.44140625" style="100"/>
    <col min="3589" max="3589" width="14.109375" style="100" bestFit="1" customWidth="1"/>
    <col min="3590" max="3591" width="11.44140625" style="100"/>
    <col min="3592" max="3592" width="13.44140625" style="100" customWidth="1"/>
    <col min="3593" max="3593" width="11.44140625" style="100"/>
    <col min="3594" max="3594" width="13.44140625" style="100" bestFit="1" customWidth="1"/>
    <col min="3595" max="3840" width="11.44140625" style="100"/>
    <col min="3841" max="3841" width="16.33203125" style="100" customWidth="1"/>
    <col min="3842" max="3844" width="11.44140625" style="100"/>
    <col min="3845" max="3845" width="14.109375" style="100" bestFit="1" customWidth="1"/>
    <col min="3846" max="3847" width="11.44140625" style="100"/>
    <col min="3848" max="3848" width="13.44140625" style="100" customWidth="1"/>
    <col min="3849" max="3849" width="11.44140625" style="100"/>
    <col min="3850" max="3850" width="13.44140625" style="100" bestFit="1" customWidth="1"/>
    <col min="3851" max="4096" width="11.44140625" style="100"/>
    <col min="4097" max="4097" width="16.33203125" style="100" customWidth="1"/>
    <col min="4098" max="4100" width="11.44140625" style="100"/>
    <col min="4101" max="4101" width="14.109375" style="100" bestFit="1" customWidth="1"/>
    <col min="4102" max="4103" width="11.44140625" style="100"/>
    <col min="4104" max="4104" width="13.44140625" style="100" customWidth="1"/>
    <col min="4105" max="4105" width="11.44140625" style="100"/>
    <col min="4106" max="4106" width="13.44140625" style="100" bestFit="1" customWidth="1"/>
    <col min="4107" max="4352" width="11.44140625" style="100"/>
    <col min="4353" max="4353" width="16.33203125" style="100" customWidth="1"/>
    <col min="4354" max="4356" width="11.44140625" style="100"/>
    <col min="4357" max="4357" width="14.109375" style="100" bestFit="1" customWidth="1"/>
    <col min="4358" max="4359" width="11.44140625" style="100"/>
    <col min="4360" max="4360" width="13.44140625" style="100" customWidth="1"/>
    <col min="4361" max="4361" width="11.44140625" style="100"/>
    <col min="4362" max="4362" width="13.44140625" style="100" bestFit="1" customWidth="1"/>
    <col min="4363" max="4608" width="11.44140625" style="100"/>
    <col min="4609" max="4609" width="16.33203125" style="100" customWidth="1"/>
    <col min="4610" max="4612" width="11.44140625" style="100"/>
    <col min="4613" max="4613" width="14.109375" style="100" bestFit="1" customWidth="1"/>
    <col min="4614" max="4615" width="11.44140625" style="100"/>
    <col min="4616" max="4616" width="13.44140625" style="100" customWidth="1"/>
    <col min="4617" max="4617" width="11.44140625" style="100"/>
    <col min="4618" max="4618" width="13.44140625" style="100" bestFit="1" customWidth="1"/>
    <col min="4619" max="4864" width="11.44140625" style="100"/>
    <col min="4865" max="4865" width="16.33203125" style="100" customWidth="1"/>
    <col min="4866" max="4868" width="11.44140625" style="100"/>
    <col min="4869" max="4869" width="14.109375" style="100" bestFit="1" customWidth="1"/>
    <col min="4870" max="4871" width="11.44140625" style="100"/>
    <col min="4872" max="4872" width="13.44140625" style="100" customWidth="1"/>
    <col min="4873" max="4873" width="11.44140625" style="100"/>
    <col min="4874" max="4874" width="13.44140625" style="100" bestFit="1" customWidth="1"/>
    <col min="4875" max="5120" width="11.44140625" style="100"/>
    <col min="5121" max="5121" width="16.33203125" style="100" customWidth="1"/>
    <col min="5122" max="5124" width="11.44140625" style="100"/>
    <col min="5125" max="5125" width="14.109375" style="100" bestFit="1" customWidth="1"/>
    <col min="5126" max="5127" width="11.44140625" style="100"/>
    <col min="5128" max="5128" width="13.44140625" style="100" customWidth="1"/>
    <col min="5129" max="5129" width="11.44140625" style="100"/>
    <col min="5130" max="5130" width="13.44140625" style="100" bestFit="1" customWidth="1"/>
    <col min="5131" max="5376" width="11.44140625" style="100"/>
    <col min="5377" max="5377" width="16.33203125" style="100" customWidth="1"/>
    <col min="5378" max="5380" width="11.44140625" style="100"/>
    <col min="5381" max="5381" width="14.109375" style="100" bestFit="1" customWidth="1"/>
    <col min="5382" max="5383" width="11.44140625" style="100"/>
    <col min="5384" max="5384" width="13.44140625" style="100" customWidth="1"/>
    <col min="5385" max="5385" width="11.44140625" style="100"/>
    <col min="5386" max="5386" width="13.44140625" style="100" bestFit="1" customWidth="1"/>
    <col min="5387" max="5632" width="11.44140625" style="100"/>
    <col min="5633" max="5633" width="16.33203125" style="100" customWidth="1"/>
    <col min="5634" max="5636" width="11.44140625" style="100"/>
    <col min="5637" max="5637" width="14.109375" style="100" bestFit="1" customWidth="1"/>
    <col min="5638" max="5639" width="11.44140625" style="100"/>
    <col min="5640" max="5640" width="13.44140625" style="100" customWidth="1"/>
    <col min="5641" max="5641" width="11.44140625" style="100"/>
    <col min="5642" max="5642" width="13.44140625" style="100" bestFit="1" customWidth="1"/>
    <col min="5643" max="5888" width="11.44140625" style="100"/>
    <col min="5889" max="5889" width="16.33203125" style="100" customWidth="1"/>
    <col min="5890" max="5892" width="11.44140625" style="100"/>
    <col min="5893" max="5893" width="14.109375" style="100" bestFit="1" customWidth="1"/>
    <col min="5894" max="5895" width="11.44140625" style="100"/>
    <col min="5896" max="5896" width="13.44140625" style="100" customWidth="1"/>
    <col min="5897" max="5897" width="11.44140625" style="100"/>
    <col min="5898" max="5898" width="13.44140625" style="100" bestFit="1" customWidth="1"/>
    <col min="5899" max="6144" width="11.44140625" style="100"/>
    <col min="6145" max="6145" width="16.33203125" style="100" customWidth="1"/>
    <col min="6146" max="6148" width="11.44140625" style="100"/>
    <col min="6149" max="6149" width="14.109375" style="100" bestFit="1" customWidth="1"/>
    <col min="6150" max="6151" width="11.44140625" style="100"/>
    <col min="6152" max="6152" width="13.44140625" style="100" customWidth="1"/>
    <col min="6153" max="6153" width="11.44140625" style="100"/>
    <col min="6154" max="6154" width="13.44140625" style="100" bestFit="1" customWidth="1"/>
    <col min="6155" max="6400" width="11.44140625" style="100"/>
    <col min="6401" max="6401" width="16.33203125" style="100" customWidth="1"/>
    <col min="6402" max="6404" width="11.44140625" style="100"/>
    <col min="6405" max="6405" width="14.109375" style="100" bestFit="1" customWidth="1"/>
    <col min="6406" max="6407" width="11.44140625" style="100"/>
    <col min="6408" max="6408" width="13.44140625" style="100" customWidth="1"/>
    <col min="6409" max="6409" width="11.44140625" style="100"/>
    <col min="6410" max="6410" width="13.44140625" style="100" bestFit="1" customWidth="1"/>
    <col min="6411" max="6656" width="11.44140625" style="100"/>
    <col min="6657" max="6657" width="16.33203125" style="100" customWidth="1"/>
    <col min="6658" max="6660" width="11.44140625" style="100"/>
    <col min="6661" max="6661" width="14.109375" style="100" bestFit="1" customWidth="1"/>
    <col min="6662" max="6663" width="11.44140625" style="100"/>
    <col min="6664" max="6664" width="13.44140625" style="100" customWidth="1"/>
    <col min="6665" max="6665" width="11.44140625" style="100"/>
    <col min="6666" max="6666" width="13.44140625" style="100" bestFit="1" customWidth="1"/>
    <col min="6667" max="6912" width="11.44140625" style="100"/>
    <col min="6913" max="6913" width="16.33203125" style="100" customWidth="1"/>
    <col min="6914" max="6916" width="11.44140625" style="100"/>
    <col min="6917" max="6917" width="14.109375" style="100" bestFit="1" customWidth="1"/>
    <col min="6918" max="6919" width="11.44140625" style="100"/>
    <col min="6920" max="6920" width="13.44140625" style="100" customWidth="1"/>
    <col min="6921" max="6921" width="11.44140625" style="100"/>
    <col min="6922" max="6922" width="13.44140625" style="100" bestFit="1" customWidth="1"/>
    <col min="6923" max="7168" width="11.44140625" style="100"/>
    <col min="7169" max="7169" width="16.33203125" style="100" customWidth="1"/>
    <col min="7170" max="7172" width="11.44140625" style="100"/>
    <col min="7173" max="7173" width="14.109375" style="100" bestFit="1" customWidth="1"/>
    <col min="7174" max="7175" width="11.44140625" style="100"/>
    <col min="7176" max="7176" width="13.44140625" style="100" customWidth="1"/>
    <col min="7177" max="7177" width="11.44140625" style="100"/>
    <col min="7178" max="7178" width="13.44140625" style="100" bestFit="1" customWidth="1"/>
    <col min="7179" max="7424" width="11.44140625" style="100"/>
    <col min="7425" max="7425" width="16.33203125" style="100" customWidth="1"/>
    <col min="7426" max="7428" width="11.44140625" style="100"/>
    <col min="7429" max="7429" width="14.109375" style="100" bestFit="1" customWidth="1"/>
    <col min="7430" max="7431" width="11.44140625" style="100"/>
    <col min="7432" max="7432" width="13.44140625" style="100" customWidth="1"/>
    <col min="7433" max="7433" width="11.44140625" style="100"/>
    <col min="7434" max="7434" width="13.44140625" style="100" bestFit="1" customWidth="1"/>
    <col min="7435" max="7680" width="11.44140625" style="100"/>
    <col min="7681" max="7681" width="16.33203125" style="100" customWidth="1"/>
    <col min="7682" max="7684" width="11.44140625" style="100"/>
    <col min="7685" max="7685" width="14.109375" style="100" bestFit="1" customWidth="1"/>
    <col min="7686" max="7687" width="11.44140625" style="100"/>
    <col min="7688" max="7688" width="13.44140625" style="100" customWidth="1"/>
    <col min="7689" max="7689" width="11.44140625" style="100"/>
    <col min="7690" max="7690" width="13.44140625" style="100" bestFit="1" customWidth="1"/>
    <col min="7691" max="7936" width="11.44140625" style="100"/>
    <col min="7937" max="7937" width="16.33203125" style="100" customWidth="1"/>
    <col min="7938" max="7940" width="11.44140625" style="100"/>
    <col min="7941" max="7941" width="14.109375" style="100" bestFit="1" customWidth="1"/>
    <col min="7942" max="7943" width="11.44140625" style="100"/>
    <col min="7944" max="7944" width="13.44140625" style="100" customWidth="1"/>
    <col min="7945" max="7945" width="11.44140625" style="100"/>
    <col min="7946" max="7946" width="13.44140625" style="100" bestFit="1" customWidth="1"/>
    <col min="7947" max="8192" width="11.44140625" style="100"/>
    <col min="8193" max="8193" width="16.33203125" style="100" customWidth="1"/>
    <col min="8194" max="8196" width="11.44140625" style="100"/>
    <col min="8197" max="8197" width="14.109375" style="100" bestFit="1" customWidth="1"/>
    <col min="8198" max="8199" width="11.44140625" style="100"/>
    <col min="8200" max="8200" width="13.44140625" style="100" customWidth="1"/>
    <col min="8201" max="8201" width="11.44140625" style="100"/>
    <col min="8202" max="8202" width="13.44140625" style="100" bestFit="1" customWidth="1"/>
    <col min="8203" max="8448" width="11.44140625" style="100"/>
    <col min="8449" max="8449" width="16.33203125" style="100" customWidth="1"/>
    <col min="8450" max="8452" width="11.44140625" style="100"/>
    <col min="8453" max="8453" width="14.109375" style="100" bestFit="1" customWidth="1"/>
    <col min="8454" max="8455" width="11.44140625" style="100"/>
    <col min="8456" max="8456" width="13.44140625" style="100" customWidth="1"/>
    <col min="8457" max="8457" width="11.44140625" style="100"/>
    <col min="8458" max="8458" width="13.44140625" style="100" bestFit="1" customWidth="1"/>
    <col min="8459" max="8704" width="11.44140625" style="100"/>
    <col min="8705" max="8705" width="16.33203125" style="100" customWidth="1"/>
    <col min="8706" max="8708" width="11.44140625" style="100"/>
    <col min="8709" max="8709" width="14.109375" style="100" bestFit="1" customWidth="1"/>
    <col min="8710" max="8711" width="11.44140625" style="100"/>
    <col min="8712" max="8712" width="13.44140625" style="100" customWidth="1"/>
    <col min="8713" max="8713" width="11.44140625" style="100"/>
    <col min="8714" max="8714" width="13.44140625" style="100" bestFit="1" customWidth="1"/>
    <col min="8715" max="8960" width="11.44140625" style="100"/>
    <col min="8961" max="8961" width="16.33203125" style="100" customWidth="1"/>
    <col min="8962" max="8964" width="11.44140625" style="100"/>
    <col min="8965" max="8965" width="14.109375" style="100" bestFit="1" customWidth="1"/>
    <col min="8966" max="8967" width="11.44140625" style="100"/>
    <col min="8968" max="8968" width="13.44140625" style="100" customWidth="1"/>
    <col min="8969" max="8969" width="11.44140625" style="100"/>
    <col min="8970" max="8970" width="13.44140625" style="100" bestFit="1" customWidth="1"/>
    <col min="8971" max="9216" width="11.44140625" style="100"/>
    <col min="9217" max="9217" width="16.33203125" style="100" customWidth="1"/>
    <col min="9218" max="9220" width="11.44140625" style="100"/>
    <col min="9221" max="9221" width="14.109375" style="100" bestFit="1" customWidth="1"/>
    <col min="9222" max="9223" width="11.44140625" style="100"/>
    <col min="9224" max="9224" width="13.44140625" style="100" customWidth="1"/>
    <col min="9225" max="9225" width="11.44140625" style="100"/>
    <col min="9226" max="9226" width="13.44140625" style="100" bestFit="1" customWidth="1"/>
    <col min="9227" max="9472" width="11.44140625" style="100"/>
    <col min="9473" max="9473" width="16.33203125" style="100" customWidth="1"/>
    <col min="9474" max="9476" width="11.44140625" style="100"/>
    <col min="9477" max="9477" width="14.109375" style="100" bestFit="1" customWidth="1"/>
    <col min="9478" max="9479" width="11.44140625" style="100"/>
    <col min="9480" max="9480" width="13.44140625" style="100" customWidth="1"/>
    <col min="9481" max="9481" width="11.44140625" style="100"/>
    <col min="9482" max="9482" width="13.44140625" style="100" bestFit="1" customWidth="1"/>
    <col min="9483" max="9728" width="11.44140625" style="100"/>
    <col min="9729" max="9729" width="16.33203125" style="100" customWidth="1"/>
    <col min="9730" max="9732" width="11.44140625" style="100"/>
    <col min="9733" max="9733" width="14.109375" style="100" bestFit="1" customWidth="1"/>
    <col min="9734" max="9735" width="11.44140625" style="100"/>
    <col min="9736" max="9736" width="13.44140625" style="100" customWidth="1"/>
    <col min="9737" max="9737" width="11.44140625" style="100"/>
    <col min="9738" max="9738" width="13.44140625" style="100" bestFit="1" customWidth="1"/>
    <col min="9739" max="9984" width="11.44140625" style="100"/>
    <col min="9985" max="9985" width="16.33203125" style="100" customWidth="1"/>
    <col min="9986" max="9988" width="11.44140625" style="100"/>
    <col min="9989" max="9989" width="14.109375" style="100" bestFit="1" customWidth="1"/>
    <col min="9990" max="9991" width="11.44140625" style="100"/>
    <col min="9992" max="9992" width="13.44140625" style="100" customWidth="1"/>
    <col min="9993" max="9993" width="11.44140625" style="100"/>
    <col min="9994" max="9994" width="13.44140625" style="100" bestFit="1" customWidth="1"/>
    <col min="9995" max="10240" width="11.44140625" style="100"/>
    <col min="10241" max="10241" width="16.33203125" style="100" customWidth="1"/>
    <col min="10242" max="10244" width="11.44140625" style="100"/>
    <col min="10245" max="10245" width="14.109375" style="100" bestFit="1" customWidth="1"/>
    <col min="10246" max="10247" width="11.44140625" style="100"/>
    <col min="10248" max="10248" width="13.44140625" style="100" customWidth="1"/>
    <col min="10249" max="10249" width="11.44140625" style="100"/>
    <col min="10250" max="10250" width="13.44140625" style="100" bestFit="1" customWidth="1"/>
    <col min="10251" max="10496" width="11.44140625" style="100"/>
    <col min="10497" max="10497" width="16.33203125" style="100" customWidth="1"/>
    <col min="10498" max="10500" width="11.44140625" style="100"/>
    <col min="10501" max="10501" width="14.109375" style="100" bestFit="1" customWidth="1"/>
    <col min="10502" max="10503" width="11.44140625" style="100"/>
    <col min="10504" max="10504" width="13.44140625" style="100" customWidth="1"/>
    <col min="10505" max="10505" width="11.44140625" style="100"/>
    <col min="10506" max="10506" width="13.44140625" style="100" bestFit="1" customWidth="1"/>
    <col min="10507" max="10752" width="11.44140625" style="100"/>
    <col min="10753" max="10753" width="16.33203125" style="100" customWidth="1"/>
    <col min="10754" max="10756" width="11.44140625" style="100"/>
    <col min="10757" max="10757" width="14.109375" style="100" bestFit="1" customWidth="1"/>
    <col min="10758" max="10759" width="11.44140625" style="100"/>
    <col min="10760" max="10760" width="13.44140625" style="100" customWidth="1"/>
    <col min="10761" max="10761" width="11.44140625" style="100"/>
    <col min="10762" max="10762" width="13.44140625" style="100" bestFit="1" customWidth="1"/>
    <col min="10763" max="11008" width="11.44140625" style="100"/>
    <col min="11009" max="11009" width="16.33203125" style="100" customWidth="1"/>
    <col min="11010" max="11012" width="11.44140625" style="100"/>
    <col min="11013" max="11013" width="14.109375" style="100" bestFit="1" customWidth="1"/>
    <col min="11014" max="11015" width="11.44140625" style="100"/>
    <col min="11016" max="11016" width="13.44140625" style="100" customWidth="1"/>
    <col min="11017" max="11017" width="11.44140625" style="100"/>
    <col min="11018" max="11018" width="13.44140625" style="100" bestFit="1" customWidth="1"/>
    <col min="11019" max="11264" width="11.44140625" style="100"/>
    <col min="11265" max="11265" width="16.33203125" style="100" customWidth="1"/>
    <col min="11266" max="11268" width="11.44140625" style="100"/>
    <col min="11269" max="11269" width="14.109375" style="100" bestFit="1" customWidth="1"/>
    <col min="11270" max="11271" width="11.44140625" style="100"/>
    <col min="11272" max="11272" width="13.44140625" style="100" customWidth="1"/>
    <col min="11273" max="11273" width="11.44140625" style="100"/>
    <col min="11274" max="11274" width="13.44140625" style="100" bestFit="1" customWidth="1"/>
    <col min="11275" max="11520" width="11.44140625" style="100"/>
    <col min="11521" max="11521" width="16.33203125" style="100" customWidth="1"/>
    <col min="11522" max="11524" width="11.44140625" style="100"/>
    <col min="11525" max="11525" width="14.109375" style="100" bestFit="1" customWidth="1"/>
    <col min="11526" max="11527" width="11.44140625" style="100"/>
    <col min="11528" max="11528" width="13.44140625" style="100" customWidth="1"/>
    <col min="11529" max="11529" width="11.44140625" style="100"/>
    <col min="11530" max="11530" width="13.44140625" style="100" bestFit="1" customWidth="1"/>
    <col min="11531" max="11776" width="11.44140625" style="100"/>
    <col min="11777" max="11777" width="16.33203125" style="100" customWidth="1"/>
    <col min="11778" max="11780" width="11.44140625" style="100"/>
    <col min="11781" max="11781" width="14.109375" style="100" bestFit="1" customWidth="1"/>
    <col min="11782" max="11783" width="11.44140625" style="100"/>
    <col min="11784" max="11784" width="13.44140625" style="100" customWidth="1"/>
    <col min="11785" max="11785" width="11.44140625" style="100"/>
    <col min="11786" max="11786" width="13.44140625" style="100" bestFit="1" customWidth="1"/>
    <col min="11787" max="12032" width="11.44140625" style="100"/>
    <col min="12033" max="12033" width="16.33203125" style="100" customWidth="1"/>
    <col min="12034" max="12036" width="11.44140625" style="100"/>
    <col min="12037" max="12037" width="14.109375" style="100" bestFit="1" customWidth="1"/>
    <col min="12038" max="12039" width="11.44140625" style="100"/>
    <col min="12040" max="12040" width="13.44140625" style="100" customWidth="1"/>
    <col min="12041" max="12041" width="11.44140625" style="100"/>
    <col min="12042" max="12042" width="13.44140625" style="100" bestFit="1" customWidth="1"/>
    <col min="12043" max="12288" width="11.44140625" style="100"/>
    <col min="12289" max="12289" width="16.33203125" style="100" customWidth="1"/>
    <col min="12290" max="12292" width="11.44140625" style="100"/>
    <col min="12293" max="12293" width="14.109375" style="100" bestFit="1" customWidth="1"/>
    <col min="12294" max="12295" width="11.44140625" style="100"/>
    <col min="12296" max="12296" width="13.44140625" style="100" customWidth="1"/>
    <col min="12297" max="12297" width="11.44140625" style="100"/>
    <col min="12298" max="12298" width="13.44140625" style="100" bestFit="1" customWidth="1"/>
    <col min="12299" max="12544" width="11.44140625" style="100"/>
    <col min="12545" max="12545" width="16.33203125" style="100" customWidth="1"/>
    <col min="12546" max="12548" width="11.44140625" style="100"/>
    <col min="12549" max="12549" width="14.109375" style="100" bestFit="1" customWidth="1"/>
    <col min="12550" max="12551" width="11.44140625" style="100"/>
    <col min="12552" max="12552" width="13.44140625" style="100" customWidth="1"/>
    <col min="12553" max="12553" width="11.44140625" style="100"/>
    <col min="12554" max="12554" width="13.44140625" style="100" bestFit="1" customWidth="1"/>
    <col min="12555" max="12800" width="11.44140625" style="100"/>
    <col min="12801" max="12801" width="16.33203125" style="100" customWidth="1"/>
    <col min="12802" max="12804" width="11.44140625" style="100"/>
    <col min="12805" max="12805" width="14.109375" style="100" bestFit="1" customWidth="1"/>
    <col min="12806" max="12807" width="11.44140625" style="100"/>
    <col min="12808" max="12808" width="13.44140625" style="100" customWidth="1"/>
    <col min="12809" max="12809" width="11.44140625" style="100"/>
    <col min="12810" max="12810" width="13.44140625" style="100" bestFit="1" customWidth="1"/>
    <col min="12811" max="13056" width="11.44140625" style="100"/>
    <col min="13057" max="13057" width="16.33203125" style="100" customWidth="1"/>
    <col min="13058" max="13060" width="11.44140625" style="100"/>
    <col min="13061" max="13061" width="14.109375" style="100" bestFit="1" customWidth="1"/>
    <col min="13062" max="13063" width="11.44140625" style="100"/>
    <col min="13064" max="13064" width="13.44140625" style="100" customWidth="1"/>
    <col min="13065" max="13065" width="11.44140625" style="100"/>
    <col min="13066" max="13066" width="13.44140625" style="100" bestFit="1" customWidth="1"/>
    <col min="13067" max="13312" width="11.44140625" style="100"/>
    <col min="13313" max="13313" width="16.33203125" style="100" customWidth="1"/>
    <col min="13314" max="13316" width="11.44140625" style="100"/>
    <col min="13317" max="13317" width="14.109375" style="100" bestFit="1" customWidth="1"/>
    <col min="13318" max="13319" width="11.44140625" style="100"/>
    <col min="13320" max="13320" width="13.44140625" style="100" customWidth="1"/>
    <col min="13321" max="13321" width="11.44140625" style="100"/>
    <col min="13322" max="13322" width="13.44140625" style="100" bestFit="1" customWidth="1"/>
    <col min="13323" max="13568" width="11.44140625" style="100"/>
    <col min="13569" max="13569" width="16.33203125" style="100" customWidth="1"/>
    <col min="13570" max="13572" width="11.44140625" style="100"/>
    <col min="13573" max="13573" width="14.109375" style="100" bestFit="1" customWidth="1"/>
    <col min="13574" max="13575" width="11.44140625" style="100"/>
    <col min="13576" max="13576" width="13.44140625" style="100" customWidth="1"/>
    <col min="13577" max="13577" width="11.44140625" style="100"/>
    <col min="13578" max="13578" width="13.44140625" style="100" bestFit="1" customWidth="1"/>
    <col min="13579" max="13824" width="11.44140625" style="100"/>
    <col min="13825" max="13825" width="16.33203125" style="100" customWidth="1"/>
    <col min="13826" max="13828" width="11.44140625" style="100"/>
    <col min="13829" max="13829" width="14.109375" style="100" bestFit="1" customWidth="1"/>
    <col min="13830" max="13831" width="11.44140625" style="100"/>
    <col min="13832" max="13832" width="13.44140625" style="100" customWidth="1"/>
    <col min="13833" max="13833" width="11.44140625" style="100"/>
    <col min="13834" max="13834" width="13.44140625" style="100" bestFit="1" customWidth="1"/>
    <col min="13835" max="14080" width="11.44140625" style="100"/>
    <col min="14081" max="14081" width="16.33203125" style="100" customWidth="1"/>
    <col min="14082" max="14084" width="11.44140625" style="100"/>
    <col min="14085" max="14085" width="14.109375" style="100" bestFit="1" customWidth="1"/>
    <col min="14086" max="14087" width="11.44140625" style="100"/>
    <col min="14088" max="14088" width="13.44140625" style="100" customWidth="1"/>
    <col min="14089" max="14089" width="11.44140625" style="100"/>
    <col min="14090" max="14090" width="13.44140625" style="100" bestFit="1" customWidth="1"/>
    <col min="14091" max="14336" width="11.44140625" style="100"/>
    <col min="14337" max="14337" width="16.33203125" style="100" customWidth="1"/>
    <col min="14338" max="14340" width="11.44140625" style="100"/>
    <col min="14341" max="14341" width="14.109375" style="100" bestFit="1" customWidth="1"/>
    <col min="14342" max="14343" width="11.44140625" style="100"/>
    <col min="14344" max="14344" width="13.44140625" style="100" customWidth="1"/>
    <col min="14345" max="14345" width="11.44140625" style="100"/>
    <col min="14346" max="14346" width="13.44140625" style="100" bestFit="1" customWidth="1"/>
    <col min="14347" max="14592" width="11.44140625" style="100"/>
    <col min="14593" max="14593" width="16.33203125" style="100" customWidth="1"/>
    <col min="14594" max="14596" width="11.44140625" style="100"/>
    <col min="14597" max="14597" width="14.109375" style="100" bestFit="1" customWidth="1"/>
    <col min="14598" max="14599" width="11.44140625" style="100"/>
    <col min="14600" max="14600" width="13.44140625" style="100" customWidth="1"/>
    <col min="14601" max="14601" width="11.44140625" style="100"/>
    <col min="14602" max="14602" width="13.44140625" style="100" bestFit="1" customWidth="1"/>
    <col min="14603" max="14848" width="11.44140625" style="100"/>
    <col min="14849" max="14849" width="16.33203125" style="100" customWidth="1"/>
    <col min="14850" max="14852" width="11.44140625" style="100"/>
    <col min="14853" max="14853" width="14.109375" style="100" bestFit="1" customWidth="1"/>
    <col min="14854" max="14855" width="11.44140625" style="100"/>
    <col min="14856" max="14856" width="13.44140625" style="100" customWidth="1"/>
    <col min="14857" max="14857" width="11.44140625" style="100"/>
    <col min="14858" max="14858" width="13.44140625" style="100" bestFit="1" customWidth="1"/>
    <col min="14859" max="15104" width="11.44140625" style="100"/>
    <col min="15105" max="15105" width="16.33203125" style="100" customWidth="1"/>
    <col min="15106" max="15108" width="11.44140625" style="100"/>
    <col min="15109" max="15109" width="14.109375" style="100" bestFit="1" customWidth="1"/>
    <col min="15110" max="15111" width="11.44140625" style="100"/>
    <col min="15112" max="15112" width="13.44140625" style="100" customWidth="1"/>
    <col min="15113" max="15113" width="11.44140625" style="100"/>
    <col min="15114" max="15114" width="13.44140625" style="100" bestFit="1" customWidth="1"/>
    <col min="15115" max="15360" width="11.44140625" style="100"/>
    <col min="15361" max="15361" width="16.33203125" style="100" customWidth="1"/>
    <col min="15362" max="15364" width="11.44140625" style="100"/>
    <col min="15365" max="15365" width="14.109375" style="100" bestFit="1" customWidth="1"/>
    <col min="15366" max="15367" width="11.44140625" style="100"/>
    <col min="15368" max="15368" width="13.44140625" style="100" customWidth="1"/>
    <col min="15369" max="15369" width="11.44140625" style="100"/>
    <col min="15370" max="15370" width="13.44140625" style="100" bestFit="1" customWidth="1"/>
    <col min="15371" max="15616" width="11.44140625" style="100"/>
    <col min="15617" max="15617" width="16.33203125" style="100" customWidth="1"/>
    <col min="15618" max="15620" width="11.44140625" style="100"/>
    <col min="15621" max="15621" width="14.109375" style="100" bestFit="1" customWidth="1"/>
    <col min="15622" max="15623" width="11.44140625" style="100"/>
    <col min="15624" max="15624" width="13.44140625" style="100" customWidth="1"/>
    <col min="15625" max="15625" width="11.44140625" style="100"/>
    <col min="15626" max="15626" width="13.44140625" style="100" bestFit="1" customWidth="1"/>
    <col min="15627" max="15872" width="11.44140625" style="100"/>
    <col min="15873" max="15873" width="16.33203125" style="100" customWidth="1"/>
    <col min="15874" max="15876" width="11.44140625" style="100"/>
    <col min="15877" max="15877" width="14.109375" style="100" bestFit="1" customWidth="1"/>
    <col min="15878" max="15879" width="11.44140625" style="100"/>
    <col min="15880" max="15880" width="13.44140625" style="100" customWidth="1"/>
    <col min="15881" max="15881" width="11.44140625" style="100"/>
    <col min="15882" max="15882" width="13.44140625" style="100" bestFit="1" customWidth="1"/>
    <col min="15883" max="16128" width="11.44140625" style="100"/>
    <col min="16129" max="16129" width="16.33203125" style="100" customWidth="1"/>
    <col min="16130" max="16132" width="11.44140625" style="100"/>
    <col min="16133" max="16133" width="14.109375" style="100" bestFit="1" customWidth="1"/>
    <col min="16134" max="16135" width="11.44140625" style="100"/>
    <col min="16136" max="16136" width="13.44140625" style="100" customWidth="1"/>
    <col min="16137" max="16137" width="11.44140625" style="100"/>
    <col min="16138" max="16138" width="13.44140625" style="100" bestFit="1" customWidth="1"/>
    <col min="16139" max="16384" width="11.44140625" style="100"/>
  </cols>
  <sheetData>
    <row r="5" spans="2:9" x14ac:dyDescent="0.25">
      <c r="B5" s="99"/>
      <c r="C5" s="99"/>
      <c r="D5" s="99"/>
      <c r="E5" s="99"/>
      <c r="F5" s="99"/>
      <c r="G5" s="99"/>
      <c r="H5" s="99"/>
    </row>
    <row r="6" spans="2:9" ht="22.8" x14ac:dyDescent="0.4">
      <c r="B6" s="101"/>
      <c r="C6" s="99"/>
      <c r="D6" s="99"/>
      <c r="E6" s="99"/>
      <c r="F6" s="99"/>
      <c r="G6" s="99"/>
      <c r="H6" s="99"/>
      <c r="I6" s="102"/>
    </row>
    <row r="7" spans="2:9" x14ac:dyDescent="0.25">
      <c r="B7" s="99"/>
      <c r="C7" s="99"/>
      <c r="D7" s="99"/>
      <c r="E7" s="99"/>
      <c r="F7" s="99"/>
      <c r="G7" s="99"/>
      <c r="H7" s="99"/>
      <c r="I7" s="99"/>
    </row>
    <row r="8" spans="2:9" x14ac:dyDescent="0.25">
      <c r="B8" s="99"/>
      <c r="C8" s="99"/>
      <c r="D8" s="99"/>
      <c r="F8" s="99"/>
      <c r="G8" s="99"/>
      <c r="H8" s="99"/>
    </row>
    <row r="9" spans="2:9" x14ac:dyDescent="0.25">
      <c r="B9" s="99"/>
      <c r="C9" s="99"/>
      <c r="D9" s="99"/>
      <c r="E9" s="99"/>
      <c r="F9" s="99"/>
      <c r="G9" s="99"/>
      <c r="H9" s="99"/>
    </row>
    <row r="10" spans="2:9" ht="22.8" x14ac:dyDescent="0.4">
      <c r="B10" s="99"/>
      <c r="C10" s="99"/>
      <c r="D10" s="99"/>
      <c r="I10" s="102"/>
    </row>
    <row r="11" spans="2:9" x14ac:dyDescent="0.25">
      <c r="B11" s="99"/>
      <c r="C11" s="99"/>
      <c r="D11" s="99"/>
    </row>
    <row r="12" spans="2:9" ht="27" customHeight="1" x14ac:dyDescent="0.4">
      <c r="B12" s="99"/>
      <c r="C12" s="99"/>
      <c r="D12" s="99"/>
      <c r="E12" s="99"/>
      <c r="F12" s="99"/>
      <c r="G12" s="99"/>
      <c r="H12" s="99"/>
      <c r="I12" s="102"/>
    </row>
    <row r="13" spans="2:9" ht="19.5" customHeight="1" x14ac:dyDescent="0.4">
      <c r="B13" s="99"/>
      <c r="C13" s="94"/>
      <c r="D13" s="94"/>
      <c r="E13" s="94"/>
      <c r="F13" s="94"/>
      <c r="G13" s="94"/>
      <c r="H13" s="94"/>
      <c r="I13" s="102"/>
    </row>
    <row r="14" spans="2:9" x14ac:dyDescent="0.25">
      <c r="B14" s="99"/>
      <c r="C14" s="99"/>
      <c r="D14" s="99"/>
      <c r="F14" s="99"/>
      <c r="G14" s="99"/>
      <c r="H14" s="99"/>
    </row>
    <row r="15" spans="2:9" x14ac:dyDescent="0.25">
      <c r="B15" s="99"/>
      <c r="C15" s="99"/>
      <c r="D15" s="99"/>
      <c r="F15" s="99"/>
      <c r="G15" s="99"/>
      <c r="H15" s="99"/>
      <c r="I15" s="99"/>
    </row>
    <row r="16" spans="2:9" ht="34.799999999999997" x14ac:dyDescent="0.55000000000000004">
      <c r="B16" s="99"/>
      <c r="C16" s="99"/>
      <c r="D16" s="99"/>
      <c r="E16" s="103"/>
      <c r="F16" s="99"/>
      <c r="G16" s="99"/>
      <c r="H16" s="99"/>
      <c r="I16" s="99"/>
    </row>
    <row r="17" spans="2:9" ht="32.4" x14ac:dyDescent="0.55000000000000004">
      <c r="B17" s="99"/>
      <c r="C17" s="99"/>
      <c r="D17" s="99"/>
      <c r="E17" s="104"/>
      <c r="F17" s="99"/>
      <c r="G17" s="99"/>
      <c r="H17" s="99"/>
      <c r="I17" s="99"/>
    </row>
    <row r="18" spans="2:9" ht="32.4" x14ac:dyDescent="0.55000000000000004">
      <c r="D18" s="104"/>
    </row>
    <row r="19" spans="2:9" ht="18" x14ac:dyDescent="0.35">
      <c r="E19" s="105"/>
      <c r="I19" s="106"/>
    </row>
    <row r="21" spans="2:9" x14ac:dyDescent="0.25">
      <c r="E21" s="107"/>
    </row>
    <row r="22" spans="2:9" ht="25.8" x14ac:dyDescent="0.5">
      <c r="E22" s="108"/>
    </row>
    <row r="25" spans="2:9" ht="18" x14ac:dyDescent="0.35">
      <c r="E25" s="109"/>
    </row>
    <row r="26" spans="2:9" ht="18" x14ac:dyDescent="0.35">
      <c r="E26" s="110"/>
    </row>
    <row r="28" spans="2:9" x14ac:dyDescent="0.25">
      <c r="D28" s="94"/>
      <c r="E28" s="94"/>
      <c r="F28" s="94"/>
      <c r="G28" s="94"/>
      <c r="H28" s="94"/>
    </row>
    <row r="33" spans="1:9" ht="35.4" x14ac:dyDescent="0.25">
      <c r="A33" s="111"/>
    </row>
    <row r="36" spans="1:9" ht="32.4" x14ac:dyDescent="0.25">
      <c r="B36" s="112"/>
    </row>
    <row r="39" spans="1:9" ht="17.399999999999999" x14ac:dyDescent="0.3">
      <c r="B39" s="113"/>
    </row>
    <row r="41" spans="1:9" ht="18" x14ac:dyDescent="0.35">
      <c r="I41" s="114"/>
    </row>
    <row r="43" spans="1:9" ht="18" x14ac:dyDescent="0.35">
      <c r="B43" s="192"/>
      <c r="C43" s="192"/>
      <c r="D43" s="192"/>
    </row>
    <row r="57" spans="10:10" ht="18" x14ac:dyDescent="0.35">
      <c r="J57" s="115"/>
    </row>
  </sheetData>
  <mergeCells count="1">
    <mergeCell ref="B43:D43"/>
  </mergeCells>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149</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42</v>
      </c>
      <c r="B7" s="19" t="s">
        <v>3</v>
      </c>
      <c r="C7" s="20">
        <v>122672</v>
      </c>
      <c r="D7" s="20">
        <v>124066.90919999999</v>
      </c>
      <c r="E7" s="21">
        <v>135636.54006907999</v>
      </c>
      <c r="F7" s="22" t="s">
        <v>241</v>
      </c>
      <c r="G7" s="23">
        <v>10.568459036357098</v>
      </c>
      <c r="H7" s="24">
        <v>9.3253156249982538</v>
      </c>
    </row>
    <row r="8" spans="1:8" x14ac:dyDescent="0.25">
      <c r="A8" s="199"/>
      <c r="B8" s="25" t="s">
        <v>241</v>
      </c>
      <c r="C8" s="26" t="s">
        <v>241</v>
      </c>
      <c r="D8" s="26" t="s">
        <v>241</v>
      </c>
      <c r="E8" s="26" t="s">
        <v>241</v>
      </c>
      <c r="F8" s="27"/>
      <c r="G8" s="28" t="s">
        <v>241</v>
      </c>
      <c r="H8" s="29" t="s">
        <v>241</v>
      </c>
    </row>
    <row r="9" spans="1:8" x14ac:dyDescent="0.25">
      <c r="A9" s="30" t="s">
        <v>18</v>
      </c>
      <c r="B9" s="31" t="s">
        <v>3</v>
      </c>
      <c r="C9" s="20">
        <v>18373</v>
      </c>
      <c r="D9" s="20">
        <v>11420.313200000001</v>
      </c>
      <c r="E9" s="21">
        <v>10335.766454119999</v>
      </c>
      <c r="F9" s="22" t="s">
        <v>241</v>
      </c>
      <c r="G9" s="32">
        <v>-43.744807847820177</v>
      </c>
      <c r="H9" s="33">
        <v>-9.4966462555510418</v>
      </c>
    </row>
    <row r="10" spans="1:8" x14ac:dyDescent="0.25">
      <c r="A10" s="34"/>
      <c r="B10" s="25" t="s">
        <v>241</v>
      </c>
      <c r="C10" s="26" t="s">
        <v>241</v>
      </c>
      <c r="D10" s="26" t="s">
        <v>241</v>
      </c>
      <c r="E10" s="26" t="s">
        <v>241</v>
      </c>
      <c r="F10" s="27"/>
      <c r="G10" s="35" t="s">
        <v>241</v>
      </c>
      <c r="H10" s="29" t="s">
        <v>241</v>
      </c>
    </row>
    <row r="11" spans="1:8" x14ac:dyDescent="0.25">
      <c r="A11" s="30" t="s">
        <v>19</v>
      </c>
      <c r="B11" s="31" t="s">
        <v>3</v>
      </c>
      <c r="C11" s="20">
        <v>6360</v>
      </c>
      <c r="D11" s="20">
        <v>6407.0439999999999</v>
      </c>
      <c r="E11" s="21">
        <v>6803.5548470659996</v>
      </c>
      <c r="F11" s="22" t="s">
        <v>241</v>
      </c>
      <c r="G11" s="37">
        <v>6.9741328155031397</v>
      </c>
      <c r="H11" s="33">
        <v>6.1886705798493153</v>
      </c>
    </row>
    <row r="12" spans="1:8" x14ac:dyDescent="0.25">
      <c r="A12" s="34"/>
      <c r="B12" s="25" t="s">
        <v>241</v>
      </c>
      <c r="C12" s="26" t="s">
        <v>241</v>
      </c>
      <c r="D12" s="26" t="s">
        <v>241</v>
      </c>
      <c r="E12" s="26" t="s">
        <v>241</v>
      </c>
      <c r="F12" s="27"/>
      <c r="G12" s="28" t="s">
        <v>241</v>
      </c>
      <c r="H12" s="29" t="s">
        <v>241</v>
      </c>
    </row>
    <row r="13" spans="1:8" x14ac:dyDescent="0.25">
      <c r="A13" s="30" t="s">
        <v>20</v>
      </c>
      <c r="B13" s="31" t="s">
        <v>3</v>
      </c>
      <c r="C13" s="20">
        <v>25617</v>
      </c>
      <c r="D13" s="20">
        <v>23698.497142856999</v>
      </c>
      <c r="E13" s="21">
        <v>22348.216593841</v>
      </c>
      <c r="F13" s="22" t="s">
        <v>241</v>
      </c>
      <c r="G13" s="23">
        <v>-12.760211602291449</v>
      </c>
      <c r="H13" s="24">
        <v>-5.6977475865932234</v>
      </c>
    </row>
    <row r="14" spans="1:8" x14ac:dyDescent="0.25">
      <c r="A14" s="34"/>
      <c r="B14" s="25" t="s">
        <v>241</v>
      </c>
      <c r="C14" s="26" t="s">
        <v>241</v>
      </c>
      <c r="D14" s="26" t="s">
        <v>241</v>
      </c>
      <c r="E14" s="26" t="s">
        <v>241</v>
      </c>
      <c r="F14" s="27"/>
      <c r="G14" s="38" t="s">
        <v>241</v>
      </c>
      <c r="H14" s="24" t="s">
        <v>241</v>
      </c>
    </row>
    <row r="15" spans="1:8" x14ac:dyDescent="0.25">
      <c r="A15" s="30" t="s">
        <v>21</v>
      </c>
      <c r="B15" s="31" t="s">
        <v>3</v>
      </c>
      <c r="C15" s="20">
        <v>1553</v>
      </c>
      <c r="D15" s="20">
        <v>1663.145</v>
      </c>
      <c r="E15" s="21">
        <v>1871.35483987</v>
      </c>
      <c r="F15" s="22" t="s">
        <v>241</v>
      </c>
      <c r="G15" s="37">
        <v>20.499345773985823</v>
      </c>
      <c r="H15" s="33">
        <v>12.51904313033441</v>
      </c>
    </row>
    <row r="16" spans="1:8" x14ac:dyDescent="0.25">
      <c r="A16" s="34"/>
      <c r="B16" s="25" t="s">
        <v>241</v>
      </c>
      <c r="C16" s="26" t="s">
        <v>241</v>
      </c>
      <c r="D16" s="26" t="s">
        <v>241</v>
      </c>
      <c r="E16" s="26" t="s">
        <v>241</v>
      </c>
      <c r="F16" s="27"/>
      <c r="G16" s="28" t="s">
        <v>241</v>
      </c>
      <c r="H16" s="29" t="s">
        <v>241</v>
      </c>
    </row>
    <row r="17" spans="1:8" x14ac:dyDescent="0.25">
      <c r="A17" s="30" t="s">
        <v>22</v>
      </c>
      <c r="B17" s="31" t="s">
        <v>3</v>
      </c>
      <c r="C17" s="20">
        <v>5417</v>
      </c>
      <c r="D17" s="20">
        <v>4825.1450000000004</v>
      </c>
      <c r="E17" s="21">
        <v>5157.3548398700004</v>
      </c>
      <c r="F17" s="22" t="s">
        <v>241</v>
      </c>
      <c r="G17" s="37">
        <v>-4.7931541467601875</v>
      </c>
      <c r="H17" s="33">
        <v>6.8849711225258403</v>
      </c>
    </row>
    <row r="18" spans="1:8" x14ac:dyDescent="0.25">
      <c r="A18" s="34"/>
      <c r="B18" s="25" t="s">
        <v>241</v>
      </c>
      <c r="C18" s="26" t="s">
        <v>241</v>
      </c>
      <c r="D18" s="26" t="s">
        <v>241</v>
      </c>
      <c r="E18" s="26" t="s">
        <v>241</v>
      </c>
      <c r="F18" s="27"/>
      <c r="G18" s="28" t="s">
        <v>241</v>
      </c>
      <c r="H18" s="29" t="s">
        <v>241</v>
      </c>
    </row>
    <row r="19" spans="1:8" x14ac:dyDescent="0.25">
      <c r="A19" s="30" t="s">
        <v>190</v>
      </c>
      <c r="B19" s="31" t="s">
        <v>3</v>
      </c>
      <c r="C19" s="20">
        <v>47729</v>
      </c>
      <c r="D19" s="20">
        <v>52770.242857142999</v>
      </c>
      <c r="E19" s="21">
        <v>64641.041484601999</v>
      </c>
      <c r="F19" s="22" t="s">
        <v>241</v>
      </c>
      <c r="G19" s="23">
        <v>35.433471232588147</v>
      </c>
      <c r="H19" s="24">
        <v>22.495251082309849</v>
      </c>
    </row>
    <row r="20" spans="1:8" x14ac:dyDescent="0.25">
      <c r="A20" s="30"/>
      <c r="B20" s="25" t="s">
        <v>241</v>
      </c>
      <c r="C20" s="26" t="s">
        <v>241</v>
      </c>
      <c r="D20" s="26" t="s">
        <v>241</v>
      </c>
      <c r="E20" s="26" t="s">
        <v>241</v>
      </c>
      <c r="F20" s="27"/>
      <c r="G20" s="38" t="s">
        <v>241</v>
      </c>
      <c r="H20" s="24" t="s">
        <v>241</v>
      </c>
    </row>
    <row r="21" spans="1:8" x14ac:dyDescent="0.25">
      <c r="A21" s="39" t="s">
        <v>12</v>
      </c>
      <c r="B21" s="31" t="s">
        <v>3</v>
      </c>
      <c r="C21" s="20">
        <v>1395</v>
      </c>
      <c r="D21" s="20">
        <v>1342.087</v>
      </c>
      <c r="E21" s="21">
        <v>1255.2129039219999</v>
      </c>
      <c r="F21" s="22" t="s">
        <v>241</v>
      </c>
      <c r="G21" s="37">
        <v>-10.020580364014336</v>
      </c>
      <c r="H21" s="33">
        <v>-6.4730599490197136</v>
      </c>
    </row>
    <row r="22" spans="1:8" x14ac:dyDescent="0.25">
      <c r="A22" s="34"/>
      <c r="B22" s="25" t="s">
        <v>241</v>
      </c>
      <c r="C22" s="26" t="s">
        <v>241</v>
      </c>
      <c r="D22" s="26" t="s">
        <v>241</v>
      </c>
      <c r="E22" s="26" t="s">
        <v>241</v>
      </c>
      <c r="F22" s="27"/>
      <c r="G22" s="28" t="s">
        <v>241</v>
      </c>
      <c r="H22" s="29" t="s">
        <v>241</v>
      </c>
    </row>
    <row r="23" spans="1:8" x14ac:dyDescent="0.25">
      <c r="A23" s="39" t="s">
        <v>23</v>
      </c>
      <c r="B23" s="31" t="s">
        <v>3</v>
      </c>
      <c r="C23" s="20">
        <v>3858</v>
      </c>
      <c r="D23" s="20">
        <v>4004.145</v>
      </c>
      <c r="E23" s="21">
        <v>4258.3548398700004</v>
      </c>
      <c r="F23" s="22" t="s">
        <v>241</v>
      </c>
      <c r="G23" s="23">
        <v>10.377263863919154</v>
      </c>
      <c r="H23" s="24">
        <v>6.3486671903739875</v>
      </c>
    </row>
    <row r="24" spans="1:8" x14ac:dyDescent="0.25">
      <c r="A24" s="34"/>
      <c r="B24" s="25" t="s">
        <v>241</v>
      </c>
      <c r="C24" s="26" t="s">
        <v>241</v>
      </c>
      <c r="D24" s="26" t="s">
        <v>241</v>
      </c>
      <c r="E24" s="26" t="s">
        <v>241</v>
      </c>
      <c r="F24" s="27"/>
      <c r="G24" s="28" t="s">
        <v>241</v>
      </c>
      <c r="H24" s="29" t="s">
        <v>241</v>
      </c>
    </row>
    <row r="25" spans="1:8" x14ac:dyDescent="0.25">
      <c r="A25" s="30" t="s">
        <v>24</v>
      </c>
      <c r="B25" s="31" t="s">
        <v>3</v>
      </c>
      <c r="C25" s="20">
        <v>13787</v>
      </c>
      <c r="D25" s="20">
        <v>19741.29</v>
      </c>
      <c r="E25" s="21">
        <v>20760.709679741001</v>
      </c>
      <c r="F25" s="22" t="s">
        <v>241</v>
      </c>
      <c r="G25" s="23">
        <v>50.581777614716771</v>
      </c>
      <c r="H25" s="24">
        <v>5.1638959750907958</v>
      </c>
    </row>
    <row r="26" spans="1:8" ht="13.8" thickBot="1" x14ac:dyDescent="0.3">
      <c r="A26" s="41"/>
      <c r="B26" s="42" t="s">
        <v>241</v>
      </c>
      <c r="C26" s="43" t="s">
        <v>241</v>
      </c>
      <c r="D26" s="43" t="s">
        <v>241</v>
      </c>
      <c r="E26" s="43" t="s">
        <v>241</v>
      </c>
      <c r="F26" s="44"/>
      <c r="G26" s="45" t="s">
        <v>241</v>
      </c>
      <c r="H26" s="46" t="s">
        <v>241</v>
      </c>
    </row>
    <row r="31" spans="1:8" x14ac:dyDescent="0.25">
      <c r="A31" s="47"/>
      <c r="B31" s="48"/>
      <c r="C31" s="49"/>
      <c r="D31" s="55"/>
      <c r="E31" s="49"/>
      <c r="F31" s="49"/>
      <c r="G31" s="50"/>
      <c r="H31" s="51"/>
    </row>
    <row r="32" spans="1:8" ht="16.8" thickBot="1" x14ac:dyDescent="0.4">
      <c r="A32" s="4" t="s">
        <v>43</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42</v>
      </c>
      <c r="B35" s="19" t="s">
        <v>3</v>
      </c>
      <c r="C35" s="80">
        <v>1338.3966990880001</v>
      </c>
      <c r="D35" s="80">
        <v>1323.5516696760001</v>
      </c>
      <c r="E35" s="83">
        <v>1365.661892734</v>
      </c>
      <c r="F35" s="22" t="s">
        <v>241</v>
      </c>
      <c r="G35" s="23">
        <v>2.0371533839390565</v>
      </c>
      <c r="H35" s="24">
        <v>3.1816077923356261</v>
      </c>
    </row>
    <row r="36" spans="1:8" ht="12.75" customHeight="1" x14ac:dyDescent="0.25">
      <c r="A36" s="199"/>
      <c r="B36" s="25" t="s">
        <v>241</v>
      </c>
      <c r="C36" s="82" t="s">
        <v>241</v>
      </c>
      <c r="D36" s="82" t="s">
        <v>241</v>
      </c>
      <c r="E36" s="82" t="s">
        <v>241</v>
      </c>
      <c r="F36" s="27"/>
      <c r="G36" s="28" t="s">
        <v>241</v>
      </c>
      <c r="H36" s="29" t="s">
        <v>241</v>
      </c>
    </row>
    <row r="37" spans="1:8" x14ac:dyDescent="0.25">
      <c r="A37" s="30" t="s">
        <v>18</v>
      </c>
      <c r="B37" s="31" t="s">
        <v>3</v>
      </c>
      <c r="C37" s="80">
        <v>489.11580435000002</v>
      </c>
      <c r="D37" s="80">
        <v>447.58915100600001</v>
      </c>
      <c r="E37" s="83">
        <v>429.32155007400002</v>
      </c>
      <c r="F37" s="22" t="s">
        <v>241</v>
      </c>
      <c r="G37" s="32">
        <v>-12.224968758771197</v>
      </c>
      <c r="H37" s="33">
        <v>-4.0813323761180982</v>
      </c>
    </row>
    <row r="38" spans="1:8" x14ac:dyDescent="0.25">
      <c r="A38" s="34"/>
      <c r="B38" s="25" t="s">
        <v>241</v>
      </c>
      <c r="C38" s="82" t="s">
        <v>241</v>
      </c>
      <c r="D38" s="82" t="s">
        <v>241</v>
      </c>
      <c r="E38" s="82" t="s">
        <v>241</v>
      </c>
      <c r="F38" s="27"/>
      <c r="G38" s="35" t="s">
        <v>241</v>
      </c>
      <c r="H38" s="29" t="s">
        <v>241</v>
      </c>
    </row>
    <row r="39" spans="1:8" x14ac:dyDescent="0.25">
      <c r="A39" s="30" t="s">
        <v>19</v>
      </c>
      <c r="B39" s="31" t="s">
        <v>3</v>
      </c>
      <c r="C39" s="80">
        <v>147.87446088300001</v>
      </c>
      <c r="D39" s="80">
        <v>166.65580827100001</v>
      </c>
      <c r="E39" s="83">
        <v>206.89560650799999</v>
      </c>
      <c r="F39" s="22" t="s">
        <v>241</v>
      </c>
      <c r="G39" s="37">
        <v>39.913008150676006</v>
      </c>
      <c r="H39" s="33">
        <v>24.145452027429968</v>
      </c>
    </row>
    <row r="40" spans="1:8" x14ac:dyDescent="0.25">
      <c r="A40" s="34"/>
      <c r="B40" s="25" t="s">
        <v>241</v>
      </c>
      <c r="C40" s="82" t="s">
        <v>241</v>
      </c>
      <c r="D40" s="82" t="s">
        <v>241</v>
      </c>
      <c r="E40" s="82" t="s">
        <v>241</v>
      </c>
      <c r="F40" s="27"/>
      <c r="G40" s="28" t="s">
        <v>241</v>
      </c>
      <c r="H40" s="29" t="s">
        <v>241</v>
      </c>
    </row>
    <row r="41" spans="1:8" x14ac:dyDescent="0.25">
      <c r="A41" s="30" t="s">
        <v>20</v>
      </c>
      <c r="B41" s="31" t="s">
        <v>3</v>
      </c>
      <c r="C41" s="80">
        <v>317.07842387800002</v>
      </c>
      <c r="D41" s="80">
        <v>290.73853262900002</v>
      </c>
      <c r="E41" s="83">
        <v>272.00910261600001</v>
      </c>
      <c r="F41" s="22" t="s">
        <v>241</v>
      </c>
      <c r="G41" s="23">
        <v>-14.213935060854539</v>
      </c>
      <c r="H41" s="24">
        <v>-6.4420184843196893</v>
      </c>
    </row>
    <row r="42" spans="1:8" x14ac:dyDescent="0.25">
      <c r="A42" s="34"/>
      <c r="B42" s="25" t="s">
        <v>241</v>
      </c>
      <c r="C42" s="82" t="s">
        <v>241</v>
      </c>
      <c r="D42" s="82" t="s">
        <v>241</v>
      </c>
      <c r="E42" s="82" t="s">
        <v>241</v>
      </c>
      <c r="F42" s="27"/>
      <c r="G42" s="38" t="s">
        <v>241</v>
      </c>
      <c r="H42" s="24" t="s">
        <v>241</v>
      </c>
    </row>
    <row r="43" spans="1:8" x14ac:dyDescent="0.25">
      <c r="A43" s="30" t="s">
        <v>21</v>
      </c>
      <c r="B43" s="31" t="s">
        <v>3</v>
      </c>
      <c r="C43" s="80">
        <v>7.7114032430000004</v>
      </c>
      <c r="D43" s="80">
        <v>7.9317948840000003</v>
      </c>
      <c r="E43" s="83">
        <v>9.4231151929999992</v>
      </c>
      <c r="F43" s="22" t="s">
        <v>241</v>
      </c>
      <c r="G43" s="37">
        <v>22.197152659002754</v>
      </c>
      <c r="H43" s="33">
        <v>18.801801241838547</v>
      </c>
    </row>
    <row r="44" spans="1:8" x14ac:dyDescent="0.25">
      <c r="A44" s="34"/>
      <c r="B44" s="25" t="s">
        <v>241</v>
      </c>
      <c r="C44" s="82" t="s">
        <v>241</v>
      </c>
      <c r="D44" s="82" t="s">
        <v>241</v>
      </c>
      <c r="E44" s="82" t="s">
        <v>241</v>
      </c>
      <c r="F44" s="27"/>
      <c r="G44" s="28" t="s">
        <v>241</v>
      </c>
      <c r="H44" s="29" t="s">
        <v>241</v>
      </c>
    </row>
    <row r="45" spans="1:8" x14ac:dyDescent="0.25">
      <c r="A45" s="30" t="s">
        <v>22</v>
      </c>
      <c r="B45" s="31" t="s">
        <v>3</v>
      </c>
      <c r="C45" s="80">
        <v>26.796500518999999</v>
      </c>
      <c r="D45" s="80">
        <v>24.428014526999998</v>
      </c>
      <c r="E45" s="83">
        <v>23.602795477000001</v>
      </c>
      <c r="F45" s="22" t="s">
        <v>241</v>
      </c>
      <c r="G45" s="37">
        <v>-11.9183661304412</v>
      </c>
      <c r="H45" s="33">
        <v>-3.378166690902745</v>
      </c>
    </row>
    <row r="46" spans="1:8" x14ac:dyDescent="0.25">
      <c r="A46" s="34"/>
      <c r="B46" s="25" t="s">
        <v>241</v>
      </c>
      <c r="C46" s="82" t="s">
        <v>241</v>
      </c>
      <c r="D46" s="82" t="s">
        <v>241</v>
      </c>
      <c r="E46" s="82" t="s">
        <v>241</v>
      </c>
      <c r="F46" s="27"/>
      <c r="G46" s="28" t="s">
        <v>241</v>
      </c>
      <c r="H46" s="29" t="s">
        <v>241</v>
      </c>
    </row>
    <row r="47" spans="1:8" x14ac:dyDescent="0.25">
      <c r="A47" s="30" t="s">
        <v>190</v>
      </c>
      <c r="B47" s="31" t="s">
        <v>3</v>
      </c>
      <c r="C47" s="80">
        <v>172.54039422599999</v>
      </c>
      <c r="D47" s="80">
        <v>196.867293805</v>
      </c>
      <c r="E47" s="83">
        <v>233.15142418299999</v>
      </c>
      <c r="F47" s="22" t="s">
        <v>241</v>
      </c>
      <c r="G47" s="23">
        <v>35.128602915795682</v>
      </c>
      <c r="H47" s="24">
        <v>18.430755905010798</v>
      </c>
    </row>
    <row r="48" spans="1:8" x14ac:dyDescent="0.25">
      <c r="A48" s="30"/>
      <c r="B48" s="25" t="s">
        <v>241</v>
      </c>
      <c r="C48" s="82" t="s">
        <v>241</v>
      </c>
      <c r="D48" s="82" t="s">
        <v>241</v>
      </c>
      <c r="E48" s="82" t="s">
        <v>241</v>
      </c>
      <c r="F48" s="27"/>
      <c r="G48" s="38" t="s">
        <v>241</v>
      </c>
      <c r="H48" s="24" t="s">
        <v>241</v>
      </c>
    </row>
    <row r="49" spans="1:8" x14ac:dyDescent="0.25">
      <c r="A49" s="39" t="s">
        <v>12</v>
      </c>
      <c r="B49" s="31" t="s">
        <v>3</v>
      </c>
      <c r="C49" s="80">
        <v>15.356125322</v>
      </c>
      <c r="D49" s="80">
        <v>15.776880630999999</v>
      </c>
      <c r="E49" s="83">
        <v>13.56127234</v>
      </c>
      <c r="F49" s="22" t="s">
        <v>241</v>
      </c>
      <c r="G49" s="37">
        <v>-11.688189203747896</v>
      </c>
      <c r="H49" s="33">
        <v>-14.043386286681724</v>
      </c>
    </row>
    <row r="50" spans="1:8" x14ac:dyDescent="0.25">
      <c r="A50" s="34"/>
      <c r="B50" s="25" t="s">
        <v>241</v>
      </c>
      <c r="C50" s="82" t="s">
        <v>241</v>
      </c>
      <c r="D50" s="82" t="s">
        <v>241</v>
      </c>
      <c r="E50" s="82" t="s">
        <v>241</v>
      </c>
      <c r="F50" s="27"/>
      <c r="G50" s="28" t="s">
        <v>241</v>
      </c>
      <c r="H50" s="29" t="s">
        <v>241</v>
      </c>
    </row>
    <row r="51" spans="1:8" x14ac:dyDescent="0.25">
      <c r="A51" s="39" t="s">
        <v>23</v>
      </c>
      <c r="B51" s="31" t="s">
        <v>3</v>
      </c>
      <c r="C51" s="80">
        <v>91.380156329000002</v>
      </c>
      <c r="D51" s="80">
        <v>90.88944042</v>
      </c>
      <c r="E51" s="83">
        <v>86.480130617</v>
      </c>
      <c r="F51" s="22" t="s">
        <v>241</v>
      </c>
      <c r="G51" s="23">
        <v>-5.3622426452831036</v>
      </c>
      <c r="H51" s="24">
        <v>-4.8512894156071127</v>
      </c>
    </row>
    <row r="52" spans="1:8" x14ac:dyDescent="0.25">
      <c r="A52" s="34"/>
      <c r="B52" s="25" t="s">
        <v>241</v>
      </c>
      <c r="C52" s="82" t="s">
        <v>241</v>
      </c>
      <c r="D52" s="82" t="s">
        <v>241</v>
      </c>
      <c r="E52" s="82" t="s">
        <v>241</v>
      </c>
      <c r="F52" s="27"/>
      <c r="G52" s="38" t="s">
        <v>241</v>
      </c>
      <c r="H52" s="24" t="s">
        <v>241</v>
      </c>
    </row>
    <row r="53" spans="1:8" x14ac:dyDescent="0.25">
      <c r="A53" s="30" t="s">
        <v>24</v>
      </c>
      <c r="B53" s="31" t="s">
        <v>3</v>
      </c>
      <c r="C53" s="80">
        <v>70.543430337999993</v>
      </c>
      <c r="D53" s="80">
        <v>82.674753503000005</v>
      </c>
      <c r="E53" s="83">
        <v>91.216895726999994</v>
      </c>
      <c r="F53" s="22" t="s">
        <v>241</v>
      </c>
      <c r="G53" s="37">
        <v>29.306010906962825</v>
      </c>
      <c r="H53" s="33">
        <v>10.332225815091206</v>
      </c>
    </row>
    <row r="54" spans="1:8" ht="13.8" thickBot="1" x14ac:dyDescent="0.3">
      <c r="A54" s="41"/>
      <c r="B54" s="42" t="s">
        <v>241</v>
      </c>
      <c r="C54" s="86" t="s">
        <v>241</v>
      </c>
      <c r="D54" s="86" t="s">
        <v>241</v>
      </c>
      <c r="E54" s="86" t="s">
        <v>241</v>
      </c>
      <c r="F54" s="44"/>
      <c r="G54" s="45" t="s">
        <v>241</v>
      </c>
      <c r="H54" s="46" t="s">
        <v>241</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H61" s="193">
        <v>14</v>
      </c>
    </row>
    <row r="62" spans="1:8" ht="12.75" customHeight="1" x14ac:dyDescent="0.25">
      <c r="A62" s="54" t="s">
        <v>243</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150</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44</v>
      </c>
      <c r="B7" s="19" t="s">
        <v>3</v>
      </c>
      <c r="C7" s="20">
        <v>111974</v>
      </c>
      <c r="D7" s="20">
        <v>108145.685466667</v>
      </c>
      <c r="E7" s="21">
        <v>110745.20394415699</v>
      </c>
      <c r="F7" s="22" t="s">
        <v>241</v>
      </c>
      <c r="G7" s="23">
        <v>-1.0973940877730683</v>
      </c>
      <c r="H7" s="24">
        <v>2.4037190816005563</v>
      </c>
    </row>
    <row r="8" spans="1:8" x14ac:dyDescent="0.25">
      <c r="A8" s="199"/>
      <c r="B8" s="25" t="s">
        <v>241</v>
      </c>
      <c r="C8" s="26" t="s">
        <v>241</v>
      </c>
      <c r="D8" s="26" t="s">
        <v>241</v>
      </c>
      <c r="E8" s="26" t="s">
        <v>241</v>
      </c>
      <c r="F8" s="27"/>
      <c r="G8" s="28" t="s">
        <v>241</v>
      </c>
      <c r="H8" s="29" t="s">
        <v>241</v>
      </c>
    </row>
    <row r="9" spans="1:8" x14ac:dyDescent="0.25">
      <c r="A9" s="30" t="s">
        <v>18</v>
      </c>
      <c r="B9" s="31" t="s">
        <v>3</v>
      </c>
      <c r="C9" s="20">
        <v>16632</v>
      </c>
      <c r="D9" s="20">
        <v>11525.9748</v>
      </c>
      <c r="E9" s="21">
        <v>11306.750091579999</v>
      </c>
      <c r="F9" s="22" t="s">
        <v>241</v>
      </c>
      <c r="G9" s="32">
        <v>-32.018097092472345</v>
      </c>
      <c r="H9" s="33">
        <v>-1.9020057932106624</v>
      </c>
    </row>
    <row r="10" spans="1:8" x14ac:dyDescent="0.25">
      <c r="A10" s="34"/>
      <c r="B10" s="25" t="s">
        <v>241</v>
      </c>
      <c r="C10" s="26" t="s">
        <v>241</v>
      </c>
      <c r="D10" s="26" t="s">
        <v>241</v>
      </c>
      <c r="E10" s="26" t="s">
        <v>241</v>
      </c>
      <c r="F10" s="27"/>
      <c r="G10" s="35" t="s">
        <v>241</v>
      </c>
      <c r="H10" s="29" t="s">
        <v>241</v>
      </c>
    </row>
    <row r="11" spans="1:8" x14ac:dyDescent="0.25">
      <c r="A11" s="30" t="s">
        <v>19</v>
      </c>
      <c r="B11" s="31" t="s">
        <v>3</v>
      </c>
      <c r="C11" s="20">
        <v>46560</v>
      </c>
      <c r="D11" s="20">
        <v>43902.915999999997</v>
      </c>
      <c r="E11" s="21">
        <v>49166.166971933999</v>
      </c>
      <c r="F11" s="22" t="s">
        <v>241</v>
      </c>
      <c r="G11" s="37">
        <v>5.5974376544974263</v>
      </c>
      <c r="H11" s="33">
        <v>11.988385855586458</v>
      </c>
    </row>
    <row r="12" spans="1:8" x14ac:dyDescent="0.25">
      <c r="A12" s="34"/>
      <c r="B12" s="25" t="s">
        <v>241</v>
      </c>
      <c r="C12" s="26" t="s">
        <v>241</v>
      </c>
      <c r="D12" s="26" t="s">
        <v>241</v>
      </c>
      <c r="E12" s="26" t="s">
        <v>241</v>
      </c>
      <c r="F12" s="27"/>
      <c r="G12" s="28" t="s">
        <v>241</v>
      </c>
      <c r="H12" s="29" t="s">
        <v>241</v>
      </c>
    </row>
    <row r="13" spans="1:8" x14ac:dyDescent="0.25">
      <c r="A13" s="30" t="s">
        <v>20</v>
      </c>
      <c r="B13" s="31" t="s">
        <v>3</v>
      </c>
      <c r="C13" s="20">
        <v>5709</v>
      </c>
      <c r="D13" s="20">
        <v>4741.8171428570004</v>
      </c>
      <c r="E13" s="21">
        <v>4341.9366533020002</v>
      </c>
      <c r="F13" s="22" t="s">
        <v>241</v>
      </c>
      <c r="G13" s="23">
        <v>-23.945758393729193</v>
      </c>
      <c r="H13" s="24">
        <v>-8.4330643191792802</v>
      </c>
    </row>
    <row r="14" spans="1:8" x14ac:dyDescent="0.25">
      <c r="A14" s="34"/>
      <c r="B14" s="25" t="s">
        <v>241</v>
      </c>
      <c r="C14" s="26" t="s">
        <v>241</v>
      </c>
      <c r="D14" s="26" t="s">
        <v>241</v>
      </c>
      <c r="E14" s="26" t="s">
        <v>241</v>
      </c>
      <c r="F14" s="27"/>
      <c r="G14" s="38" t="s">
        <v>241</v>
      </c>
      <c r="H14" s="24" t="s">
        <v>241</v>
      </c>
    </row>
    <row r="15" spans="1:8" x14ac:dyDescent="0.25">
      <c r="A15" s="30" t="s">
        <v>21</v>
      </c>
      <c r="B15" s="31" t="s">
        <v>3</v>
      </c>
      <c r="C15" s="20">
        <v>2952</v>
      </c>
      <c r="D15" s="20">
        <v>2857.4883333329999</v>
      </c>
      <c r="E15" s="21">
        <v>2942.6065238800002</v>
      </c>
      <c r="F15" s="22" t="s">
        <v>241</v>
      </c>
      <c r="G15" s="37">
        <v>-0.31820718563685091</v>
      </c>
      <c r="H15" s="33">
        <v>2.9787764854220029</v>
      </c>
    </row>
    <row r="16" spans="1:8" x14ac:dyDescent="0.25">
      <c r="A16" s="34"/>
      <c r="B16" s="25" t="s">
        <v>241</v>
      </c>
      <c r="C16" s="26" t="s">
        <v>241</v>
      </c>
      <c r="D16" s="26" t="s">
        <v>241</v>
      </c>
      <c r="E16" s="26" t="s">
        <v>241</v>
      </c>
      <c r="F16" s="27"/>
      <c r="G16" s="28" t="s">
        <v>241</v>
      </c>
      <c r="H16" s="29" t="s">
        <v>241</v>
      </c>
    </row>
    <row r="17" spans="1:8" x14ac:dyDescent="0.25">
      <c r="A17" s="30" t="s">
        <v>22</v>
      </c>
      <c r="B17" s="31" t="s">
        <v>3</v>
      </c>
      <c r="C17" s="20">
        <v>773</v>
      </c>
      <c r="D17" s="20">
        <v>610.48833333300001</v>
      </c>
      <c r="E17" s="21">
        <v>587.60652388000005</v>
      </c>
      <c r="F17" s="22" t="s">
        <v>241</v>
      </c>
      <c r="G17" s="37">
        <v>-23.983632098318225</v>
      </c>
      <c r="H17" s="33">
        <v>-3.748115763011441</v>
      </c>
    </row>
    <row r="18" spans="1:8" x14ac:dyDescent="0.25">
      <c r="A18" s="34"/>
      <c r="B18" s="25" t="s">
        <v>241</v>
      </c>
      <c r="C18" s="26" t="s">
        <v>241</v>
      </c>
      <c r="D18" s="26" t="s">
        <v>241</v>
      </c>
      <c r="E18" s="26" t="s">
        <v>241</v>
      </c>
      <c r="F18" s="27"/>
      <c r="G18" s="28" t="s">
        <v>241</v>
      </c>
      <c r="H18" s="29" t="s">
        <v>241</v>
      </c>
    </row>
    <row r="19" spans="1:8" x14ac:dyDescent="0.25">
      <c r="A19" s="30" t="s">
        <v>190</v>
      </c>
      <c r="B19" s="31" t="s">
        <v>3</v>
      </c>
      <c r="C19" s="20">
        <v>25975</v>
      </c>
      <c r="D19" s="20">
        <v>27071.042857142998</v>
      </c>
      <c r="E19" s="21">
        <v>30023.341633255</v>
      </c>
      <c r="F19" s="22" t="s">
        <v>241</v>
      </c>
      <c r="G19" s="23">
        <v>15.585530830625601</v>
      </c>
      <c r="H19" s="24">
        <v>10.905744531866105</v>
      </c>
    </row>
    <row r="20" spans="1:8" x14ac:dyDescent="0.25">
      <c r="A20" s="30"/>
      <c r="B20" s="25" t="s">
        <v>241</v>
      </c>
      <c r="C20" s="26" t="s">
        <v>241</v>
      </c>
      <c r="D20" s="26" t="s">
        <v>241</v>
      </c>
      <c r="E20" s="26" t="s">
        <v>241</v>
      </c>
      <c r="F20" s="27"/>
      <c r="G20" s="38" t="s">
        <v>241</v>
      </c>
      <c r="H20" s="24" t="s">
        <v>241</v>
      </c>
    </row>
    <row r="21" spans="1:8" x14ac:dyDescent="0.25">
      <c r="A21" s="39" t="s">
        <v>12</v>
      </c>
      <c r="B21" s="31" t="s">
        <v>3</v>
      </c>
      <c r="C21" s="20">
        <v>544</v>
      </c>
      <c r="D21" s="20">
        <v>517.49300000000005</v>
      </c>
      <c r="E21" s="21">
        <v>423.763914328</v>
      </c>
      <c r="F21" s="22" t="s">
        <v>241</v>
      </c>
      <c r="G21" s="37">
        <v>-22.102221630882354</v>
      </c>
      <c r="H21" s="33">
        <v>-18.112145608153156</v>
      </c>
    </row>
    <row r="22" spans="1:8" x14ac:dyDescent="0.25">
      <c r="A22" s="34"/>
      <c r="B22" s="25" t="s">
        <v>241</v>
      </c>
      <c r="C22" s="26" t="s">
        <v>241</v>
      </c>
      <c r="D22" s="26" t="s">
        <v>241</v>
      </c>
      <c r="E22" s="26" t="s">
        <v>241</v>
      </c>
      <c r="F22" s="27"/>
      <c r="G22" s="28" t="s">
        <v>241</v>
      </c>
      <c r="H22" s="29" t="s">
        <v>241</v>
      </c>
    </row>
    <row r="23" spans="1:8" x14ac:dyDescent="0.25">
      <c r="A23" s="39" t="s">
        <v>23</v>
      </c>
      <c r="B23" s="31" t="s">
        <v>3</v>
      </c>
      <c r="C23" s="20">
        <v>5844</v>
      </c>
      <c r="D23" s="20">
        <v>5843.4883333329999</v>
      </c>
      <c r="E23" s="21">
        <v>6162.6065238800002</v>
      </c>
      <c r="F23" s="22" t="s">
        <v>241</v>
      </c>
      <c r="G23" s="23">
        <v>5.4518570136892635</v>
      </c>
      <c r="H23" s="24">
        <v>5.4610905737015827</v>
      </c>
    </row>
    <row r="24" spans="1:8" x14ac:dyDescent="0.25">
      <c r="A24" s="34"/>
      <c r="B24" s="25" t="s">
        <v>241</v>
      </c>
      <c r="C24" s="26" t="s">
        <v>241</v>
      </c>
      <c r="D24" s="26" t="s">
        <v>241</v>
      </c>
      <c r="E24" s="26" t="s">
        <v>241</v>
      </c>
      <c r="F24" s="27"/>
      <c r="G24" s="28" t="s">
        <v>241</v>
      </c>
      <c r="H24" s="29" t="s">
        <v>241</v>
      </c>
    </row>
    <row r="25" spans="1:8" x14ac:dyDescent="0.25">
      <c r="A25" s="30" t="s">
        <v>24</v>
      </c>
      <c r="B25" s="31" t="s">
        <v>3</v>
      </c>
      <c r="C25" s="20">
        <v>10455</v>
      </c>
      <c r="D25" s="20">
        <v>14889.976666667</v>
      </c>
      <c r="E25" s="21">
        <v>10837.213047759</v>
      </c>
      <c r="F25" s="22" t="s">
        <v>241</v>
      </c>
      <c r="G25" s="23">
        <v>3.655791944131991</v>
      </c>
      <c r="H25" s="24">
        <v>-27.218065613095277</v>
      </c>
    </row>
    <row r="26" spans="1:8" ht="13.8" thickBot="1" x14ac:dyDescent="0.3">
      <c r="A26" s="41"/>
      <c r="B26" s="42" t="s">
        <v>241</v>
      </c>
      <c r="C26" s="43" t="s">
        <v>241</v>
      </c>
      <c r="D26" s="43" t="s">
        <v>241</v>
      </c>
      <c r="E26" s="43" t="s">
        <v>241</v>
      </c>
      <c r="F26" s="44"/>
      <c r="G26" s="45" t="s">
        <v>241</v>
      </c>
      <c r="H26" s="46" t="s">
        <v>241</v>
      </c>
    </row>
    <row r="31" spans="1:8" x14ac:dyDescent="0.25">
      <c r="A31" s="47"/>
      <c r="B31" s="48"/>
      <c r="C31" s="49"/>
      <c r="D31" s="55"/>
      <c r="E31" s="49"/>
      <c r="F31" s="49"/>
      <c r="G31" s="50"/>
      <c r="H31" s="51"/>
    </row>
    <row r="32" spans="1:8" ht="16.8" thickBot="1" x14ac:dyDescent="0.4">
      <c r="A32" s="4" t="s">
        <v>99</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44</v>
      </c>
      <c r="B35" s="19" t="s">
        <v>3</v>
      </c>
      <c r="C35" s="80">
        <v>4469.1021373849999</v>
      </c>
      <c r="D35" s="80">
        <v>4492.1725980459996</v>
      </c>
      <c r="E35" s="83">
        <v>5043.1056053210004</v>
      </c>
      <c r="F35" s="22" t="s">
        <v>241</v>
      </c>
      <c r="G35" s="23">
        <v>12.843820756172434</v>
      </c>
      <c r="H35" s="24">
        <v>12.264288498501699</v>
      </c>
    </row>
    <row r="36" spans="1:8" ht="12.75" customHeight="1" x14ac:dyDescent="0.25">
      <c r="A36" s="199"/>
      <c r="B36" s="25" t="s">
        <v>241</v>
      </c>
      <c r="C36" s="82" t="s">
        <v>241</v>
      </c>
      <c r="D36" s="82" t="s">
        <v>241</v>
      </c>
      <c r="E36" s="82" t="s">
        <v>241</v>
      </c>
      <c r="F36" s="27"/>
      <c r="G36" s="28" t="s">
        <v>241</v>
      </c>
      <c r="H36" s="29" t="s">
        <v>241</v>
      </c>
    </row>
    <row r="37" spans="1:8" x14ac:dyDescent="0.25">
      <c r="A37" s="30" t="s">
        <v>18</v>
      </c>
      <c r="B37" s="31" t="s">
        <v>3</v>
      </c>
      <c r="C37" s="80">
        <v>1880.6190948660001</v>
      </c>
      <c r="D37" s="80">
        <v>1806.1311491710001</v>
      </c>
      <c r="E37" s="83">
        <v>1839.5446309690001</v>
      </c>
      <c r="F37" s="22" t="s">
        <v>241</v>
      </c>
      <c r="G37" s="32">
        <v>-2.1840926750734013</v>
      </c>
      <c r="H37" s="33">
        <v>1.8500030749891323</v>
      </c>
    </row>
    <row r="38" spans="1:8" x14ac:dyDescent="0.25">
      <c r="A38" s="34"/>
      <c r="B38" s="25" t="s">
        <v>241</v>
      </c>
      <c r="C38" s="82" t="s">
        <v>241</v>
      </c>
      <c r="D38" s="82" t="s">
        <v>241</v>
      </c>
      <c r="E38" s="82" t="s">
        <v>241</v>
      </c>
      <c r="F38" s="27"/>
      <c r="G38" s="35" t="s">
        <v>241</v>
      </c>
      <c r="H38" s="29" t="s">
        <v>241</v>
      </c>
    </row>
    <row r="39" spans="1:8" x14ac:dyDescent="0.25">
      <c r="A39" s="30" t="s">
        <v>19</v>
      </c>
      <c r="B39" s="31" t="s">
        <v>3</v>
      </c>
      <c r="C39" s="80">
        <v>1812.5979575169999</v>
      </c>
      <c r="D39" s="80">
        <v>1752.8804751109999</v>
      </c>
      <c r="E39" s="83">
        <v>2283.2039715880001</v>
      </c>
      <c r="F39" s="22" t="s">
        <v>241</v>
      </c>
      <c r="G39" s="37">
        <v>25.963066554243682</v>
      </c>
      <c r="H39" s="33">
        <v>30.254401484129602</v>
      </c>
    </row>
    <row r="40" spans="1:8" x14ac:dyDescent="0.25">
      <c r="A40" s="34"/>
      <c r="B40" s="25" t="s">
        <v>241</v>
      </c>
      <c r="C40" s="82" t="s">
        <v>241</v>
      </c>
      <c r="D40" s="82" t="s">
        <v>241</v>
      </c>
      <c r="E40" s="82" t="s">
        <v>241</v>
      </c>
      <c r="F40" s="27"/>
      <c r="G40" s="28" t="s">
        <v>241</v>
      </c>
      <c r="H40" s="29" t="s">
        <v>241</v>
      </c>
    </row>
    <row r="41" spans="1:8" x14ac:dyDescent="0.25">
      <c r="A41" s="30" t="s">
        <v>20</v>
      </c>
      <c r="B41" s="31" t="s">
        <v>3</v>
      </c>
      <c r="C41" s="80">
        <v>93.722217442000002</v>
      </c>
      <c r="D41" s="80">
        <v>88.555282128000002</v>
      </c>
      <c r="E41" s="83">
        <v>76.574071103999998</v>
      </c>
      <c r="F41" s="22" t="s">
        <v>241</v>
      </c>
      <c r="G41" s="23">
        <v>-18.296778294444564</v>
      </c>
      <c r="H41" s="24">
        <v>-13.529640170624788</v>
      </c>
    </row>
    <row r="42" spans="1:8" x14ac:dyDescent="0.25">
      <c r="A42" s="34"/>
      <c r="B42" s="25" t="s">
        <v>241</v>
      </c>
      <c r="C42" s="82" t="s">
        <v>241</v>
      </c>
      <c r="D42" s="82" t="s">
        <v>241</v>
      </c>
      <c r="E42" s="82" t="s">
        <v>241</v>
      </c>
      <c r="F42" s="27"/>
      <c r="G42" s="38" t="s">
        <v>241</v>
      </c>
      <c r="H42" s="24" t="s">
        <v>241</v>
      </c>
    </row>
    <row r="43" spans="1:8" x14ac:dyDescent="0.25">
      <c r="A43" s="30" t="s">
        <v>21</v>
      </c>
      <c r="B43" s="31" t="s">
        <v>3</v>
      </c>
      <c r="C43" s="80">
        <v>24.349907472999998</v>
      </c>
      <c r="D43" s="80">
        <v>21.615658198999999</v>
      </c>
      <c r="E43" s="83">
        <v>21.809884699000001</v>
      </c>
      <c r="F43" s="22" t="s">
        <v>241</v>
      </c>
      <c r="G43" s="37">
        <v>-10.431344664518576</v>
      </c>
      <c r="H43" s="33">
        <v>0.89854538877278856</v>
      </c>
    </row>
    <row r="44" spans="1:8" x14ac:dyDescent="0.25">
      <c r="A44" s="34"/>
      <c r="B44" s="25" t="s">
        <v>241</v>
      </c>
      <c r="C44" s="82" t="s">
        <v>241</v>
      </c>
      <c r="D44" s="82" t="s">
        <v>241</v>
      </c>
      <c r="E44" s="82" t="s">
        <v>241</v>
      </c>
      <c r="F44" s="27"/>
      <c r="G44" s="28" t="s">
        <v>241</v>
      </c>
      <c r="H44" s="29" t="s">
        <v>241</v>
      </c>
    </row>
    <row r="45" spans="1:8" x14ac:dyDescent="0.25">
      <c r="A45" s="30" t="s">
        <v>22</v>
      </c>
      <c r="B45" s="31" t="s">
        <v>3</v>
      </c>
      <c r="C45" s="80">
        <v>5.2687985169999996</v>
      </c>
      <c r="D45" s="80">
        <v>3.5826513050000002</v>
      </c>
      <c r="E45" s="83">
        <v>3.8347147189999999</v>
      </c>
      <c r="F45" s="22" t="s">
        <v>241</v>
      </c>
      <c r="G45" s="37">
        <v>-27.218421683290188</v>
      </c>
      <c r="H45" s="33">
        <v>7.0356669555928164</v>
      </c>
    </row>
    <row r="46" spans="1:8" x14ac:dyDescent="0.25">
      <c r="A46" s="34"/>
      <c r="B46" s="25" t="s">
        <v>241</v>
      </c>
      <c r="C46" s="82" t="s">
        <v>241</v>
      </c>
      <c r="D46" s="82" t="s">
        <v>241</v>
      </c>
      <c r="E46" s="82" t="s">
        <v>241</v>
      </c>
      <c r="F46" s="27"/>
      <c r="G46" s="28" t="s">
        <v>241</v>
      </c>
      <c r="H46" s="29" t="s">
        <v>241</v>
      </c>
    </row>
    <row r="47" spans="1:8" x14ac:dyDescent="0.25">
      <c r="A47" s="30" t="s">
        <v>190</v>
      </c>
      <c r="B47" s="31" t="s">
        <v>3</v>
      </c>
      <c r="C47" s="80">
        <v>320.23655932700001</v>
      </c>
      <c r="D47" s="80">
        <v>325.71855430400001</v>
      </c>
      <c r="E47" s="83">
        <v>406.92351700299997</v>
      </c>
      <c r="F47" s="22" t="s">
        <v>241</v>
      </c>
      <c r="G47" s="23">
        <v>27.069663082247317</v>
      </c>
      <c r="H47" s="24">
        <v>24.931021468064628</v>
      </c>
    </row>
    <row r="48" spans="1:8" x14ac:dyDescent="0.25">
      <c r="A48" s="30"/>
      <c r="B48" s="25" t="s">
        <v>241</v>
      </c>
      <c r="C48" s="82" t="s">
        <v>241</v>
      </c>
      <c r="D48" s="82" t="s">
        <v>241</v>
      </c>
      <c r="E48" s="82" t="s">
        <v>241</v>
      </c>
      <c r="F48" s="27"/>
      <c r="G48" s="38" t="s">
        <v>241</v>
      </c>
      <c r="H48" s="24" t="s">
        <v>241</v>
      </c>
    </row>
    <row r="49" spans="1:8" x14ac:dyDescent="0.25">
      <c r="A49" s="39" t="s">
        <v>12</v>
      </c>
      <c r="B49" s="31" t="s">
        <v>3</v>
      </c>
      <c r="C49" s="80">
        <v>8.6793589230000006</v>
      </c>
      <c r="D49" s="80">
        <v>3.5029887359999998</v>
      </c>
      <c r="E49" s="83">
        <v>5.5450821440000002</v>
      </c>
      <c r="F49" s="22" t="s">
        <v>241</v>
      </c>
      <c r="G49" s="37">
        <v>-36.111846586897975</v>
      </c>
      <c r="H49" s="33">
        <v>58.295745773131728</v>
      </c>
    </row>
    <row r="50" spans="1:8" x14ac:dyDescent="0.25">
      <c r="A50" s="34"/>
      <c r="B50" s="25" t="s">
        <v>241</v>
      </c>
      <c r="C50" s="82" t="s">
        <v>241</v>
      </c>
      <c r="D50" s="82" t="s">
        <v>241</v>
      </c>
      <c r="E50" s="82" t="s">
        <v>241</v>
      </c>
      <c r="F50" s="27"/>
      <c r="G50" s="28" t="s">
        <v>241</v>
      </c>
      <c r="H50" s="29" t="s">
        <v>241</v>
      </c>
    </row>
    <row r="51" spans="1:8" x14ac:dyDescent="0.25">
      <c r="A51" s="39" t="s">
        <v>23</v>
      </c>
      <c r="B51" s="31" t="s">
        <v>3</v>
      </c>
      <c r="C51" s="80">
        <v>141.880871996</v>
      </c>
      <c r="D51" s="80">
        <v>142.29272244500001</v>
      </c>
      <c r="E51" s="83">
        <v>145.168091729</v>
      </c>
      <c r="F51" s="22" t="s">
        <v>241</v>
      </c>
      <c r="G51" s="23">
        <v>2.3168871791912125</v>
      </c>
      <c r="H51" s="24">
        <v>2.0207423363562356</v>
      </c>
    </row>
    <row r="52" spans="1:8" x14ac:dyDescent="0.25">
      <c r="A52" s="34"/>
      <c r="B52" s="25" t="s">
        <v>241</v>
      </c>
      <c r="C52" s="82" t="s">
        <v>241</v>
      </c>
      <c r="D52" s="82" t="s">
        <v>241</v>
      </c>
      <c r="E52" s="82" t="s">
        <v>241</v>
      </c>
      <c r="F52" s="27"/>
      <c r="G52" s="28" t="s">
        <v>241</v>
      </c>
      <c r="H52" s="29" t="s">
        <v>241</v>
      </c>
    </row>
    <row r="53" spans="1:8" x14ac:dyDescent="0.25">
      <c r="A53" s="30" t="s">
        <v>24</v>
      </c>
      <c r="B53" s="31" t="s">
        <v>3</v>
      </c>
      <c r="C53" s="80">
        <v>181.74737132600001</v>
      </c>
      <c r="D53" s="80">
        <v>347.89311664899998</v>
      </c>
      <c r="E53" s="83">
        <v>260.50164136500001</v>
      </c>
      <c r="F53" s="22" t="s">
        <v>241</v>
      </c>
      <c r="G53" s="23">
        <v>43.331724395473401</v>
      </c>
      <c r="H53" s="24">
        <v>-25.120208219633128</v>
      </c>
    </row>
    <row r="54" spans="1:8" ht="13.8" thickBot="1" x14ac:dyDescent="0.3">
      <c r="A54" s="41"/>
      <c r="B54" s="42" t="s">
        <v>241</v>
      </c>
      <c r="C54" s="86" t="s">
        <v>241</v>
      </c>
      <c r="D54" s="86" t="s">
        <v>241</v>
      </c>
      <c r="E54" s="86" t="s">
        <v>241</v>
      </c>
      <c r="F54" s="44"/>
      <c r="G54" s="45" t="s">
        <v>241</v>
      </c>
      <c r="H54" s="46" t="s">
        <v>241</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G61" s="53"/>
      <c r="H61" s="201">
        <v>15</v>
      </c>
    </row>
    <row r="62" spans="1:8" ht="12.75" customHeight="1" x14ac:dyDescent="0.25">
      <c r="A62" s="54" t="s">
        <v>243</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151</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ht="12.75" customHeight="1" x14ac:dyDescent="0.25">
      <c r="A7" s="198" t="s">
        <v>45</v>
      </c>
      <c r="B7" s="19" t="s">
        <v>3</v>
      </c>
      <c r="C7" s="20">
        <v>15847</v>
      </c>
      <c r="D7" s="20">
        <v>16072.498266667</v>
      </c>
      <c r="E7" s="21">
        <v>14653.806941663001</v>
      </c>
      <c r="F7" s="22" t="s">
        <v>241</v>
      </c>
      <c r="G7" s="23">
        <v>-7.5294570476241489</v>
      </c>
      <c r="H7" s="24">
        <v>-8.826825185890641</v>
      </c>
    </row>
    <row r="8" spans="1:8" ht="12.75" customHeight="1" x14ac:dyDescent="0.25">
      <c r="A8" s="199"/>
      <c r="B8" s="25" t="s">
        <v>241</v>
      </c>
      <c r="C8" s="26" t="s">
        <v>241</v>
      </c>
      <c r="D8" s="26" t="s">
        <v>241</v>
      </c>
      <c r="E8" s="26" t="s">
        <v>241</v>
      </c>
      <c r="F8" s="27"/>
      <c r="G8" s="28" t="s">
        <v>241</v>
      </c>
      <c r="H8" s="29" t="s">
        <v>241</v>
      </c>
    </row>
    <row r="9" spans="1:8" x14ac:dyDescent="0.25">
      <c r="A9" s="30" t="s">
        <v>18</v>
      </c>
      <c r="B9" s="31" t="s">
        <v>3</v>
      </c>
      <c r="C9" s="20">
        <v>3370</v>
      </c>
      <c r="D9" s="20">
        <v>1877.5236</v>
      </c>
      <c r="E9" s="21">
        <v>1689.5725934</v>
      </c>
      <c r="F9" s="22" t="s">
        <v>241</v>
      </c>
      <c r="G9" s="32">
        <v>-49.864314735905047</v>
      </c>
      <c r="H9" s="33">
        <v>-10.010580245169749</v>
      </c>
    </row>
    <row r="10" spans="1:8" x14ac:dyDescent="0.25">
      <c r="A10" s="34"/>
      <c r="B10" s="25" t="s">
        <v>241</v>
      </c>
      <c r="C10" s="26" t="s">
        <v>241</v>
      </c>
      <c r="D10" s="26" t="s">
        <v>241</v>
      </c>
      <c r="E10" s="26" t="s">
        <v>241</v>
      </c>
      <c r="F10" s="27"/>
      <c r="G10" s="35" t="s">
        <v>241</v>
      </c>
      <c r="H10" s="29" t="s">
        <v>241</v>
      </c>
    </row>
    <row r="11" spans="1:8" x14ac:dyDescent="0.25">
      <c r="A11" s="30" t="s">
        <v>19</v>
      </c>
      <c r="B11" s="31" t="s">
        <v>3</v>
      </c>
      <c r="C11" s="20">
        <v>3303</v>
      </c>
      <c r="D11" s="20">
        <v>3615.4119999999998</v>
      </c>
      <c r="E11" s="21">
        <v>4269.9086446680003</v>
      </c>
      <c r="F11" s="22" t="s">
        <v>241</v>
      </c>
      <c r="G11" s="37">
        <v>29.273649550953678</v>
      </c>
      <c r="H11" s="33">
        <v>18.102961562001795</v>
      </c>
    </row>
    <row r="12" spans="1:8" x14ac:dyDescent="0.25">
      <c r="A12" s="34"/>
      <c r="B12" s="25" t="s">
        <v>241</v>
      </c>
      <c r="C12" s="26" t="s">
        <v>241</v>
      </c>
      <c r="D12" s="26" t="s">
        <v>241</v>
      </c>
      <c r="E12" s="26" t="s">
        <v>241</v>
      </c>
      <c r="F12" s="27"/>
      <c r="G12" s="28" t="s">
        <v>241</v>
      </c>
      <c r="H12" s="29" t="s">
        <v>241</v>
      </c>
    </row>
    <row r="13" spans="1:8" x14ac:dyDescent="0.25">
      <c r="A13" s="30" t="s">
        <v>20</v>
      </c>
      <c r="B13" s="31" t="s">
        <v>3</v>
      </c>
      <c r="C13" s="20">
        <v>2131</v>
      </c>
      <c r="D13" s="20">
        <v>1697.0057142860001</v>
      </c>
      <c r="E13" s="21">
        <v>1531.670783175</v>
      </c>
      <c r="F13" s="22" t="s">
        <v>241</v>
      </c>
      <c r="G13" s="23">
        <v>-28.124318011496953</v>
      </c>
      <c r="H13" s="24">
        <v>-9.7427445128293755</v>
      </c>
    </row>
    <row r="14" spans="1:8" x14ac:dyDescent="0.25">
      <c r="A14" s="34"/>
      <c r="B14" s="25" t="s">
        <v>241</v>
      </c>
      <c r="C14" s="26" t="s">
        <v>241</v>
      </c>
      <c r="D14" s="26" t="s">
        <v>241</v>
      </c>
      <c r="E14" s="26" t="s">
        <v>241</v>
      </c>
      <c r="F14" s="27"/>
      <c r="G14" s="38" t="s">
        <v>241</v>
      </c>
      <c r="H14" s="24" t="s">
        <v>241</v>
      </c>
    </row>
    <row r="15" spans="1:8" x14ac:dyDescent="0.25">
      <c r="A15" s="30" t="s">
        <v>21</v>
      </c>
      <c r="B15" s="31" t="s">
        <v>3</v>
      </c>
      <c r="C15" s="20">
        <v>411</v>
      </c>
      <c r="D15" s="20">
        <v>413.16833333300002</v>
      </c>
      <c r="E15" s="21">
        <v>343.65397842599998</v>
      </c>
      <c r="F15" s="22" t="s">
        <v>241</v>
      </c>
      <c r="G15" s="37">
        <v>-16.385893327007309</v>
      </c>
      <c r="H15" s="33">
        <v>-16.824705404267704</v>
      </c>
    </row>
    <row r="16" spans="1:8" x14ac:dyDescent="0.25">
      <c r="A16" s="34"/>
      <c r="B16" s="25" t="s">
        <v>241</v>
      </c>
      <c r="C16" s="26" t="s">
        <v>241</v>
      </c>
      <c r="D16" s="26" t="s">
        <v>241</v>
      </c>
      <c r="E16" s="26" t="s">
        <v>241</v>
      </c>
      <c r="F16" s="27"/>
      <c r="G16" s="28" t="s">
        <v>241</v>
      </c>
      <c r="H16" s="29" t="s">
        <v>241</v>
      </c>
    </row>
    <row r="17" spans="1:8" x14ac:dyDescent="0.25">
      <c r="A17" s="30" t="s">
        <v>22</v>
      </c>
      <c r="B17" s="31" t="s">
        <v>3</v>
      </c>
      <c r="C17" s="20">
        <v>390</v>
      </c>
      <c r="D17" s="20">
        <v>285.16833333300002</v>
      </c>
      <c r="E17" s="21">
        <v>291.65397842599998</v>
      </c>
      <c r="F17" s="22" t="s">
        <v>241</v>
      </c>
      <c r="G17" s="37">
        <v>-25.216928608717964</v>
      </c>
      <c r="H17" s="33">
        <v>2.2743216321380544</v>
      </c>
    </row>
    <row r="18" spans="1:8" x14ac:dyDescent="0.25">
      <c r="A18" s="34"/>
      <c r="B18" s="25" t="s">
        <v>241</v>
      </c>
      <c r="C18" s="26" t="s">
        <v>241</v>
      </c>
      <c r="D18" s="26" t="s">
        <v>241</v>
      </c>
      <c r="E18" s="26" t="s">
        <v>241</v>
      </c>
      <c r="F18" s="27"/>
      <c r="G18" s="28" t="s">
        <v>241</v>
      </c>
      <c r="H18" s="29" t="s">
        <v>241</v>
      </c>
    </row>
    <row r="19" spans="1:8" x14ac:dyDescent="0.25">
      <c r="A19" s="30" t="s">
        <v>190</v>
      </c>
      <c r="B19" s="31" t="s">
        <v>3</v>
      </c>
      <c r="C19" s="20">
        <v>3743</v>
      </c>
      <c r="D19" s="20">
        <v>4681.0142857139999</v>
      </c>
      <c r="E19" s="21">
        <v>3726.1769579380002</v>
      </c>
      <c r="F19" s="22" t="s">
        <v>241</v>
      </c>
      <c r="G19" s="23">
        <v>-0.44945343473149535</v>
      </c>
      <c r="H19" s="24">
        <v>-20.398086173120006</v>
      </c>
    </row>
    <row r="20" spans="1:8" x14ac:dyDescent="0.25">
      <c r="A20" s="30"/>
      <c r="B20" s="25" t="s">
        <v>241</v>
      </c>
      <c r="C20" s="26" t="s">
        <v>241</v>
      </c>
      <c r="D20" s="26" t="s">
        <v>241</v>
      </c>
      <c r="E20" s="26" t="s">
        <v>241</v>
      </c>
      <c r="F20" s="27"/>
      <c r="G20" s="38" t="s">
        <v>241</v>
      </c>
      <c r="H20" s="24" t="s">
        <v>241</v>
      </c>
    </row>
    <row r="21" spans="1:8" x14ac:dyDescent="0.25">
      <c r="A21" s="39" t="s">
        <v>12</v>
      </c>
      <c r="B21" s="31" t="s">
        <v>3</v>
      </c>
      <c r="C21" s="20">
        <v>53</v>
      </c>
      <c r="D21" s="20">
        <v>44.701000000000001</v>
      </c>
      <c r="E21" s="21">
        <v>44.992387055999998</v>
      </c>
      <c r="F21" s="22" t="s">
        <v>241</v>
      </c>
      <c r="G21" s="37">
        <v>-15.10870366792453</v>
      </c>
      <c r="H21" s="33">
        <v>0.6518580255475257</v>
      </c>
    </row>
    <row r="22" spans="1:8" x14ac:dyDescent="0.25">
      <c r="A22" s="34"/>
      <c r="B22" s="25" t="s">
        <v>241</v>
      </c>
      <c r="C22" s="26" t="s">
        <v>241</v>
      </c>
      <c r="D22" s="26" t="s">
        <v>241</v>
      </c>
      <c r="E22" s="26" t="s">
        <v>241</v>
      </c>
      <c r="F22" s="27"/>
      <c r="G22" s="28" t="s">
        <v>241</v>
      </c>
      <c r="H22" s="29" t="s">
        <v>241</v>
      </c>
    </row>
    <row r="23" spans="1:8" x14ac:dyDescent="0.25">
      <c r="A23" s="39" t="s">
        <v>23</v>
      </c>
      <c r="B23" s="31" t="s">
        <v>3</v>
      </c>
      <c r="C23" s="20">
        <v>1427</v>
      </c>
      <c r="D23" s="20">
        <v>1718.168333333</v>
      </c>
      <c r="E23" s="21">
        <v>1891.6539784260001</v>
      </c>
      <c r="F23" s="22" t="s">
        <v>241</v>
      </c>
      <c r="G23" s="23">
        <v>32.561596245690254</v>
      </c>
      <c r="H23" s="24">
        <v>10.097127372640074</v>
      </c>
    </row>
    <row r="24" spans="1:8" x14ac:dyDescent="0.25">
      <c r="A24" s="34"/>
      <c r="B24" s="25" t="s">
        <v>241</v>
      </c>
      <c r="C24" s="26" t="s">
        <v>241</v>
      </c>
      <c r="D24" s="26" t="s">
        <v>241</v>
      </c>
      <c r="E24" s="26" t="s">
        <v>241</v>
      </c>
      <c r="F24" s="27"/>
      <c r="G24" s="28" t="s">
        <v>241</v>
      </c>
      <c r="H24" s="29" t="s">
        <v>241</v>
      </c>
    </row>
    <row r="25" spans="1:8" x14ac:dyDescent="0.25">
      <c r="A25" s="30" t="s">
        <v>24</v>
      </c>
      <c r="B25" s="31" t="s">
        <v>3</v>
      </c>
      <c r="C25" s="20">
        <v>1533</v>
      </c>
      <c r="D25" s="20">
        <v>2353.3366666669999</v>
      </c>
      <c r="E25" s="21">
        <v>1332.307956852</v>
      </c>
      <c r="F25" s="22" t="s">
        <v>241</v>
      </c>
      <c r="G25" s="23">
        <v>-13.091457478669284</v>
      </c>
      <c r="H25" s="24">
        <v>-43.386427631753591</v>
      </c>
    </row>
    <row r="26" spans="1:8" ht="13.8" thickBot="1" x14ac:dyDescent="0.3">
      <c r="A26" s="41"/>
      <c r="B26" s="42" t="s">
        <v>241</v>
      </c>
      <c r="C26" s="43" t="s">
        <v>241</v>
      </c>
      <c r="D26" s="43" t="s">
        <v>241</v>
      </c>
      <c r="E26" s="43" t="s">
        <v>241</v>
      </c>
      <c r="F26" s="44"/>
      <c r="G26" s="45" t="s">
        <v>241</v>
      </c>
      <c r="H26" s="46" t="s">
        <v>241</v>
      </c>
    </row>
    <row r="31" spans="1:8" x14ac:dyDescent="0.25">
      <c r="A31" s="47"/>
      <c r="B31" s="48"/>
      <c r="C31" s="49"/>
      <c r="D31" s="55"/>
      <c r="E31" s="49"/>
      <c r="F31" s="49"/>
      <c r="G31" s="50"/>
      <c r="H31" s="51"/>
    </row>
    <row r="32" spans="1:8" ht="16.8" thickBot="1" x14ac:dyDescent="0.4">
      <c r="A32" s="4" t="s">
        <v>98</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45</v>
      </c>
      <c r="B35" s="19" t="s">
        <v>3</v>
      </c>
      <c r="C35" s="80">
        <v>812.54066571700002</v>
      </c>
      <c r="D35" s="80">
        <v>734.41756642099995</v>
      </c>
      <c r="E35" s="83">
        <v>746.15060483299999</v>
      </c>
      <c r="F35" s="22" t="s">
        <v>241</v>
      </c>
      <c r="G35" s="23">
        <v>-8.1706754732597062</v>
      </c>
      <c r="H35" s="24">
        <v>1.597597735737466</v>
      </c>
    </row>
    <row r="36" spans="1:8" ht="12.75" customHeight="1" x14ac:dyDescent="0.25">
      <c r="A36" s="199"/>
      <c r="B36" s="25" t="s">
        <v>241</v>
      </c>
      <c r="C36" s="82" t="s">
        <v>241</v>
      </c>
      <c r="D36" s="82" t="s">
        <v>241</v>
      </c>
      <c r="E36" s="82" t="s">
        <v>241</v>
      </c>
      <c r="F36" s="27"/>
      <c r="G36" s="28" t="s">
        <v>241</v>
      </c>
      <c r="H36" s="29" t="s">
        <v>241</v>
      </c>
    </row>
    <row r="37" spans="1:8" x14ac:dyDescent="0.25">
      <c r="A37" s="30" t="s">
        <v>18</v>
      </c>
      <c r="B37" s="31" t="s">
        <v>3</v>
      </c>
      <c r="C37" s="80">
        <v>447.371126667</v>
      </c>
      <c r="D37" s="80">
        <v>300.22438638900002</v>
      </c>
      <c r="E37" s="83">
        <v>305.17532433700001</v>
      </c>
      <c r="F37" s="22" t="s">
        <v>241</v>
      </c>
      <c r="G37" s="32">
        <v>-31.784751821018446</v>
      </c>
      <c r="H37" s="33">
        <v>1.6490792129008014</v>
      </c>
    </row>
    <row r="38" spans="1:8" x14ac:dyDescent="0.25">
      <c r="A38" s="34"/>
      <c r="B38" s="25" t="s">
        <v>241</v>
      </c>
      <c r="C38" s="82" t="s">
        <v>241</v>
      </c>
      <c r="D38" s="82" t="s">
        <v>241</v>
      </c>
      <c r="E38" s="82" t="s">
        <v>241</v>
      </c>
      <c r="F38" s="27"/>
      <c r="G38" s="35" t="s">
        <v>241</v>
      </c>
      <c r="H38" s="29" t="s">
        <v>241</v>
      </c>
    </row>
    <row r="39" spans="1:8" x14ac:dyDescent="0.25">
      <c r="A39" s="30" t="s">
        <v>19</v>
      </c>
      <c r="B39" s="31" t="s">
        <v>3</v>
      </c>
      <c r="C39" s="80">
        <v>151.449725927</v>
      </c>
      <c r="D39" s="80">
        <v>154.376926005</v>
      </c>
      <c r="E39" s="83">
        <v>224.48284302299999</v>
      </c>
      <c r="F39" s="22" t="s">
        <v>241</v>
      </c>
      <c r="G39" s="37">
        <v>48.222680265002623</v>
      </c>
      <c r="H39" s="33">
        <v>45.412173199853299</v>
      </c>
    </row>
    <row r="40" spans="1:8" x14ac:dyDescent="0.25">
      <c r="A40" s="34"/>
      <c r="B40" s="25" t="s">
        <v>241</v>
      </c>
      <c r="C40" s="82" t="s">
        <v>241</v>
      </c>
      <c r="D40" s="82" t="s">
        <v>241</v>
      </c>
      <c r="E40" s="82" t="s">
        <v>241</v>
      </c>
      <c r="F40" s="27"/>
      <c r="G40" s="28" t="s">
        <v>241</v>
      </c>
      <c r="H40" s="29" t="s">
        <v>241</v>
      </c>
    </row>
    <row r="41" spans="1:8" x14ac:dyDescent="0.25">
      <c r="A41" s="30" t="s">
        <v>20</v>
      </c>
      <c r="B41" s="31" t="s">
        <v>3</v>
      </c>
      <c r="C41" s="80">
        <v>54.706122268999998</v>
      </c>
      <c r="D41" s="80">
        <v>44.724691919000001</v>
      </c>
      <c r="E41" s="83">
        <v>45.466021824000002</v>
      </c>
      <c r="F41" s="22" t="s">
        <v>241</v>
      </c>
      <c r="G41" s="23">
        <v>-16.890432115741518</v>
      </c>
      <c r="H41" s="24">
        <v>1.6575405512968331</v>
      </c>
    </row>
    <row r="42" spans="1:8" x14ac:dyDescent="0.25">
      <c r="A42" s="34"/>
      <c r="B42" s="25" t="s">
        <v>241</v>
      </c>
      <c r="C42" s="82" t="s">
        <v>241</v>
      </c>
      <c r="D42" s="82" t="s">
        <v>241</v>
      </c>
      <c r="E42" s="82" t="s">
        <v>241</v>
      </c>
      <c r="F42" s="27"/>
      <c r="G42" s="38" t="s">
        <v>241</v>
      </c>
      <c r="H42" s="24" t="s">
        <v>241</v>
      </c>
    </row>
    <row r="43" spans="1:8" x14ac:dyDescent="0.25">
      <c r="A43" s="30" t="s">
        <v>21</v>
      </c>
      <c r="B43" s="31" t="s">
        <v>3</v>
      </c>
      <c r="C43" s="80">
        <v>7.6826485289999997</v>
      </c>
      <c r="D43" s="80">
        <v>9.7928673289999999</v>
      </c>
      <c r="E43" s="83">
        <v>7.1380364309999997</v>
      </c>
      <c r="F43" s="22" t="s">
        <v>241</v>
      </c>
      <c r="G43" s="37">
        <v>-7.0888586916898646</v>
      </c>
      <c r="H43" s="33">
        <v>-27.109842386388166</v>
      </c>
    </row>
    <row r="44" spans="1:8" x14ac:dyDescent="0.25">
      <c r="A44" s="34"/>
      <c r="B44" s="25" t="s">
        <v>241</v>
      </c>
      <c r="C44" s="82" t="s">
        <v>241</v>
      </c>
      <c r="D44" s="82" t="s">
        <v>241</v>
      </c>
      <c r="E44" s="82" t="s">
        <v>241</v>
      </c>
      <c r="F44" s="27"/>
      <c r="G44" s="28" t="s">
        <v>241</v>
      </c>
      <c r="H44" s="29" t="s">
        <v>241</v>
      </c>
    </row>
    <row r="45" spans="1:8" x14ac:dyDescent="0.25">
      <c r="A45" s="30" t="s">
        <v>22</v>
      </c>
      <c r="B45" s="31" t="s">
        <v>3</v>
      </c>
      <c r="C45" s="80">
        <v>2.58368134</v>
      </c>
      <c r="D45" s="80">
        <v>1.438553446</v>
      </c>
      <c r="E45" s="83">
        <v>1.8862829290000001</v>
      </c>
      <c r="F45" s="22" t="s">
        <v>241</v>
      </c>
      <c r="G45" s="37">
        <v>-26.992431311208065</v>
      </c>
      <c r="H45" s="33">
        <v>31.123590454351472</v>
      </c>
    </row>
    <row r="46" spans="1:8" x14ac:dyDescent="0.25">
      <c r="A46" s="34"/>
      <c r="B46" s="25" t="s">
        <v>241</v>
      </c>
      <c r="C46" s="82" t="s">
        <v>241</v>
      </c>
      <c r="D46" s="82" t="s">
        <v>241</v>
      </c>
      <c r="E46" s="82" t="s">
        <v>241</v>
      </c>
      <c r="F46" s="27"/>
      <c r="G46" s="28" t="s">
        <v>241</v>
      </c>
      <c r="H46" s="29" t="s">
        <v>241</v>
      </c>
    </row>
    <row r="47" spans="1:8" x14ac:dyDescent="0.25">
      <c r="A47" s="30" t="s">
        <v>190</v>
      </c>
      <c r="B47" s="31" t="s">
        <v>3</v>
      </c>
      <c r="C47" s="80">
        <v>86.685713366000002</v>
      </c>
      <c r="D47" s="80">
        <v>146.905877734</v>
      </c>
      <c r="E47" s="83">
        <v>87.990470318000007</v>
      </c>
      <c r="F47" s="22" t="s">
        <v>241</v>
      </c>
      <c r="G47" s="23">
        <v>1.5051580027854499</v>
      </c>
      <c r="H47" s="24">
        <v>-40.104186656627263</v>
      </c>
    </row>
    <row r="48" spans="1:8" x14ac:dyDescent="0.25">
      <c r="A48" s="30"/>
      <c r="B48" s="25" t="s">
        <v>241</v>
      </c>
      <c r="C48" s="82" t="s">
        <v>241</v>
      </c>
      <c r="D48" s="82" t="s">
        <v>241</v>
      </c>
      <c r="E48" s="82" t="s">
        <v>241</v>
      </c>
      <c r="F48" s="27"/>
      <c r="G48" s="38" t="s">
        <v>241</v>
      </c>
      <c r="H48" s="24" t="s">
        <v>241</v>
      </c>
    </row>
    <row r="49" spans="1:8" x14ac:dyDescent="0.25">
      <c r="A49" s="39" t="s">
        <v>12</v>
      </c>
      <c r="B49" s="31" t="s">
        <v>3</v>
      </c>
      <c r="C49" s="80">
        <v>0.81083148599999999</v>
      </c>
      <c r="D49" s="80">
        <v>0.53863706099999997</v>
      </c>
      <c r="E49" s="83">
        <v>0.399393104</v>
      </c>
      <c r="F49" s="22" t="s">
        <v>241</v>
      </c>
      <c r="G49" s="37">
        <v>-50.74277320306232</v>
      </c>
      <c r="H49" s="33">
        <v>-25.85116529885417</v>
      </c>
    </row>
    <row r="50" spans="1:8" x14ac:dyDescent="0.25">
      <c r="A50" s="34"/>
      <c r="B50" s="25" t="s">
        <v>241</v>
      </c>
      <c r="C50" s="82" t="s">
        <v>241</v>
      </c>
      <c r="D50" s="82" t="s">
        <v>241</v>
      </c>
      <c r="E50" s="82" t="s">
        <v>241</v>
      </c>
      <c r="F50" s="27"/>
      <c r="G50" s="28" t="s">
        <v>241</v>
      </c>
      <c r="H50" s="29" t="s">
        <v>241</v>
      </c>
    </row>
    <row r="51" spans="1:8" x14ac:dyDescent="0.25">
      <c r="A51" s="39" t="s">
        <v>23</v>
      </c>
      <c r="B51" s="31" t="s">
        <v>3</v>
      </c>
      <c r="C51" s="80">
        <v>36.339093022</v>
      </c>
      <c r="D51" s="80">
        <v>44.321216325999998</v>
      </c>
      <c r="E51" s="83">
        <v>49.364097039999997</v>
      </c>
      <c r="F51" s="22" t="s">
        <v>241</v>
      </c>
      <c r="G51" s="23">
        <v>35.842952960093271</v>
      </c>
      <c r="H51" s="24">
        <v>11.378028700538408</v>
      </c>
    </row>
    <row r="52" spans="1:8" x14ac:dyDescent="0.25">
      <c r="A52" s="34"/>
      <c r="B52" s="25" t="s">
        <v>241</v>
      </c>
      <c r="C52" s="82" t="s">
        <v>241</v>
      </c>
      <c r="D52" s="82" t="s">
        <v>241</v>
      </c>
      <c r="E52" s="82" t="s">
        <v>241</v>
      </c>
      <c r="F52" s="27"/>
      <c r="G52" s="28" t="s">
        <v>241</v>
      </c>
      <c r="H52" s="29" t="s">
        <v>241</v>
      </c>
    </row>
    <row r="53" spans="1:8" x14ac:dyDescent="0.25">
      <c r="A53" s="30" t="s">
        <v>24</v>
      </c>
      <c r="B53" s="31" t="s">
        <v>3</v>
      </c>
      <c r="C53" s="80">
        <v>24.910723111999999</v>
      </c>
      <c r="D53" s="80">
        <v>32.094410214</v>
      </c>
      <c r="E53" s="83">
        <v>24.248135826999999</v>
      </c>
      <c r="F53" s="22" t="s">
        <v>241</v>
      </c>
      <c r="G53" s="23">
        <v>-2.6598476568543248</v>
      </c>
      <c r="H53" s="24">
        <v>-24.447479591250925</v>
      </c>
    </row>
    <row r="54" spans="1:8" ht="13.8" thickBot="1" x14ac:dyDescent="0.3">
      <c r="A54" s="41"/>
      <c r="B54" s="42" t="s">
        <v>241</v>
      </c>
      <c r="C54" s="86" t="s">
        <v>241</v>
      </c>
      <c r="D54" s="86" t="s">
        <v>241</v>
      </c>
      <c r="E54" s="86" t="s">
        <v>241</v>
      </c>
      <c r="F54" s="44"/>
      <c r="G54" s="45" t="s">
        <v>241</v>
      </c>
      <c r="H54" s="46" t="s">
        <v>241</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H61" s="193">
        <v>16</v>
      </c>
    </row>
    <row r="62" spans="1:8" ht="12.75" customHeight="1" x14ac:dyDescent="0.25">
      <c r="A62" s="54" t="s">
        <v>243</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164</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166</v>
      </c>
      <c r="B7" s="19" t="s">
        <v>3</v>
      </c>
      <c r="C7" s="20">
        <v>46146</v>
      </c>
      <c r="D7" s="20">
        <v>42956.936227273</v>
      </c>
      <c r="E7" s="79">
        <v>40113.599095906997</v>
      </c>
      <c r="F7" s="22" t="s">
        <v>241</v>
      </c>
      <c r="G7" s="23">
        <v>-13.072424270994247</v>
      </c>
      <c r="H7" s="24">
        <v>-6.6190407908113116</v>
      </c>
    </row>
    <row r="8" spans="1:8" x14ac:dyDescent="0.25">
      <c r="A8" s="199"/>
      <c r="B8" s="25" t="s">
        <v>241</v>
      </c>
      <c r="C8" s="26" t="s">
        <v>241</v>
      </c>
      <c r="D8" s="26" t="s">
        <v>241</v>
      </c>
      <c r="E8" s="26" t="s">
        <v>241</v>
      </c>
      <c r="F8" s="27"/>
      <c r="G8" s="28" t="s">
        <v>241</v>
      </c>
      <c r="H8" s="29" t="s">
        <v>241</v>
      </c>
    </row>
    <row r="9" spans="1:8" x14ac:dyDescent="0.25">
      <c r="A9" s="30" t="s">
        <v>18</v>
      </c>
      <c r="B9" s="31" t="s">
        <v>3</v>
      </c>
      <c r="C9" s="20">
        <v>7893</v>
      </c>
      <c r="D9" s="20">
        <v>6046.3249999999998</v>
      </c>
      <c r="E9" s="36">
        <v>4773.6505913069996</v>
      </c>
      <c r="F9" s="22" t="s">
        <v>241</v>
      </c>
      <c r="G9" s="32">
        <v>-39.520453676586854</v>
      </c>
      <c r="H9" s="33">
        <v>-21.048726436190577</v>
      </c>
    </row>
    <row r="10" spans="1:8" x14ac:dyDescent="0.25">
      <c r="A10" s="34"/>
      <c r="B10" s="25" t="s">
        <v>241</v>
      </c>
      <c r="C10" s="26" t="s">
        <v>241</v>
      </c>
      <c r="D10" s="26" t="s">
        <v>241</v>
      </c>
      <c r="E10" s="26" t="s">
        <v>241</v>
      </c>
      <c r="F10" s="27"/>
      <c r="G10" s="35" t="s">
        <v>241</v>
      </c>
      <c r="H10" s="29" t="s">
        <v>241</v>
      </c>
    </row>
    <row r="11" spans="1:8" x14ac:dyDescent="0.25">
      <c r="A11" s="30" t="s">
        <v>19</v>
      </c>
      <c r="B11" s="31" t="s">
        <v>3</v>
      </c>
      <c r="C11" s="20">
        <v>19070</v>
      </c>
      <c r="D11" s="20">
        <v>18245.972727273002</v>
      </c>
      <c r="E11" s="36">
        <v>18400.492844278</v>
      </c>
      <c r="F11" s="22" t="s">
        <v>241</v>
      </c>
      <c r="G11" s="37">
        <v>-3.5107873923544872</v>
      </c>
      <c r="H11" s="33">
        <v>0.84687245407329215</v>
      </c>
    </row>
    <row r="12" spans="1:8" x14ac:dyDescent="0.25">
      <c r="A12" s="34"/>
      <c r="B12" s="25" t="s">
        <v>241</v>
      </c>
      <c r="C12" s="26" t="s">
        <v>241</v>
      </c>
      <c r="D12" s="26" t="s">
        <v>241</v>
      </c>
      <c r="E12" s="26" t="s">
        <v>241</v>
      </c>
      <c r="F12" s="27"/>
      <c r="G12" s="28" t="s">
        <v>241</v>
      </c>
      <c r="H12" s="29" t="s">
        <v>241</v>
      </c>
    </row>
    <row r="13" spans="1:8" x14ac:dyDescent="0.25">
      <c r="A13" s="30" t="s">
        <v>20</v>
      </c>
      <c r="B13" s="31" t="s">
        <v>3</v>
      </c>
      <c r="C13" s="20">
        <v>3868</v>
      </c>
      <c r="D13" s="20">
        <v>3402.9949999999999</v>
      </c>
      <c r="E13" s="36">
        <v>2924.9903547839999</v>
      </c>
      <c r="F13" s="22" t="s">
        <v>241</v>
      </c>
      <c r="G13" s="23">
        <v>-24.37977366122027</v>
      </c>
      <c r="H13" s="24">
        <v>-14.046586763013167</v>
      </c>
    </row>
    <row r="14" spans="1:8" x14ac:dyDescent="0.25">
      <c r="A14" s="34"/>
      <c r="B14" s="25" t="s">
        <v>241</v>
      </c>
      <c r="C14" s="26" t="s">
        <v>241</v>
      </c>
      <c r="D14" s="26" t="s">
        <v>241</v>
      </c>
      <c r="E14" s="26" t="s">
        <v>241</v>
      </c>
      <c r="F14" s="27"/>
      <c r="G14" s="38" t="s">
        <v>241</v>
      </c>
      <c r="H14" s="24" t="s">
        <v>241</v>
      </c>
    </row>
    <row r="15" spans="1:8" x14ac:dyDescent="0.25">
      <c r="A15" s="30" t="s">
        <v>21</v>
      </c>
      <c r="B15" s="31" t="s">
        <v>3</v>
      </c>
      <c r="C15" s="20">
        <v>1235</v>
      </c>
      <c r="D15" s="20">
        <v>1193.9949999999999</v>
      </c>
      <c r="E15" s="36">
        <v>1181.9903547839999</v>
      </c>
      <c r="F15" s="22" t="s">
        <v>241</v>
      </c>
      <c r="G15" s="37">
        <v>-4.292278964858312</v>
      </c>
      <c r="H15" s="33">
        <v>-1.0054183824890259</v>
      </c>
    </row>
    <row r="16" spans="1:8" x14ac:dyDescent="0.25">
      <c r="A16" s="34"/>
      <c r="B16" s="25" t="s">
        <v>241</v>
      </c>
      <c r="C16" s="26" t="s">
        <v>241</v>
      </c>
      <c r="D16" s="26" t="s">
        <v>241</v>
      </c>
      <c r="E16" s="26" t="s">
        <v>241</v>
      </c>
      <c r="F16" s="27"/>
      <c r="G16" s="28" t="s">
        <v>241</v>
      </c>
      <c r="H16" s="29" t="s">
        <v>241</v>
      </c>
    </row>
    <row r="17" spans="1:8" x14ac:dyDescent="0.25">
      <c r="A17" s="30" t="s">
        <v>190</v>
      </c>
      <c r="B17" s="31" t="s">
        <v>3</v>
      </c>
      <c r="C17" s="20">
        <v>7513</v>
      </c>
      <c r="D17" s="20">
        <v>8019.3249999999998</v>
      </c>
      <c r="E17" s="36">
        <v>7974.6505913069996</v>
      </c>
      <c r="F17" s="22" t="s">
        <v>241</v>
      </c>
      <c r="G17" s="37">
        <v>6.144690420697458</v>
      </c>
      <c r="H17" s="33">
        <v>-0.55708440165474826</v>
      </c>
    </row>
    <row r="18" spans="1:8" x14ac:dyDescent="0.25">
      <c r="A18" s="34"/>
      <c r="B18" s="25" t="s">
        <v>241</v>
      </c>
      <c r="C18" s="26" t="s">
        <v>241</v>
      </c>
      <c r="D18" s="26" t="s">
        <v>241</v>
      </c>
      <c r="E18" s="26" t="s">
        <v>241</v>
      </c>
      <c r="F18" s="27"/>
      <c r="G18" s="28" t="s">
        <v>241</v>
      </c>
      <c r="H18" s="29" t="s">
        <v>241</v>
      </c>
    </row>
    <row r="19" spans="1:8" x14ac:dyDescent="0.25">
      <c r="A19" s="39" t="s">
        <v>12</v>
      </c>
      <c r="B19" s="31" t="s">
        <v>3</v>
      </c>
      <c r="C19" s="20">
        <v>740</v>
      </c>
      <c r="D19" s="20">
        <v>615.995</v>
      </c>
      <c r="E19" s="36">
        <v>495.99035478399998</v>
      </c>
      <c r="F19" s="22" t="s">
        <v>241</v>
      </c>
      <c r="G19" s="37">
        <v>-32.974276380540545</v>
      </c>
      <c r="H19" s="33">
        <v>-19.48143170253006</v>
      </c>
    </row>
    <row r="20" spans="1:8" x14ac:dyDescent="0.25">
      <c r="A20" s="34"/>
      <c r="B20" s="25" t="s">
        <v>241</v>
      </c>
      <c r="C20" s="26" t="s">
        <v>241</v>
      </c>
      <c r="D20" s="26" t="s">
        <v>241</v>
      </c>
      <c r="E20" s="26" t="s">
        <v>241</v>
      </c>
      <c r="F20" s="27"/>
      <c r="G20" s="28" t="s">
        <v>241</v>
      </c>
      <c r="H20" s="29" t="s">
        <v>241</v>
      </c>
    </row>
    <row r="21" spans="1:8" x14ac:dyDescent="0.25">
      <c r="A21" s="39" t="s">
        <v>23</v>
      </c>
      <c r="B21" s="31" t="s">
        <v>3</v>
      </c>
      <c r="C21" s="20">
        <v>1003</v>
      </c>
      <c r="D21" s="20">
        <v>924.33</v>
      </c>
      <c r="E21" s="36">
        <v>580.66023652299998</v>
      </c>
      <c r="F21" s="22" t="s">
        <v>241</v>
      </c>
      <c r="G21" s="23">
        <v>-42.10765338753739</v>
      </c>
      <c r="H21" s="24">
        <v>-37.180418625058152</v>
      </c>
    </row>
    <row r="22" spans="1:8" x14ac:dyDescent="0.25">
      <c r="A22" s="34"/>
      <c r="B22" s="25" t="s">
        <v>241</v>
      </c>
      <c r="C22" s="26" t="s">
        <v>241</v>
      </c>
      <c r="D22" s="26" t="s">
        <v>241</v>
      </c>
      <c r="E22" s="26" t="s">
        <v>241</v>
      </c>
      <c r="F22" s="27"/>
      <c r="G22" s="38" t="s">
        <v>241</v>
      </c>
      <c r="H22" s="24" t="s">
        <v>241</v>
      </c>
    </row>
    <row r="23" spans="1:8" x14ac:dyDescent="0.25">
      <c r="A23" s="30" t="s">
        <v>24</v>
      </c>
      <c r="B23" s="31" t="s">
        <v>3</v>
      </c>
      <c r="C23" s="20">
        <v>5892</v>
      </c>
      <c r="D23" s="20">
        <v>5593.9984999999997</v>
      </c>
      <c r="E23" s="36">
        <v>5128.9971064350002</v>
      </c>
      <c r="F23" s="22" t="s">
        <v>241</v>
      </c>
      <c r="G23" s="37">
        <v>-12.949811499745408</v>
      </c>
      <c r="H23" s="33">
        <v>-8.3125047953623721</v>
      </c>
    </row>
    <row r="24" spans="1:8" ht="13.8" thickBot="1" x14ac:dyDescent="0.3">
      <c r="A24" s="41"/>
      <c r="B24" s="42" t="s">
        <v>241</v>
      </c>
      <c r="C24" s="43" t="s">
        <v>241</v>
      </c>
      <c r="D24" s="43" t="s">
        <v>241</v>
      </c>
      <c r="E24" s="43" t="s">
        <v>241</v>
      </c>
      <c r="F24" s="44"/>
      <c r="G24" s="45" t="s">
        <v>241</v>
      </c>
      <c r="H24" s="46" t="s">
        <v>241</v>
      </c>
    </row>
    <row r="29" spans="1:8" x14ac:dyDescent="0.25">
      <c r="A29" s="58"/>
      <c r="B29" s="58"/>
      <c r="C29" s="21"/>
      <c r="D29" s="21"/>
      <c r="E29" s="21"/>
      <c r="F29" s="59"/>
      <c r="G29" s="38"/>
      <c r="H29" s="60"/>
    </row>
    <row r="30" spans="1:8" x14ac:dyDescent="0.25">
      <c r="A30" s="58"/>
      <c r="B30" s="62"/>
      <c r="C30" s="21"/>
      <c r="D30" s="21"/>
      <c r="E30" s="21"/>
      <c r="F30" s="63"/>
      <c r="G30" s="38"/>
      <c r="H30" s="60"/>
    </row>
    <row r="31" spans="1:8" x14ac:dyDescent="0.25">
      <c r="A31" s="47"/>
      <c r="B31" s="48"/>
      <c r="C31" s="49"/>
      <c r="D31" s="55"/>
      <c r="E31" s="49"/>
      <c r="F31" s="49"/>
      <c r="G31" s="50"/>
      <c r="H31" s="51"/>
    </row>
    <row r="32" spans="1:8" ht="16.2" thickBot="1" x14ac:dyDescent="0.35">
      <c r="A32" s="4" t="s">
        <v>165</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166</v>
      </c>
      <c r="B35" s="19" t="s">
        <v>3</v>
      </c>
      <c r="C35" s="80">
        <v>5057.4810805440002</v>
      </c>
      <c r="D35" s="80">
        <v>5832.965228219</v>
      </c>
      <c r="E35" s="81">
        <v>5391.969568126</v>
      </c>
      <c r="F35" s="22" t="s">
        <v>241</v>
      </c>
      <c r="G35" s="23">
        <v>6.6137368040538576</v>
      </c>
      <c r="H35" s="24">
        <v>-7.5604026912337758</v>
      </c>
    </row>
    <row r="36" spans="1:8" ht="12.75" customHeight="1" x14ac:dyDescent="0.25">
      <c r="A36" s="199"/>
      <c r="B36" s="25" t="s">
        <v>241</v>
      </c>
      <c r="C36" s="82" t="s">
        <v>241</v>
      </c>
      <c r="D36" s="82" t="s">
        <v>241</v>
      </c>
      <c r="E36" s="82" t="s">
        <v>241</v>
      </c>
      <c r="F36" s="27"/>
      <c r="G36" s="28" t="s">
        <v>241</v>
      </c>
      <c r="H36" s="29" t="s">
        <v>241</v>
      </c>
    </row>
    <row r="37" spans="1:8" x14ac:dyDescent="0.25">
      <c r="A37" s="30" t="s">
        <v>18</v>
      </c>
      <c r="B37" s="31" t="s">
        <v>3</v>
      </c>
      <c r="C37" s="80">
        <v>2179.6074804599998</v>
      </c>
      <c r="D37" s="80">
        <v>2688.5944829650002</v>
      </c>
      <c r="E37" s="83">
        <v>2389.417706966</v>
      </c>
      <c r="F37" s="22" t="s">
        <v>241</v>
      </c>
      <c r="G37" s="32">
        <v>9.626055534628648</v>
      </c>
      <c r="H37" s="33">
        <v>-11.127627386524509</v>
      </c>
    </row>
    <row r="38" spans="1:8" x14ac:dyDescent="0.25">
      <c r="A38" s="34"/>
      <c r="B38" s="25" t="s">
        <v>241</v>
      </c>
      <c r="C38" s="82" t="s">
        <v>241</v>
      </c>
      <c r="D38" s="82" t="s">
        <v>241</v>
      </c>
      <c r="E38" s="82" t="s">
        <v>241</v>
      </c>
      <c r="F38" s="27"/>
      <c r="G38" s="35" t="s">
        <v>241</v>
      </c>
      <c r="H38" s="29" t="s">
        <v>241</v>
      </c>
    </row>
    <row r="39" spans="1:8" x14ac:dyDescent="0.25">
      <c r="A39" s="30" t="s">
        <v>19</v>
      </c>
      <c r="B39" s="31" t="s">
        <v>3</v>
      </c>
      <c r="C39" s="80">
        <v>1448.913621082</v>
      </c>
      <c r="D39" s="80">
        <v>1471.397036653</v>
      </c>
      <c r="E39" s="83">
        <v>1446.6180713900001</v>
      </c>
      <c r="F39" s="22" t="s">
        <v>241</v>
      </c>
      <c r="G39" s="37">
        <v>-0.15843247372370683</v>
      </c>
      <c r="H39" s="33">
        <v>-1.6840434393809147</v>
      </c>
    </row>
    <row r="40" spans="1:8" x14ac:dyDescent="0.25">
      <c r="A40" s="34"/>
      <c r="B40" s="25" t="s">
        <v>241</v>
      </c>
      <c r="C40" s="82" t="s">
        <v>241</v>
      </c>
      <c r="D40" s="82" t="s">
        <v>241</v>
      </c>
      <c r="E40" s="82" t="s">
        <v>241</v>
      </c>
      <c r="F40" s="27"/>
      <c r="G40" s="28" t="s">
        <v>241</v>
      </c>
      <c r="H40" s="29" t="s">
        <v>241</v>
      </c>
    </row>
    <row r="41" spans="1:8" x14ac:dyDescent="0.25">
      <c r="A41" s="30" t="s">
        <v>20</v>
      </c>
      <c r="B41" s="31" t="s">
        <v>3</v>
      </c>
      <c r="C41" s="80">
        <v>199.47013567600001</v>
      </c>
      <c r="D41" s="80">
        <v>165.40193741499999</v>
      </c>
      <c r="E41" s="83">
        <v>154.991751193</v>
      </c>
      <c r="F41" s="22" t="s">
        <v>241</v>
      </c>
      <c r="G41" s="23">
        <v>-22.298267523739185</v>
      </c>
      <c r="H41" s="24">
        <v>-6.2938719973275994</v>
      </c>
    </row>
    <row r="42" spans="1:8" x14ac:dyDescent="0.25">
      <c r="A42" s="34"/>
      <c r="B42" s="25" t="s">
        <v>241</v>
      </c>
      <c r="C42" s="82" t="s">
        <v>241</v>
      </c>
      <c r="D42" s="82" t="s">
        <v>241</v>
      </c>
      <c r="E42" s="82" t="s">
        <v>241</v>
      </c>
      <c r="F42" s="27"/>
      <c r="G42" s="38" t="s">
        <v>241</v>
      </c>
      <c r="H42" s="24" t="s">
        <v>241</v>
      </c>
    </row>
    <row r="43" spans="1:8" x14ac:dyDescent="0.25">
      <c r="A43" s="30" t="s">
        <v>21</v>
      </c>
      <c r="B43" s="31" t="s">
        <v>3</v>
      </c>
      <c r="C43" s="80">
        <v>16.128485692000002</v>
      </c>
      <c r="D43" s="80">
        <v>15.654153259999999</v>
      </c>
      <c r="E43" s="83">
        <v>24.551870165</v>
      </c>
      <c r="F43" s="22" t="s">
        <v>241</v>
      </c>
      <c r="G43" s="37">
        <v>52.22675354561116</v>
      </c>
      <c r="H43" s="33">
        <v>56.839336866183203</v>
      </c>
    </row>
    <row r="44" spans="1:8" x14ac:dyDescent="0.25">
      <c r="A44" s="34"/>
      <c r="B44" s="25" t="s">
        <v>241</v>
      </c>
      <c r="C44" s="82" t="s">
        <v>241</v>
      </c>
      <c r="D44" s="82" t="s">
        <v>241</v>
      </c>
      <c r="E44" s="82" t="s">
        <v>241</v>
      </c>
      <c r="F44" s="27"/>
      <c r="G44" s="28" t="s">
        <v>241</v>
      </c>
      <c r="H44" s="29" t="s">
        <v>241</v>
      </c>
    </row>
    <row r="45" spans="1:8" x14ac:dyDescent="0.25">
      <c r="A45" s="30" t="s">
        <v>190</v>
      </c>
      <c r="B45" s="31" t="s">
        <v>3</v>
      </c>
      <c r="C45" s="80">
        <v>637.38066514699995</v>
      </c>
      <c r="D45" s="80">
        <v>583.87298741400002</v>
      </c>
      <c r="E45" s="83">
        <v>509.62744555799998</v>
      </c>
      <c r="F45" s="22" t="s">
        <v>241</v>
      </c>
      <c r="G45" s="37">
        <v>-20.043472696106349</v>
      </c>
      <c r="H45" s="33">
        <v>-12.716043293051953</v>
      </c>
    </row>
    <row r="46" spans="1:8" x14ac:dyDescent="0.25">
      <c r="A46" s="34"/>
      <c r="B46" s="25" t="s">
        <v>241</v>
      </c>
      <c r="C46" s="82" t="s">
        <v>241</v>
      </c>
      <c r="D46" s="82" t="s">
        <v>241</v>
      </c>
      <c r="E46" s="82" t="s">
        <v>241</v>
      </c>
      <c r="F46" s="27"/>
      <c r="G46" s="28" t="s">
        <v>241</v>
      </c>
      <c r="H46" s="29" t="s">
        <v>241</v>
      </c>
    </row>
    <row r="47" spans="1:8" x14ac:dyDescent="0.25">
      <c r="A47" s="39" t="s">
        <v>12</v>
      </c>
      <c r="B47" s="31" t="s">
        <v>3</v>
      </c>
      <c r="C47" s="80">
        <v>32.125484286000002</v>
      </c>
      <c r="D47" s="80">
        <v>29.310601472999998</v>
      </c>
      <c r="E47" s="83">
        <v>13.515949715</v>
      </c>
      <c r="F47" s="22" t="s">
        <v>241</v>
      </c>
      <c r="G47" s="37">
        <v>-57.927639021180049</v>
      </c>
      <c r="H47" s="33">
        <v>-53.88716356622546</v>
      </c>
    </row>
    <row r="48" spans="1:8" x14ac:dyDescent="0.25">
      <c r="A48" s="34"/>
      <c r="B48" s="25" t="s">
        <v>241</v>
      </c>
      <c r="C48" s="82" t="s">
        <v>241</v>
      </c>
      <c r="D48" s="82" t="s">
        <v>241</v>
      </c>
      <c r="E48" s="82" t="s">
        <v>241</v>
      </c>
      <c r="F48" s="27"/>
      <c r="G48" s="28" t="s">
        <v>241</v>
      </c>
      <c r="H48" s="29" t="s">
        <v>241</v>
      </c>
    </row>
    <row r="49" spans="1:8" x14ac:dyDescent="0.25">
      <c r="A49" s="39" t="s">
        <v>23</v>
      </c>
      <c r="B49" s="31" t="s">
        <v>3</v>
      </c>
      <c r="C49" s="80">
        <v>33.162352259999999</v>
      </c>
      <c r="D49" s="80">
        <v>29.976083490000001</v>
      </c>
      <c r="E49" s="83">
        <v>18.271812063999999</v>
      </c>
      <c r="F49" s="22" t="s">
        <v>241</v>
      </c>
      <c r="G49" s="23">
        <v>-44.901942055421614</v>
      </c>
      <c r="H49" s="24">
        <v>-39.045365715986669</v>
      </c>
    </row>
    <row r="50" spans="1:8" x14ac:dyDescent="0.25">
      <c r="A50" s="34"/>
      <c r="B50" s="25" t="s">
        <v>241</v>
      </c>
      <c r="C50" s="82" t="s">
        <v>241</v>
      </c>
      <c r="D50" s="82" t="s">
        <v>241</v>
      </c>
      <c r="E50" s="82" t="s">
        <v>241</v>
      </c>
      <c r="F50" s="27"/>
      <c r="G50" s="38" t="s">
        <v>241</v>
      </c>
      <c r="H50" s="24" t="s">
        <v>241</v>
      </c>
    </row>
    <row r="51" spans="1:8" x14ac:dyDescent="0.25">
      <c r="A51" s="30" t="s">
        <v>24</v>
      </c>
      <c r="B51" s="31" t="s">
        <v>3</v>
      </c>
      <c r="C51" s="80">
        <v>510.69285594000002</v>
      </c>
      <c r="D51" s="80">
        <v>848.75794555000004</v>
      </c>
      <c r="E51" s="83">
        <v>834.974961076</v>
      </c>
      <c r="F51" s="22" t="s">
        <v>241</v>
      </c>
      <c r="G51" s="37">
        <v>63.498461230501164</v>
      </c>
      <c r="H51" s="33">
        <v>-1.6239004943946185</v>
      </c>
    </row>
    <row r="52" spans="1:8" ht="13.8" thickBot="1" x14ac:dyDescent="0.3">
      <c r="A52" s="41"/>
      <c r="B52" s="42" t="s">
        <v>241</v>
      </c>
      <c r="C52" s="86" t="s">
        <v>241</v>
      </c>
      <c r="D52" s="86" t="s">
        <v>241</v>
      </c>
      <c r="E52" s="86" t="s">
        <v>241</v>
      </c>
      <c r="F52" s="44"/>
      <c r="G52" s="45" t="s">
        <v>241</v>
      </c>
      <c r="H52" s="46" t="s">
        <v>241</v>
      </c>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G61" s="53"/>
      <c r="H61" s="201">
        <v>17</v>
      </c>
    </row>
    <row r="62" spans="1:8" ht="12.75" customHeight="1" x14ac:dyDescent="0.25">
      <c r="A62" s="54" t="s">
        <v>243</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2" t="s">
        <v>0</v>
      </c>
      <c r="B2" s="2"/>
      <c r="C2" s="2"/>
      <c r="D2" s="2"/>
      <c r="E2" s="2"/>
      <c r="F2" s="2"/>
      <c r="G2" s="2"/>
    </row>
    <row r="3" spans="1:9" ht="6" customHeight="1" x14ac:dyDescent="0.25">
      <c r="A3" s="3"/>
      <c r="B3" s="2"/>
      <c r="C3" s="2"/>
      <c r="D3" s="2"/>
      <c r="E3" s="2"/>
      <c r="F3" s="2"/>
      <c r="G3" s="2"/>
    </row>
    <row r="4" spans="1:9" ht="16.2" thickBot="1" x14ac:dyDescent="0.35">
      <c r="A4" s="4" t="s">
        <v>152</v>
      </c>
      <c r="B4" s="5"/>
      <c r="C4" s="5"/>
      <c r="D4" s="5"/>
      <c r="E4" s="5"/>
      <c r="F4" s="5"/>
      <c r="G4" s="5"/>
      <c r="H4" s="6"/>
    </row>
    <row r="5" spans="1:9" x14ac:dyDescent="0.25">
      <c r="A5" s="7"/>
      <c r="B5" s="8"/>
      <c r="C5" s="9"/>
      <c r="D5" s="8"/>
      <c r="E5" s="10"/>
      <c r="F5" s="11"/>
      <c r="G5" s="196" t="s">
        <v>1</v>
      </c>
      <c r="H5" s="197"/>
    </row>
    <row r="6" spans="1:9" x14ac:dyDescent="0.25">
      <c r="A6" s="12"/>
      <c r="B6" s="13"/>
      <c r="C6" s="14" t="s">
        <v>236</v>
      </c>
      <c r="D6" s="15" t="s">
        <v>237</v>
      </c>
      <c r="E6" s="15" t="s">
        <v>238</v>
      </c>
      <c r="F6" s="16"/>
      <c r="G6" s="17" t="s">
        <v>239</v>
      </c>
      <c r="H6" s="18" t="s">
        <v>240</v>
      </c>
    </row>
    <row r="7" spans="1:9" x14ac:dyDescent="0.25">
      <c r="A7" s="198" t="s">
        <v>58</v>
      </c>
      <c r="B7" s="19" t="s">
        <v>3</v>
      </c>
      <c r="C7" s="20">
        <v>9129</v>
      </c>
      <c r="D7" s="20">
        <v>9685</v>
      </c>
      <c r="E7" s="79">
        <v>9463</v>
      </c>
      <c r="F7" s="22" t="s">
        <v>241</v>
      </c>
      <c r="G7" s="23">
        <v>3.6586701719794092</v>
      </c>
      <c r="H7" s="24">
        <v>-2.2922044398554533</v>
      </c>
    </row>
    <row r="8" spans="1:9" x14ac:dyDescent="0.25">
      <c r="A8" s="199"/>
      <c r="B8" s="25" t="s">
        <v>241</v>
      </c>
      <c r="C8" s="26" t="s">
        <v>241</v>
      </c>
      <c r="D8" s="26" t="s">
        <v>241</v>
      </c>
      <c r="E8" s="26" t="s">
        <v>241</v>
      </c>
      <c r="F8" s="27"/>
      <c r="G8" s="28" t="s">
        <v>241</v>
      </c>
      <c r="H8" s="29" t="s">
        <v>241</v>
      </c>
    </row>
    <row r="9" spans="1:9" x14ac:dyDescent="0.25">
      <c r="A9" s="30" t="s">
        <v>9</v>
      </c>
      <c r="B9" s="31" t="s">
        <v>3</v>
      </c>
      <c r="C9" s="20">
        <v>8389</v>
      </c>
      <c r="D9" s="20">
        <v>8938</v>
      </c>
      <c r="E9" s="21">
        <v>8892</v>
      </c>
      <c r="F9" s="22" t="s">
        <v>241</v>
      </c>
      <c r="G9" s="32">
        <v>5.9959470735486917</v>
      </c>
      <c r="H9" s="33">
        <v>-0.51465652271201634</v>
      </c>
    </row>
    <row r="10" spans="1:9" x14ac:dyDescent="0.25">
      <c r="A10" s="34"/>
      <c r="B10" s="25" t="s">
        <v>241</v>
      </c>
      <c r="C10" s="26" t="s">
        <v>241</v>
      </c>
      <c r="D10" s="26" t="s">
        <v>241</v>
      </c>
      <c r="E10" s="26" t="s">
        <v>241</v>
      </c>
      <c r="F10" s="27"/>
      <c r="G10" s="35" t="s">
        <v>241</v>
      </c>
      <c r="H10" s="29" t="s">
        <v>241</v>
      </c>
    </row>
    <row r="11" spans="1:9" x14ac:dyDescent="0.25">
      <c r="A11" s="30" t="s">
        <v>46</v>
      </c>
      <c r="B11" s="31" t="s">
        <v>3</v>
      </c>
      <c r="C11" s="20">
        <v>742</v>
      </c>
      <c r="D11" s="20">
        <v>751</v>
      </c>
      <c r="E11" s="21">
        <v>536</v>
      </c>
      <c r="F11" s="22" t="s">
        <v>241</v>
      </c>
      <c r="G11" s="37">
        <v>-27.762803234501348</v>
      </c>
      <c r="H11" s="33">
        <v>-28.628495339547271</v>
      </c>
    </row>
    <row r="12" spans="1:9" ht="13.8" thickBot="1" x14ac:dyDescent="0.3">
      <c r="A12" s="56"/>
      <c r="B12" s="42" t="s">
        <v>241</v>
      </c>
      <c r="C12" s="43" t="s">
        <v>241</v>
      </c>
      <c r="D12" s="43" t="s">
        <v>241</v>
      </c>
      <c r="E12" s="43" t="s">
        <v>241</v>
      </c>
      <c r="F12" s="44"/>
      <c r="G12" s="57" t="s">
        <v>241</v>
      </c>
      <c r="H12" s="46" t="s">
        <v>241</v>
      </c>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59</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58</v>
      </c>
      <c r="B35" s="19" t="s">
        <v>3</v>
      </c>
      <c r="C35" s="80">
        <v>2434.703342413</v>
      </c>
      <c r="D35" s="80">
        <v>2427.3984782100001</v>
      </c>
      <c r="E35" s="81">
        <v>1966.977229306</v>
      </c>
      <c r="F35" s="22" t="s">
        <v>241</v>
      </c>
      <c r="G35" s="23">
        <v>-19.21080506849114</v>
      </c>
      <c r="H35" s="24">
        <v>-18.96768301690301</v>
      </c>
    </row>
    <row r="36" spans="1:9" ht="12.75" customHeight="1" x14ac:dyDescent="0.25">
      <c r="A36" s="199"/>
      <c r="B36" s="25" t="s">
        <v>241</v>
      </c>
      <c r="C36" s="82" t="s">
        <v>241</v>
      </c>
      <c r="D36" s="82" t="s">
        <v>241</v>
      </c>
      <c r="E36" s="82" t="s">
        <v>241</v>
      </c>
      <c r="F36" s="27"/>
      <c r="G36" s="28" t="s">
        <v>241</v>
      </c>
      <c r="H36" s="29" t="s">
        <v>241</v>
      </c>
    </row>
    <row r="37" spans="1:9" x14ac:dyDescent="0.25">
      <c r="A37" s="30" t="s">
        <v>9</v>
      </c>
      <c r="B37" s="31" t="s">
        <v>3</v>
      </c>
      <c r="C37" s="80">
        <v>1752.044536737</v>
      </c>
      <c r="D37" s="80">
        <v>1763.7225609120001</v>
      </c>
      <c r="E37" s="83">
        <v>1431.049438328</v>
      </c>
      <c r="F37" s="22" t="s">
        <v>241</v>
      </c>
      <c r="G37" s="32">
        <v>-18.321172303463243</v>
      </c>
      <c r="H37" s="33">
        <v>-18.861987137703721</v>
      </c>
    </row>
    <row r="38" spans="1:9" x14ac:dyDescent="0.25">
      <c r="A38" s="34"/>
      <c r="B38" s="25" t="s">
        <v>241</v>
      </c>
      <c r="C38" s="82" t="s">
        <v>241</v>
      </c>
      <c r="D38" s="82" t="s">
        <v>241</v>
      </c>
      <c r="E38" s="82" t="s">
        <v>241</v>
      </c>
      <c r="F38" s="27"/>
      <c r="G38" s="35" t="s">
        <v>241</v>
      </c>
      <c r="H38" s="29" t="s">
        <v>241</v>
      </c>
    </row>
    <row r="39" spans="1:9" x14ac:dyDescent="0.25">
      <c r="A39" s="30" t="s">
        <v>46</v>
      </c>
      <c r="B39" s="31" t="s">
        <v>3</v>
      </c>
      <c r="C39" s="80">
        <v>682.65880567600004</v>
      </c>
      <c r="D39" s="80">
        <v>663.67591729699996</v>
      </c>
      <c r="E39" s="83">
        <v>535.92779097799996</v>
      </c>
      <c r="F39" s="22" t="s">
        <v>241</v>
      </c>
      <c r="G39" s="37">
        <v>-21.494048487765468</v>
      </c>
      <c r="H39" s="33">
        <v>-19.248570422637741</v>
      </c>
    </row>
    <row r="40" spans="1:9" ht="13.8" thickBot="1" x14ac:dyDescent="0.3">
      <c r="A40" s="56"/>
      <c r="B40" s="42" t="s">
        <v>241</v>
      </c>
      <c r="C40" s="86" t="s">
        <v>241</v>
      </c>
      <c r="D40" s="86" t="s">
        <v>241</v>
      </c>
      <c r="E40" s="86" t="s">
        <v>241</v>
      </c>
      <c r="F40" s="44"/>
      <c r="G40" s="57" t="s">
        <v>241</v>
      </c>
      <c r="H40" s="46" t="s">
        <v>241</v>
      </c>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242</v>
      </c>
      <c r="H61" s="193">
        <v>18</v>
      </c>
    </row>
    <row r="62" spans="1:9" ht="12.75" customHeight="1" x14ac:dyDescent="0.25">
      <c r="A62" s="54" t="s">
        <v>243</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2" t="s">
        <v>0</v>
      </c>
      <c r="B2" s="2"/>
      <c r="C2" s="2"/>
      <c r="D2" s="2"/>
      <c r="E2" s="2"/>
      <c r="F2" s="2"/>
      <c r="G2" s="2"/>
    </row>
    <row r="3" spans="1:9" ht="6" customHeight="1" x14ac:dyDescent="0.25">
      <c r="A3" s="3"/>
      <c r="B3" s="2"/>
      <c r="C3" s="2"/>
      <c r="D3" s="2"/>
      <c r="E3" s="2"/>
      <c r="F3" s="2"/>
      <c r="G3" s="2"/>
    </row>
    <row r="4" spans="1:9" ht="16.2" thickBot="1" x14ac:dyDescent="0.35">
      <c r="A4" s="4" t="s">
        <v>153</v>
      </c>
      <c r="B4" s="5"/>
      <c r="C4" s="5"/>
      <c r="D4" s="5"/>
      <c r="E4" s="5"/>
      <c r="F4" s="5"/>
      <c r="G4" s="5"/>
      <c r="H4" s="6"/>
    </row>
    <row r="5" spans="1:9" x14ac:dyDescent="0.25">
      <c r="A5" s="7"/>
      <c r="B5" s="8"/>
      <c r="C5" s="9"/>
      <c r="D5" s="8"/>
      <c r="E5" s="10"/>
      <c r="F5" s="11"/>
      <c r="G5" s="196" t="s">
        <v>1</v>
      </c>
      <c r="H5" s="197"/>
    </row>
    <row r="6" spans="1:9" x14ac:dyDescent="0.25">
      <c r="A6" s="12"/>
      <c r="B6" s="13"/>
      <c r="C6" s="14" t="s">
        <v>236</v>
      </c>
      <c r="D6" s="15" t="s">
        <v>237</v>
      </c>
      <c r="E6" s="15" t="s">
        <v>238</v>
      </c>
      <c r="F6" s="16"/>
      <c r="G6" s="17" t="s">
        <v>239</v>
      </c>
      <c r="H6" s="18" t="s">
        <v>240</v>
      </c>
    </row>
    <row r="7" spans="1:9" x14ac:dyDescent="0.25">
      <c r="A7" s="198" t="s">
        <v>57</v>
      </c>
      <c r="B7" s="19" t="s">
        <v>3</v>
      </c>
      <c r="C7" s="20">
        <v>4549</v>
      </c>
      <c r="D7" s="20">
        <v>5158</v>
      </c>
      <c r="E7" s="79">
        <v>4979</v>
      </c>
      <c r="F7" s="22" t="s">
        <v>241</v>
      </c>
      <c r="G7" s="23">
        <v>9.4526269509782423</v>
      </c>
      <c r="H7" s="24">
        <v>-3.4703373400542858</v>
      </c>
    </row>
    <row r="8" spans="1:9" x14ac:dyDescent="0.25">
      <c r="A8" s="199"/>
      <c r="B8" s="25" t="s">
        <v>241</v>
      </c>
      <c r="C8" s="26" t="s">
        <v>241</v>
      </c>
      <c r="D8" s="26" t="s">
        <v>241</v>
      </c>
      <c r="E8" s="26" t="s">
        <v>241</v>
      </c>
      <c r="F8" s="27"/>
      <c r="G8" s="28" t="s">
        <v>241</v>
      </c>
      <c r="H8" s="29" t="s">
        <v>241</v>
      </c>
    </row>
    <row r="9" spans="1:9" x14ac:dyDescent="0.25">
      <c r="A9" s="30" t="s">
        <v>9</v>
      </c>
      <c r="B9" s="31" t="s">
        <v>3</v>
      </c>
      <c r="C9" s="20">
        <v>1754</v>
      </c>
      <c r="D9" s="20">
        <v>1817</v>
      </c>
      <c r="E9" s="21">
        <v>1520</v>
      </c>
      <c r="F9" s="22" t="s">
        <v>241</v>
      </c>
      <c r="G9" s="32">
        <v>-13.340935005701255</v>
      </c>
      <c r="H9" s="33">
        <v>-16.345624656026416</v>
      </c>
    </row>
    <row r="10" spans="1:9" x14ac:dyDescent="0.25">
      <c r="A10" s="34"/>
      <c r="B10" s="25" t="s">
        <v>241</v>
      </c>
      <c r="C10" s="26" t="s">
        <v>241</v>
      </c>
      <c r="D10" s="26" t="s">
        <v>241</v>
      </c>
      <c r="E10" s="26" t="s">
        <v>241</v>
      </c>
      <c r="F10" s="27"/>
      <c r="G10" s="35" t="s">
        <v>241</v>
      </c>
      <c r="H10" s="29" t="s">
        <v>241</v>
      </c>
    </row>
    <row r="11" spans="1:9" x14ac:dyDescent="0.25">
      <c r="A11" s="30" t="s">
        <v>46</v>
      </c>
      <c r="B11" s="31" t="s">
        <v>3</v>
      </c>
      <c r="C11" s="20">
        <v>1978</v>
      </c>
      <c r="D11" s="20">
        <v>2391</v>
      </c>
      <c r="E11" s="21">
        <v>2367</v>
      </c>
      <c r="F11" s="22" t="s">
        <v>241</v>
      </c>
      <c r="G11" s="37">
        <v>19.666329625884728</v>
      </c>
      <c r="H11" s="33">
        <v>-1.0037641154328725</v>
      </c>
    </row>
    <row r="12" spans="1:9" x14ac:dyDescent="0.25">
      <c r="A12" s="34"/>
      <c r="B12" s="25" t="s">
        <v>241</v>
      </c>
      <c r="C12" s="26" t="s">
        <v>241</v>
      </c>
      <c r="D12" s="26" t="s">
        <v>241</v>
      </c>
      <c r="E12" s="26" t="s">
        <v>241</v>
      </c>
      <c r="F12" s="27"/>
      <c r="G12" s="28" t="s">
        <v>241</v>
      </c>
      <c r="H12" s="29" t="s">
        <v>241</v>
      </c>
    </row>
    <row r="13" spans="1:9" x14ac:dyDescent="0.25">
      <c r="A13" s="30" t="s">
        <v>24</v>
      </c>
      <c r="B13" s="31" t="s">
        <v>3</v>
      </c>
      <c r="C13" s="20">
        <v>868</v>
      </c>
      <c r="D13" s="20">
        <v>1005</v>
      </c>
      <c r="E13" s="21">
        <v>1332</v>
      </c>
      <c r="F13" s="22" t="s">
        <v>241</v>
      </c>
      <c r="G13" s="23">
        <v>53.456221198156669</v>
      </c>
      <c r="H13" s="24">
        <v>32.537313432835816</v>
      </c>
    </row>
    <row r="14" spans="1:9" ht="13.8" thickBot="1" x14ac:dyDescent="0.3">
      <c r="A14" s="56"/>
      <c r="B14" s="42" t="s">
        <v>241</v>
      </c>
      <c r="C14" s="43" t="s">
        <v>241</v>
      </c>
      <c r="D14" s="43" t="s">
        <v>241</v>
      </c>
      <c r="E14" s="43" t="s">
        <v>241</v>
      </c>
      <c r="F14" s="44"/>
      <c r="G14" s="57" t="s">
        <v>241</v>
      </c>
      <c r="H14" s="46" t="s">
        <v>241</v>
      </c>
    </row>
    <row r="15" spans="1:9" x14ac:dyDescent="0.25">
      <c r="A15" s="58"/>
      <c r="B15" s="62"/>
      <c r="C15" s="21"/>
      <c r="D15" s="21"/>
      <c r="E15" s="21"/>
      <c r="F15" s="63"/>
      <c r="G15" s="38"/>
      <c r="H15" s="60"/>
      <c r="I15" s="61"/>
    </row>
    <row r="16" spans="1:9" x14ac:dyDescent="0.25">
      <c r="A16" s="58"/>
      <c r="B16" s="62"/>
      <c r="C16" s="21"/>
      <c r="D16" s="21"/>
      <c r="E16" s="21"/>
      <c r="F16" s="63"/>
      <c r="G16" s="38"/>
      <c r="H16" s="60"/>
      <c r="I16" s="61"/>
    </row>
    <row r="17" spans="1:9" x14ac:dyDescent="0.25">
      <c r="A17" s="58"/>
      <c r="B17" s="62"/>
      <c r="C17" s="21"/>
      <c r="D17" s="21"/>
      <c r="E17" s="21"/>
      <c r="F17" s="63"/>
      <c r="G17" s="38"/>
      <c r="H17" s="60"/>
      <c r="I17" s="61"/>
    </row>
    <row r="18" spans="1:9" x14ac:dyDescent="0.25">
      <c r="A18" s="58"/>
      <c r="B18" s="62"/>
      <c r="C18" s="21"/>
      <c r="D18" s="21"/>
      <c r="E18" s="21"/>
      <c r="F18" s="63"/>
      <c r="G18" s="38"/>
      <c r="H18" s="60"/>
      <c r="I18" s="61"/>
    </row>
    <row r="19" spans="1:9" x14ac:dyDescent="0.25">
      <c r="A19" s="58"/>
      <c r="B19" s="62"/>
      <c r="C19" s="21"/>
      <c r="D19" s="21"/>
      <c r="E19" s="21"/>
      <c r="F19" s="63"/>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66" t="s">
        <v>73</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57</v>
      </c>
      <c r="B35" s="19" t="s">
        <v>3</v>
      </c>
      <c r="C35" s="80">
        <v>1700.2929333249999</v>
      </c>
      <c r="D35" s="80">
        <v>1969.2178060450001</v>
      </c>
      <c r="E35" s="81">
        <v>1986.7947992970001</v>
      </c>
      <c r="F35" s="22" t="s">
        <v>241</v>
      </c>
      <c r="G35" s="23">
        <v>16.850147427933649</v>
      </c>
      <c r="H35" s="24">
        <v>0.8925875643640353</v>
      </c>
    </row>
    <row r="36" spans="1:9" ht="12.75" customHeight="1" x14ac:dyDescent="0.25">
      <c r="A36" s="199"/>
      <c r="B36" s="25" t="s">
        <v>241</v>
      </c>
      <c r="C36" s="82" t="s">
        <v>241</v>
      </c>
      <c r="D36" s="82" t="s">
        <v>241</v>
      </c>
      <c r="E36" s="82" t="s">
        <v>241</v>
      </c>
      <c r="F36" s="27"/>
      <c r="G36" s="28" t="s">
        <v>241</v>
      </c>
      <c r="H36" s="29" t="s">
        <v>241</v>
      </c>
    </row>
    <row r="37" spans="1:9" x14ac:dyDescent="0.25">
      <c r="A37" s="30" t="s">
        <v>9</v>
      </c>
      <c r="B37" s="31" t="s">
        <v>3</v>
      </c>
      <c r="C37" s="80">
        <v>413.05969491500002</v>
      </c>
      <c r="D37" s="80">
        <v>471.23420600200001</v>
      </c>
      <c r="E37" s="83">
        <v>465.374435898</v>
      </c>
      <c r="F37" s="22" t="s">
        <v>241</v>
      </c>
      <c r="G37" s="32">
        <v>12.665176880490691</v>
      </c>
      <c r="H37" s="33">
        <v>-1.2434942178147281</v>
      </c>
    </row>
    <row r="38" spans="1:9" x14ac:dyDescent="0.25">
      <c r="A38" s="34"/>
      <c r="B38" s="25" t="s">
        <v>241</v>
      </c>
      <c r="C38" s="82" t="s">
        <v>241</v>
      </c>
      <c r="D38" s="82" t="s">
        <v>241</v>
      </c>
      <c r="E38" s="82" t="s">
        <v>241</v>
      </c>
      <c r="F38" s="27"/>
      <c r="G38" s="35" t="s">
        <v>241</v>
      </c>
      <c r="H38" s="29" t="s">
        <v>241</v>
      </c>
    </row>
    <row r="39" spans="1:9" x14ac:dyDescent="0.25">
      <c r="A39" s="30" t="s">
        <v>46</v>
      </c>
      <c r="B39" s="31" t="s">
        <v>3</v>
      </c>
      <c r="C39" s="80">
        <v>868.00740165900004</v>
      </c>
      <c r="D39" s="80">
        <v>1008.436840941</v>
      </c>
      <c r="E39" s="83">
        <v>1040.744808511</v>
      </c>
      <c r="F39" s="22" t="s">
        <v>241</v>
      </c>
      <c r="G39" s="37">
        <v>19.900453212939368</v>
      </c>
      <c r="H39" s="33">
        <v>3.2037670837027861</v>
      </c>
    </row>
    <row r="40" spans="1:9" x14ac:dyDescent="0.25">
      <c r="A40" s="34"/>
      <c r="B40" s="25" t="s">
        <v>241</v>
      </c>
      <c r="C40" s="82" t="s">
        <v>241</v>
      </c>
      <c r="D40" s="82" t="s">
        <v>241</v>
      </c>
      <c r="E40" s="82" t="s">
        <v>241</v>
      </c>
      <c r="F40" s="27"/>
      <c r="G40" s="28" t="s">
        <v>241</v>
      </c>
      <c r="H40" s="29" t="s">
        <v>241</v>
      </c>
    </row>
    <row r="41" spans="1:9" x14ac:dyDescent="0.25">
      <c r="A41" s="30" t="s">
        <v>24</v>
      </c>
      <c r="B41" s="31" t="s">
        <v>3</v>
      </c>
      <c r="C41" s="80">
        <v>419.22583675099997</v>
      </c>
      <c r="D41" s="80">
        <v>489.54675910100002</v>
      </c>
      <c r="E41" s="83">
        <v>480.67555488800002</v>
      </c>
      <c r="F41" s="22" t="s">
        <v>241</v>
      </c>
      <c r="G41" s="23">
        <v>14.65790339002848</v>
      </c>
      <c r="H41" s="24">
        <v>-1.8121260223009159</v>
      </c>
    </row>
    <row r="42" spans="1:9" ht="13.8" thickBot="1" x14ac:dyDescent="0.3">
      <c r="A42" s="56"/>
      <c r="B42" s="42" t="s">
        <v>241</v>
      </c>
      <c r="C42" s="86" t="s">
        <v>241</v>
      </c>
      <c r="D42" s="86" t="s">
        <v>241</v>
      </c>
      <c r="E42" s="86" t="s">
        <v>241</v>
      </c>
      <c r="F42" s="44"/>
      <c r="G42" s="57" t="s">
        <v>241</v>
      </c>
      <c r="H42" s="46" t="s">
        <v>241</v>
      </c>
    </row>
    <row r="43" spans="1:9" x14ac:dyDescent="0.25">
      <c r="A43" s="58"/>
      <c r="B43" s="62"/>
      <c r="C43" s="21"/>
      <c r="D43" s="21"/>
      <c r="E43" s="21"/>
      <c r="F43" s="63"/>
      <c r="G43" s="38"/>
      <c r="H43" s="60"/>
    </row>
    <row r="44" spans="1:9" x14ac:dyDescent="0.25">
      <c r="A44" s="58"/>
      <c r="B44" s="62"/>
      <c r="C44" s="21"/>
      <c r="D44" s="21"/>
      <c r="E44" s="21"/>
      <c r="F44" s="63"/>
      <c r="G44" s="38"/>
      <c r="H44" s="60"/>
    </row>
    <row r="45" spans="1:9" x14ac:dyDescent="0.25">
      <c r="A45" s="58"/>
      <c r="B45" s="62"/>
      <c r="C45" s="21"/>
      <c r="D45" s="21"/>
      <c r="E45" s="21"/>
      <c r="F45" s="63"/>
      <c r="G45" s="38"/>
      <c r="H45" s="60"/>
    </row>
    <row r="46" spans="1:9" x14ac:dyDescent="0.25">
      <c r="A46" s="58"/>
      <c r="B46" s="62"/>
      <c r="C46" s="21"/>
      <c r="D46" s="21"/>
      <c r="E46" s="21"/>
      <c r="F46" s="63"/>
      <c r="G46" s="38"/>
      <c r="H46" s="60"/>
    </row>
    <row r="47" spans="1:9" x14ac:dyDescent="0.25">
      <c r="A47" s="58"/>
      <c r="B47" s="62"/>
      <c r="C47" s="21"/>
      <c r="D47" s="21"/>
      <c r="E47" s="21"/>
      <c r="F47" s="63"/>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242</v>
      </c>
      <c r="G61" s="53"/>
      <c r="H61" s="201">
        <v>19</v>
      </c>
    </row>
    <row r="62" spans="1:9" ht="12.75" customHeight="1" x14ac:dyDescent="0.25">
      <c r="A62" s="54" t="s">
        <v>243</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2" t="s">
        <v>0</v>
      </c>
      <c r="B2" s="2"/>
      <c r="C2" s="2"/>
      <c r="D2" s="2"/>
      <c r="E2" s="2"/>
      <c r="F2" s="2"/>
      <c r="G2" s="2"/>
    </row>
    <row r="3" spans="1:9" ht="6" customHeight="1" x14ac:dyDescent="0.25">
      <c r="A3" s="3"/>
      <c r="B3" s="2"/>
      <c r="C3" s="2"/>
      <c r="D3" s="2"/>
      <c r="E3" s="2"/>
      <c r="F3" s="2"/>
      <c r="G3" s="2"/>
    </row>
    <row r="4" spans="1:9" ht="16.2" thickBot="1" x14ac:dyDescent="0.35">
      <c r="A4" s="4" t="s">
        <v>154</v>
      </c>
      <c r="B4" s="5"/>
      <c r="C4" s="5"/>
      <c r="D4" s="5"/>
      <c r="E4" s="5"/>
      <c r="F4" s="5"/>
      <c r="G4" s="5"/>
      <c r="H4" s="6"/>
    </row>
    <row r="5" spans="1:9" x14ac:dyDescent="0.25">
      <c r="A5" s="7"/>
      <c r="B5" s="8"/>
      <c r="C5" s="9"/>
      <c r="D5" s="8"/>
      <c r="E5" s="10"/>
      <c r="F5" s="11"/>
      <c r="G5" s="196" t="s">
        <v>1</v>
      </c>
      <c r="H5" s="197"/>
    </row>
    <row r="6" spans="1:9" x14ac:dyDescent="0.25">
      <c r="A6" s="12"/>
      <c r="B6" s="13"/>
      <c r="C6" s="14" t="s">
        <v>236</v>
      </c>
      <c r="D6" s="15" t="s">
        <v>237</v>
      </c>
      <c r="E6" s="15" t="s">
        <v>238</v>
      </c>
      <c r="F6" s="16"/>
      <c r="G6" s="17" t="s">
        <v>239</v>
      </c>
      <c r="H6" s="18" t="s">
        <v>240</v>
      </c>
    </row>
    <row r="7" spans="1:9" ht="12.75" customHeight="1" x14ac:dyDescent="0.25">
      <c r="A7" s="198" t="s">
        <v>60</v>
      </c>
      <c r="B7" s="19" t="s">
        <v>3</v>
      </c>
      <c r="C7" s="20">
        <v>22664</v>
      </c>
      <c r="D7" s="20">
        <v>24133</v>
      </c>
      <c r="E7" s="79">
        <v>25480.007092866999</v>
      </c>
      <c r="F7" s="22" t="s">
        <v>241</v>
      </c>
      <c r="G7" s="23">
        <v>12.425022471174543</v>
      </c>
      <c r="H7" s="24">
        <v>5.5815981969378043</v>
      </c>
    </row>
    <row r="8" spans="1:9" ht="13.5" customHeight="1" thickBot="1" x14ac:dyDescent="0.3">
      <c r="A8" s="204"/>
      <c r="B8" s="42" t="s">
        <v>241</v>
      </c>
      <c r="C8" s="43" t="s">
        <v>241</v>
      </c>
      <c r="D8" s="43" t="s">
        <v>241</v>
      </c>
      <c r="E8" s="43" t="s">
        <v>241</v>
      </c>
      <c r="F8" s="44"/>
      <c r="G8" s="57" t="s">
        <v>241</v>
      </c>
      <c r="H8" s="46" t="s">
        <v>241</v>
      </c>
    </row>
    <row r="9" spans="1:9" x14ac:dyDescent="0.25">
      <c r="A9" s="58"/>
      <c r="B9" s="58"/>
      <c r="C9" s="21"/>
      <c r="D9" s="21"/>
      <c r="E9" s="21"/>
      <c r="F9" s="59"/>
      <c r="G9" s="38"/>
      <c r="H9" s="60"/>
      <c r="I9" s="61"/>
    </row>
    <row r="10" spans="1:9" x14ac:dyDescent="0.25">
      <c r="A10" s="58"/>
      <c r="B10" s="58"/>
      <c r="C10" s="21"/>
      <c r="D10" s="21"/>
      <c r="E10" s="21"/>
      <c r="F10" s="59"/>
      <c r="G10" s="38"/>
      <c r="H10" s="60"/>
      <c r="I10" s="61"/>
    </row>
    <row r="11" spans="1:9" x14ac:dyDescent="0.25">
      <c r="A11" s="58"/>
      <c r="B11" s="58"/>
      <c r="C11" s="21"/>
      <c r="D11" s="21"/>
      <c r="E11" s="21"/>
      <c r="F11" s="59"/>
      <c r="G11" s="38"/>
      <c r="H11" s="60"/>
      <c r="I11" s="61"/>
    </row>
    <row r="12" spans="1:9" x14ac:dyDescent="0.25">
      <c r="A12" s="58"/>
      <c r="B12" s="58"/>
      <c r="C12" s="21"/>
      <c r="D12" s="21"/>
      <c r="E12" s="21"/>
      <c r="F12" s="59"/>
      <c r="G12" s="38"/>
      <c r="H12" s="60"/>
      <c r="I12" s="61"/>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72</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60</v>
      </c>
      <c r="B35" s="19" t="s">
        <v>3</v>
      </c>
      <c r="C35" s="80">
        <v>643.95455599599995</v>
      </c>
      <c r="D35" s="80">
        <v>617.195755996</v>
      </c>
      <c r="E35" s="81">
        <v>507.423043302</v>
      </c>
      <c r="F35" s="22" t="s">
        <v>241</v>
      </c>
      <c r="G35" s="23">
        <v>-21.202041576183532</v>
      </c>
      <c r="H35" s="24">
        <v>-17.785720596353457</v>
      </c>
    </row>
    <row r="36" spans="1:9" ht="12.75" customHeight="1" thickBot="1" x14ac:dyDescent="0.3">
      <c r="A36" s="204"/>
      <c r="B36" s="42" t="s">
        <v>241</v>
      </c>
      <c r="C36" s="86" t="s">
        <v>241</v>
      </c>
      <c r="D36" s="86" t="s">
        <v>241</v>
      </c>
      <c r="E36" s="86" t="s">
        <v>241</v>
      </c>
      <c r="F36" s="44"/>
      <c r="G36" s="57" t="s">
        <v>241</v>
      </c>
      <c r="H36" s="46" t="s">
        <v>241</v>
      </c>
    </row>
    <row r="37" spans="1:9" x14ac:dyDescent="0.25">
      <c r="A37" s="58"/>
      <c r="B37" s="58"/>
      <c r="C37" s="21"/>
      <c r="D37" s="21"/>
      <c r="E37" s="21"/>
      <c r="F37" s="59"/>
      <c r="G37" s="38"/>
      <c r="H37" s="60"/>
      <c r="I37" s="61"/>
    </row>
    <row r="38" spans="1:9" x14ac:dyDescent="0.25">
      <c r="A38" s="58"/>
      <c r="B38" s="62"/>
      <c r="C38" s="21"/>
      <c r="D38" s="21"/>
      <c r="E38" s="21"/>
      <c r="F38" s="63"/>
      <c r="G38" s="38"/>
      <c r="H38" s="60"/>
      <c r="I38" s="61"/>
    </row>
    <row r="39" spans="1:9" x14ac:dyDescent="0.25">
      <c r="A39" s="58"/>
      <c r="B39" s="58"/>
      <c r="C39" s="21"/>
      <c r="D39" s="21"/>
      <c r="E39" s="21"/>
      <c r="F39" s="59"/>
      <c r="G39" s="38"/>
      <c r="H39" s="60"/>
      <c r="I39" s="61"/>
    </row>
    <row r="40" spans="1:9" x14ac:dyDescent="0.25">
      <c r="A40" s="58"/>
      <c r="B40" s="62"/>
      <c r="C40" s="21"/>
      <c r="D40" s="21"/>
      <c r="E40" s="21"/>
      <c r="F40" s="63"/>
      <c r="G40" s="38"/>
      <c r="H40" s="60"/>
      <c r="I40" s="61"/>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242</v>
      </c>
      <c r="H61" s="193">
        <v>20</v>
      </c>
    </row>
    <row r="62" spans="1:9" ht="12.75" customHeight="1" x14ac:dyDescent="0.25">
      <c r="A62" s="54" t="s">
        <v>243</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16" customWidth="1"/>
    <col min="2" max="2" width="8.109375" style="116" customWidth="1"/>
    <col min="3" max="4" width="10.5546875" style="116" customWidth="1"/>
    <col min="5" max="5" width="9.88671875" style="116" customWidth="1"/>
    <col min="6" max="6" width="1.6640625" style="116" customWidth="1"/>
    <col min="7" max="7" width="7.6640625" style="116" customWidth="1"/>
    <col min="8" max="8" width="8.88671875" style="116" customWidth="1"/>
    <col min="9" max="16384" width="11.44140625" style="116"/>
  </cols>
  <sheetData>
    <row r="1" spans="1:8" ht="5.25" customHeight="1" x14ac:dyDescent="0.25"/>
    <row r="2" spans="1:8" x14ac:dyDescent="0.25">
      <c r="A2" s="92" t="s">
        <v>0</v>
      </c>
      <c r="B2" s="117"/>
      <c r="C2" s="117"/>
      <c r="D2" s="117"/>
      <c r="E2" s="117"/>
      <c r="F2" s="117"/>
      <c r="G2" s="117"/>
    </row>
    <row r="3" spans="1:8" ht="6" customHeight="1" x14ac:dyDescent="0.25">
      <c r="A3" s="3"/>
      <c r="B3" s="117"/>
      <c r="C3" s="117"/>
      <c r="D3" s="117"/>
      <c r="E3" s="117"/>
      <c r="F3" s="117"/>
      <c r="G3" s="117"/>
    </row>
    <row r="4" spans="1:8" ht="16.2" thickBot="1" x14ac:dyDescent="0.35">
      <c r="A4" s="118" t="s">
        <v>217</v>
      </c>
      <c r="B4" s="119"/>
      <c r="C4" s="119"/>
      <c r="D4" s="119"/>
      <c r="E4" s="119"/>
      <c r="F4" s="119"/>
      <c r="G4" s="119"/>
      <c r="H4" s="120"/>
    </row>
    <row r="5" spans="1:8" x14ac:dyDescent="0.25">
      <c r="A5" s="121"/>
      <c r="B5" s="122"/>
      <c r="C5" s="123"/>
      <c r="D5" s="122"/>
      <c r="E5" s="124"/>
      <c r="F5" s="125"/>
      <c r="G5" s="207" t="s">
        <v>1</v>
      </c>
      <c r="H5" s="208"/>
    </row>
    <row r="6" spans="1:8" x14ac:dyDescent="0.25">
      <c r="A6" s="126"/>
      <c r="B6" s="127"/>
      <c r="C6" s="128" t="s">
        <v>236</v>
      </c>
      <c r="D6" s="129" t="s">
        <v>237</v>
      </c>
      <c r="E6" s="129" t="s">
        <v>238</v>
      </c>
      <c r="F6" s="130"/>
      <c r="G6" s="131" t="s">
        <v>239</v>
      </c>
      <c r="H6" s="132" t="s">
        <v>240</v>
      </c>
    </row>
    <row r="7" spans="1:8" ht="12.75" customHeight="1" x14ac:dyDescent="0.25">
      <c r="A7" s="209" t="s">
        <v>197</v>
      </c>
      <c r="B7" s="133" t="s">
        <v>3</v>
      </c>
      <c r="C7" s="20">
        <v>4802</v>
      </c>
      <c r="D7" s="20">
        <v>4554</v>
      </c>
      <c r="E7" s="79">
        <v>5258</v>
      </c>
      <c r="F7" s="22" t="s">
        <v>241</v>
      </c>
      <c r="G7" s="134">
        <v>9.4960433152853057</v>
      </c>
      <c r="H7" s="135">
        <v>15.45893719806763</v>
      </c>
    </row>
    <row r="8" spans="1:8" ht="12.75" customHeight="1" x14ac:dyDescent="0.25">
      <c r="A8" s="210"/>
      <c r="B8" s="136" t="s">
        <v>241</v>
      </c>
      <c r="C8" s="26" t="s">
        <v>241</v>
      </c>
      <c r="D8" s="26" t="s">
        <v>241</v>
      </c>
      <c r="E8" s="26" t="s">
        <v>241</v>
      </c>
      <c r="F8" s="27"/>
      <c r="G8" s="137" t="s">
        <v>241</v>
      </c>
      <c r="H8" s="138" t="s">
        <v>241</v>
      </c>
    </row>
    <row r="9" spans="1:8" x14ac:dyDescent="0.25">
      <c r="A9" s="139" t="s">
        <v>198</v>
      </c>
      <c r="B9" s="140" t="s">
        <v>3</v>
      </c>
      <c r="C9" s="20">
        <v>1861</v>
      </c>
      <c r="D9" s="20">
        <v>1793</v>
      </c>
      <c r="E9" s="20">
        <v>1714</v>
      </c>
      <c r="F9" s="22" t="s">
        <v>241</v>
      </c>
      <c r="G9" s="141">
        <v>-7.8989790435249887</v>
      </c>
      <c r="H9" s="142">
        <v>-4.4060234244283265</v>
      </c>
    </row>
    <row r="10" spans="1:8" x14ac:dyDescent="0.25">
      <c r="A10" s="143"/>
      <c r="B10" s="136" t="s">
        <v>241</v>
      </c>
      <c r="C10" s="26" t="s">
        <v>241</v>
      </c>
      <c r="D10" s="26" t="s">
        <v>241</v>
      </c>
      <c r="E10" s="26" t="s">
        <v>241</v>
      </c>
      <c r="F10" s="27"/>
      <c r="G10" s="144" t="s">
        <v>241</v>
      </c>
      <c r="H10" s="138" t="s">
        <v>241</v>
      </c>
    </row>
    <row r="11" spans="1:8" x14ac:dyDescent="0.25">
      <c r="A11" s="139" t="s">
        <v>199</v>
      </c>
      <c r="B11" s="140" t="s">
        <v>3</v>
      </c>
      <c r="C11" s="20">
        <v>292</v>
      </c>
      <c r="D11" s="20">
        <v>355</v>
      </c>
      <c r="E11" s="20">
        <v>344</v>
      </c>
      <c r="F11" s="22" t="s">
        <v>241</v>
      </c>
      <c r="G11" s="145">
        <v>17.808219178082197</v>
      </c>
      <c r="H11" s="142">
        <v>-3.0985915492957758</v>
      </c>
    </row>
    <row r="12" spans="1:8" x14ac:dyDescent="0.25">
      <c r="A12" s="143"/>
      <c r="B12" s="136" t="s">
        <v>241</v>
      </c>
      <c r="C12" s="26" t="s">
        <v>241</v>
      </c>
      <c r="D12" s="26" t="s">
        <v>241</v>
      </c>
      <c r="E12" s="26" t="s">
        <v>241</v>
      </c>
      <c r="F12" s="27"/>
      <c r="G12" s="137" t="s">
        <v>241</v>
      </c>
      <c r="H12" s="138" t="s">
        <v>241</v>
      </c>
    </row>
    <row r="13" spans="1:8" x14ac:dyDescent="0.25">
      <c r="A13" s="139" t="s">
        <v>233</v>
      </c>
      <c r="B13" s="140" t="s">
        <v>3</v>
      </c>
      <c r="C13" s="20">
        <v>202</v>
      </c>
      <c r="D13" s="20">
        <v>154</v>
      </c>
      <c r="E13" s="20">
        <v>157</v>
      </c>
      <c r="F13" s="22" t="s">
        <v>241</v>
      </c>
      <c r="G13" s="134">
        <v>-22.277227722772281</v>
      </c>
      <c r="H13" s="135">
        <v>1.9480519480519405</v>
      </c>
    </row>
    <row r="14" spans="1:8" x14ac:dyDescent="0.25">
      <c r="A14" s="143"/>
      <c r="B14" s="136" t="s">
        <v>241</v>
      </c>
      <c r="C14" s="26" t="s">
        <v>241</v>
      </c>
      <c r="D14" s="26" t="s">
        <v>241</v>
      </c>
      <c r="E14" s="26" t="s">
        <v>241</v>
      </c>
      <c r="F14" s="27"/>
      <c r="G14" s="146" t="s">
        <v>241</v>
      </c>
      <c r="H14" s="135" t="s">
        <v>241</v>
      </c>
    </row>
    <row r="15" spans="1:8" x14ac:dyDescent="0.25">
      <c r="A15" s="139" t="s">
        <v>200</v>
      </c>
      <c r="B15" s="140" t="s">
        <v>3</v>
      </c>
      <c r="C15" s="20">
        <v>1585</v>
      </c>
      <c r="D15" s="20">
        <v>1833</v>
      </c>
      <c r="E15" s="20">
        <v>1989</v>
      </c>
      <c r="F15" s="22" t="s">
        <v>241</v>
      </c>
      <c r="G15" s="145">
        <v>25.488958990536275</v>
      </c>
      <c r="H15" s="142">
        <v>8.5106382978723332</v>
      </c>
    </row>
    <row r="16" spans="1:8" x14ac:dyDescent="0.25">
      <c r="A16" s="143"/>
      <c r="B16" s="136" t="s">
        <v>241</v>
      </c>
      <c r="C16" s="26" t="s">
        <v>241</v>
      </c>
      <c r="D16" s="26" t="s">
        <v>241</v>
      </c>
      <c r="E16" s="26" t="s">
        <v>241</v>
      </c>
      <c r="F16" s="27"/>
      <c r="G16" s="137" t="s">
        <v>241</v>
      </c>
      <c r="H16" s="138" t="s">
        <v>241</v>
      </c>
    </row>
    <row r="17" spans="1:9" x14ac:dyDescent="0.25">
      <c r="A17" s="139" t="s">
        <v>201</v>
      </c>
      <c r="B17" s="140" t="s">
        <v>3</v>
      </c>
      <c r="C17" s="20">
        <v>361</v>
      </c>
      <c r="D17" s="20">
        <v>436</v>
      </c>
      <c r="E17" s="20">
        <v>385</v>
      </c>
      <c r="F17" s="22" t="s">
        <v>241</v>
      </c>
      <c r="G17" s="145">
        <v>6.64819944598338</v>
      </c>
      <c r="H17" s="142">
        <v>-11.697247706422019</v>
      </c>
    </row>
    <row r="18" spans="1:9" x14ac:dyDescent="0.25">
      <c r="A18" s="139"/>
      <c r="B18" s="136" t="s">
        <v>241</v>
      </c>
      <c r="C18" s="26" t="s">
        <v>241</v>
      </c>
      <c r="D18" s="26" t="s">
        <v>241</v>
      </c>
      <c r="E18" s="26" t="s">
        <v>241</v>
      </c>
      <c r="F18" s="27"/>
      <c r="G18" s="137" t="s">
        <v>241</v>
      </c>
      <c r="H18" s="138" t="s">
        <v>241</v>
      </c>
    </row>
    <row r="19" spans="1:9" x14ac:dyDescent="0.25">
      <c r="A19" s="147" t="s">
        <v>202</v>
      </c>
      <c r="B19" s="140" t="s">
        <v>3</v>
      </c>
      <c r="C19" s="20">
        <v>34</v>
      </c>
      <c r="D19" s="20">
        <v>35</v>
      </c>
      <c r="E19" s="20">
        <v>33</v>
      </c>
      <c r="F19" s="22" t="s">
        <v>241</v>
      </c>
      <c r="G19" s="134">
        <v>-2.941176470588232</v>
      </c>
      <c r="H19" s="135">
        <v>-5.7142857142857224</v>
      </c>
    </row>
    <row r="20" spans="1:9" x14ac:dyDescent="0.25">
      <c r="A20" s="143"/>
      <c r="B20" s="136" t="s">
        <v>241</v>
      </c>
      <c r="C20" s="26" t="s">
        <v>241</v>
      </c>
      <c r="D20" s="26" t="s">
        <v>241</v>
      </c>
      <c r="E20" s="26" t="s">
        <v>241</v>
      </c>
      <c r="F20" s="27"/>
      <c r="G20" s="146" t="s">
        <v>241</v>
      </c>
      <c r="H20" s="135" t="s">
        <v>241</v>
      </c>
    </row>
    <row r="21" spans="1:9" x14ac:dyDescent="0.25">
      <c r="A21" s="147" t="s">
        <v>203</v>
      </c>
      <c r="B21" s="140" t="s">
        <v>3</v>
      </c>
      <c r="C21" s="20">
        <v>15</v>
      </c>
      <c r="D21" s="20">
        <v>19</v>
      </c>
      <c r="E21" s="20">
        <v>19</v>
      </c>
      <c r="F21" s="22" t="s">
        <v>241</v>
      </c>
      <c r="G21" s="145">
        <v>26.666666666666657</v>
      </c>
      <c r="H21" s="142">
        <v>0</v>
      </c>
    </row>
    <row r="22" spans="1:9" x14ac:dyDescent="0.25">
      <c r="A22" s="143"/>
      <c r="B22" s="136" t="s">
        <v>241</v>
      </c>
      <c r="C22" s="26" t="s">
        <v>241</v>
      </c>
      <c r="D22" s="26" t="s">
        <v>241</v>
      </c>
      <c r="E22" s="26" t="s">
        <v>241</v>
      </c>
      <c r="F22" s="27"/>
      <c r="G22" s="137" t="s">
        <v>241</v>
      </c>
      <c r="H22" s="138" t="s">
        <v>241</v>
      </c>
    </row>
    <row r="23" spans="1:9" x14ac:dyDescent="0.25">
      <c r="A23" s="147" t="s">
        <v>204</v>
      </c>
      <c r="B23" s="140" t="s">
        <v>3</v>
      </c>
      <c r="C23" s="20">
        <v>116</v>
      </c>
      <c r="D23" s="20">
        <v>157</v>
      </c>
      <c r="E23" s="20">
        <v>178</v>
      </c>
      <c r="F23" s="22" t="s">
        <v>241</v>
      </c>
      <c r="G23" s="145">
        <v>53.448275862068982</v>
      </c>
      <c r="H23" s="142">
        <v>13.375796178343947</v>
      </c>
    </row>
    <row r="24" spans="1:9" x14ac:dyDescent="0.25">
      <c r="A24" s="143"/>
      <c r="B24" s="136" t="s">
        <v>241</v>
      </c>
      <c r="C24" s="26" t="s">
        <v>241</v>
      </c>
      <c r="D24" s="26" t="s">
        <v>241</v>
      </c>
      <c r="E24" s="26" t="s">
        <v>241</v>
      </c>
      <c r="F24" s="27"/>
      <c r="G24" s="137" t="s">
        <v>241</v>
      </c>
      <c r="H24" s="138" t="s">
        <v>241</v>
      </c>
    </row>
    <row r="25" spans="1:9" x14ac:dyDescent="0.25">
      <c r="A25" s="139" t="s">
        <v>24</v>
      </c>
      <c r="B25" s="140" t="s">
        <v>3</v>
      </c>
      <c r="C25" s="20">
        <v>1700</v>
      </c>
      <c r="D25" s="20">
        <v>1010</v>
      </c>
      <c r="E25" s="20">
        <v>1507</v>
      </c>
      <c r="F25" s="22" t="s">
        <v>241</v>
      </c>
      <c r="G25" s="134">
        <v>-11.352941176470594</v>
      </c>
      <c r="H25" s="135">
        <v>49.207920792079221</v>
      </c>
      <c r="I25" s="148"/>
    </row>
    <row r="26" spans="1:9" ht="13.8" thickBot="1" x14ac:dyDescent="0.3">
      <c r="A26" s="149"/>
      <c r="B26" s="150" t="s">
        <v>241</v>
      </c>
      <c r="C26" s="43" t="s">
        <v>241</v>
      </c>
      <c r="D26" s="43" t="s">
        <v>241</v>
      </c>
      <c r="E26" s="43" t="s">
        <v>241</v>
      </c>
      <c r="F26" s="44"/>
      <c r="G26" s="151" t="s">
        <v>241</v>
      </c>
      <c r="H26" s="152" t="s">
        <v>241</v>
      </c>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2" thickBot="1" x14ac:dyDescent="0.35">
      <c r="A32" s="118" t="s">
        <v>218</v>
      </c>
      <c r="B32" s="119"/>
      <c r="C32" s="119"/>
      <c r="D32" s="119"/>
      <c r="E32" s="119"/>
      <c r="F32" s="119"/>
      <c r="G32" s="119"/>
      <c r="H32" s="120"/>
    </row>
    <row r="33" spans="1:8" x14ac:dyDescent="0.25">
      <c r="A33" s="121"/>
      <c r="B33" s="122"/>
      <c r="C33" s="211" t="s">
        <v>16</v>
      </c>
      <c r="D33" s="207"/>
      <c r="E33" s="207"/>
      <c r="F33" s="212"/>
      <c r="G33" s="207" t="s">
        <v>1</v>
      </c>
      <c r="H33" s="208"/>
    </row>
    <row r="34" spans="1:8" x14ac:dyDescent="0.25">
      <c r="A34" s="126"/>
      <c r="B34" s="127"/>
      <c r="C34" s="128" t="s">
        <v>236</v>
      </c>
      <c r="D34" s="129" t="s">
        <v>237</v>
      </c>
      <c r="E34" s="129" t="s">
        <v>238</v>
      </c>
      <c r="F34" s="130"/>
      <c r="G34" s="131" t="s">
        <v>239</v>
      </c>
      <c r="H34" s="132" t="s">
        <v>240</v>
      </c>
    </row>
    <row r="35" spans="1:8" ht="12.75" customHeight="1" x14ac:dyDescent="0.25">
      <c r="A35" s="209" t="s">
        <v>197</v>
      </c>
      <c r="B35" s="133" t="s">
        <v>3</v>
      </c>
      <c r="C35" s="80">
        <v>901.02329223499999</v>
      </c>
      <c r="D35" s="80">
        <v>800.24281891500004</v>
      </c>
      <c r="E35" s="81">
        <v>831.72795936499995</v>
      </c>
      <c r="F35" s="22" t="s">
        <v>241</v>
      </c>
      <c r="G35" s="134">
        <v>-7.6907371282391637</v>
      </c>
      <c r="H35" s="135">
        <v>3.934448358148174</v>
      </c>
    </row>
    <row r="36" spans="1:8" ht="12.75" customHeight="1" x14ac:dyDescent="0.25">
      <c r="A36" s="210"/>
      <c r="B36" s="136" t="s">
        <v>241</v>
      </c>
      <c r="C36" s="82" t="s">
        <v>241</v>
      </c>
      <c r="D36" s="82" t="s">
        <v>241</v>
      </c>
      <c r="E36" s="82" t="s">
        <v>241</v>
      </c>
      <c r="F36" s="27"/>
      <c r="G36" s="137" t="s">
        <v>241</v>
      </c>
      <c r="H36" s="138" t="s">
        <v>241</v>
      </c>
    </row>
    <row r="37" spans="1:8" x14ac:dyDescent="0.25">
      <c r="A37" s="139" t="s">
        <v>198</v>
      </c>
      <c r="B37" s="140" t="s">
        <v>3</v>
      </c>
      <c r="C37" s="80">
        <v>478.10329378799997</v>
      </c>
      <c r="D37" s="80">
        <v>407.49456307100002</v>
      </c>
      <c r="E37" s="80">
        <v>412.13149725199997</v>
      </c>
      <c r="F37" s="22" t="s">
        <v>241</v>
      </c>
      <c r="G37" s="141">
        <v>-13.798649244456612</v>
      </c>
      <c r="H37" s="142">
        <v>1.1379131407434357</v>
      </c>
    </row>
    <row r="38" spans="1:8" x14ac:dyDescent="0.25">
      <c r="A38" s="143"/>
      <c r="B38" s="136" t="s">
        <v>241</v>
      </c>
      <c r="C38" s="82" t="s">
        <v>241</v>
      </c>
      <c r="D38" s="82" t="s">
        <v>241</v>
      </c>
      <c r="E38" s="82" t="s">
        <v>241</v>
      </c>
      <c r="F38" s="27"/>
      <c r="G38" s="144" t="s">
        <v>241</v>
      </c>
      <c r="H38" s="138" t="s">
        <v>241</v>
      </c>
    </row>
    <row r="39" spans="1:8" x14ac:dyDescent="0.25">
      <c r="A39" s="139" t="s">
        <v>199</v>
      </c>
      <c r="B39" s="140" t="s">
        <v>3</v>
      </c>
      <c r="C39" s="80">
        <v>58.283790598000003</v>
      </c>
      <c r="D39" s="80">
        <v>57.949384959</v>
      </c>
      <c r="E39" s="80">
        <v>52.074247155999998</v>
      </c>
      <c r="F39" s="22" t="s">
        <v>241</v>
      </c>
      <c r="G39" s="145">
        <v>-10.653980083122946</v>
      </c>
      <c r="H39" s="142">
        <v>-10.138395441395531</v>
      </c>
    </row>
    <row r="40" spans="1:8" x14ac:dyDescent="0.25">
      <c r="A40" s="143"/>
      <c r="B40" s="136" t="s">
        <v>241</v>
      </c>
      <c r="C40" s="82" t="s">
        <v>241</v>
      </c>
      <c r="D40" s="82" t="s">
        <v>241</v>
      </c>
      <c r="E40" s="82" t="s">
        <v>241</v>
      </c>
      <c r="F40" s="27"/>
      <c r="G40" s="137" t="s">
        <v>241</v>
      </c>
      <c r="H40" s="138" t="s">
        <v>241</v>
      </c>
    </row>
    <row r="41" spans="1:8" x14ac:dyDescent="0.25">
      <c r="A41" s="139" t="s">
        <v>233</v>
      </c>
      <c r="B41" s="140" t="s">
        <v>3</v>
      </c>
      <c r="C41" s="80">
        <v>102.42903274</v>
      </c>
      <c r="D41" s="80">
        <v>86.781303187000006</v>
      </c>
      <c r="E41" s="80">
        <v>85.579461268000003</v>
      </c>
      <c r="F41" s="22" t="s">
        <v>241</v>
      </c>
      <c r="G41" s="134">
        <v>-16.449995690938508</v>
      </c>
      <c r="H41" s="135">
        <v>-1.3849088166032999</v>
      </c>
    </row>
    <row r="42" spans="1:8" x14ac:dyDescent="0.25">
      <c r="A42" s="143"/>
      <c r="B42" s="136" t="s">
        <v>241</v>
      </c>
      <c r="C42" s="82" t="s">
        <v>241</v>
      </c>
      <c r="D42" s="82" t="s">
        <v>241</v>
      </c>
      <c r="E42" s="82" t="s">
        <v>241</v>
      </c>
      <c r="F42" s="27"/>
      <c r="G42" s="146" t="s">
        <v>241</v>
      </c>
      <c r="H42" s="135" t="s">
        <v>241</v>
      </c>
    </row>
    <row r="43" spans="1:8" x14ac:dyDescent="0.25">
      <c r="A43" s="139" t="s">
        <v>200</v>
      </c>
      <c r="B43" s="140" t="s">
        <v>3</v>
      </c>
      <c r="C43" s="80">
        <v>35.192316542</v>
      </c>
      <c r="D43" s="80">
        <v>30.984959708000002</v>
      </c>
      <c r="E43" s="80">
        <v>34.345372112</v>
      </c>
      <c r="F43" s="22" t="s">
        <v>241</v>
      </c>
      <c r="G43" s="145">
        <v>-2.4066174472749537</v>
      </c>
      <c r="H43" s="142">
        <v>10.845301835691501</v>
      </c>
    </row>
    <row r="44" spans="1:8" x14ac:dyDescent="0.25">
      <c r="A44" s="143"/>
      <c r="B44" s="136" t="s">
        <v>241</v>
      </c>
      <c r="C44" s="82" t="s">
        <v>241</v>
      </c>
      <c r="D44" s="82" t="s">
        <v>241</v>
      </c>
      <c r="E44" s="82" t="s">
        <v>241</v>
      </c>
      <c r="F44" s="27"/>
      <c r="G44" s="137" t="s">
        <v>241</v>
      </c>
      <c r="H44" s="138" t="s">
        <v>241</v>
      </c>
    </row>
    <row r="45" spans="1:8" x14ac:dyDescent="0.25">
      <c r="A45" s="139" t="s">
        <v>201</v>
      </c>
      <c r="B45" s="140" t="s">
        <v>3</v>
      </c>
      <c r="C45" s="80">
        <v>10.845290228</v>
      </c>
      <c r="D45" s="80">
        <v>10.324812846</v>
      </c>
      <c r="E45" s="80">
        <v>11.843247022</v>
      </c>
      <c r="F45" s="22" t="s">
        <v>241</v>
      </c>
      <c r="G45" s="145">
        <v>9.2017527702809616</v>
      </c>
      <c r="H45" s="142">
        <v>14.706650848284042</v>
      </c>
    </row>
    <row r="46" spans="1:8" x14ac:dyDescent="0.25">
      <c r="A46" s="139"/>
      <c r="B46" s="136" t="s">
        <v>241</v>
      </c>
      <c r="C46" s="82" t="s">
        <v>241</v>
      </c>
      <c r="D46" s="82" t="s">
        <v>241</v>
      </c>
      <c r="E46" s="82" t="s">
        <v>241</v>
      </c>
      <c r="F46" s="27"/>
      <c r="G46" s="137" t="s">
        <v>241</v>
      </c>
      <c r="H46" s="138" t="s">
        <v>241</v>
      </c>
    </row>
    <row r="47" spans="1:8" x14ac:dyDescent="0.25">
      <c r="A47" s="147" t="s">
        <v>202</v>
      </c>
      <c r="B47" s="140" t="s">
        <v>3</v>
      </c>
      <c r="C47" s="80">
        <v>8.0477832280000001</v>
      </c>
      <c r="D47" s="80">
        <v>7.4859547659999999</v>
      </c>
      <c r="E47" s="80">
        <v>8.7836500219999998</v>
      </c>
      <c r="F47" s="22" t="s">
        <v>241</v>
      </c>
      <c r="G47" s="134">
        <v>9.1437203656251427</v>
      </c>
      <c r="H47" s="135">
        <v>17.335066755865554</v>
      </c>
    </row>
    <row r="48" spans="1:8" x14ac:dyDescent="0.25">
      <c r="A48" s="143"/>
      <c r="B48" s="136" t="s">
        <v>241</v>
      </c>
      <c r="C48" s="82" t="s">
        <v>241</v>
      </c>
      <c r="D48" s="82" t="s">
        <v>241</v>
      </c>
      <c r="E48" s="82" t="s">
        <v>241</v>
      </c>
      <c r="F48" s="27"/>
      <c r="G48" s="146" t="s">
        <v>241</v>
      </c>
      <c r="H48" s="135" t="s">
        <v>241</v>
      </c>
    </row>
    <row r="49" spans="1:9" x14ac:dyDescent="0.25">
      <c r="A49" s="147" t="s">
        <v>203</v>
      </c>
      <c r="B49" s="140" t="s">
        <v>3</v>
      </c>
      <c r="C49" s="80">
        <v>6.1016602280000001</v>
      </c>
      <c r="D49" s="80">
        <v>5.0159747660000003</v>
      </c>
      <c r="E49" s="80">
        <v>5.6724030220000001</v>
      </c>
      <c r="F49" s="22" t="s">
        <v>241</v>
      </c>
      <c r="G49" s="145">
        <v>-7.0350886473516709</v>
      </c>
      <c r="H49" s="142">
        <v>13.086753554852322</v>
      </c>
    </row>
    <row r="50" spans="1:9" x14ac:dyDescent="0.25">
      <c r="A50" s="143"/>
      <c r="B50" s="136" t="s">
        <v>241</v>
      </c>
      <c r="C50" s="82" t="s">
        <v>241</v>
      </c>
      <c r="D50" s="82" t="s">
        <v>241</v>
      </c>
      <c r="E50" s="82" t="s">
        <v>241</v>
      </c>
      <c r="F50" s="27"/>
      <c r="G50" s="137" t="s">
        <v>241</v>
      </c>
      <c r="H50" s="138" t="s">
        <v>241</v>
      </c>
    </row>
    <row r="51" spans="1:9" x14ac:dyDescent="0.25">
      <c r="A51" s="147" t="s">
        <v>204</v>
      </c>
      <c r="B51" s="140" t="s">
        <v>3</v>
      </c>
      <c r="C51" s="80">
        <v>51.721295142000002</v>
      </c>
      <c r="D51" s="80">
        <v>58.015099827999997</v>
      </c>
      <c r="E51" s="80">
        <v>64.914662112000002</v>
      </c>
      <c r="F51" s="22" t="s">
        <v>241</v>
      </c>
      <c r="G51" s="145">
        <v>25.508578108451886</v>
      </c>
      <c r="H51" s="142">
        <v>11.892700873488877</v>
      </c>
    </row>
    <row r="52" spans="1:9" x14ac:dyDescent="0.25">
      <c r="A52" s="143"/>
      <c r="B52" s="136" t="s">
        <v>241</v>
      </c>
      <c r="C52" s="82" t="s">
        <v>241</v>
      </c>
      <c r="D52" s="82" t="s">
        <v>241</v>
      </c>
      <c r="E52" s="82" t="s">
        <v>241</v>
      </c>
      <c r="F52" s="27"/>
      <c r="G52" s="137" t="s">
        <v>241</v>
      </c>
      <c r="H52" s="138" t="s">
        <v>241</v>
      </c>
    </row>
    <row r="53" spans="1:9" x14ac:dyDescent="0.25">
      <c r="A53" s="139" t="s">
        <v>24</v>
      </c>
      <c r="B53" s="140" t="s">
        <v>3</v>
      </c>
      <c r="C53" s="80">
        <v>150.29882974</v>
      </c>
      <c r="D53" s="80">
        <v>136.190765787</v>
      </c>
      <c r="E53" s="80">
        <v>156.383419398</v>
      </c>
      <c r="F53" s="22" t="s">
        <v>241</v>
      </c>
      <c r="G53" s="134">
        <v>4.0483280332425977</v>
      </c>
      <c r="H53" s="135">
        <v>14.826742102750899</v>
      </c>
      <c r="I53" s="148"/>
    </row>
    <row r="54" spans="1:9" ht="13.8" thickBot="1" x14ac:dyDescent="0.3">
      <c r="A54" s="149"/>
      <c r="B54" s="150" t="s">
        <v>241</v>
      </c>
      <c r="C54" s="86" t="s">
        <v>241</v>
      </c>
      <c r="D54" s="86" t="s">
        <v>241</v>
      </c>
      <c r="E54" s="86" t="s">
        <v>241</v>
      </c>
      <c r="F54" s="44"/>
      <c r="G54" s="151" t="s">
        <v>241</v>
      </c>
      <c r="H54" s="152" t="s">
        <v>241</v>
      </c>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242</v>
      </c>
      <c r="G61" s="163"/>
      <c r="H61" s="205">
        <v>21</v>
      </c>
    </row>
    <row r="62" spans="1:9" ht="12.75" customHeight="1" x14ac:dyDescent="0.25">
      <c r="A62" s="162" t="s">
        <v>243</v>
      </c>
      <c r="G62" s="163"/>
      <c r="H62" s="206"/>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16" customWidth="1"/>
    <col min="2" max="2" width="8.109375" style="116" customWidth="1"/>
    <col min="3" max="4" width="10.5546875" style="116" customWidth="1"/>
    <col min="5" max="5" width="9.88671875" style="116" customWidth="1"/>
    <col min="6" max="6" width="1.6640625" style="116" customWidth="1"/>
    <col min="7" max="7" width="7.6640625" style="116" customWidth="1"/>
    <col min="8" max="8" width="8.88671875" style="116" customWidth="1"/>
    <col min="9" max="16384" width="11.44140625" style="116"/>
  </cols>
  <sheetData>
    <row r="1" spans="1:8" ht="5.25" customHeight="1" x14ac:dyDescent="0.25"/>
    <row r="2" spans="1:8" x14ac:dyDescent="0.25">
      <c r="A2" s="92" t="s">
        <v>0</v>
      </c>
      <c r="B2" s="117"/>
      <c r="C2" s="117"/>
      <c r="D2" s="117"/>
      <c r="E2" s="117"/>
      <c r="F2" s="117"/>
      <c r="G2" s="117"/>
    </row>
    <row r="3" spans="1:8" ht="6" customHeight="1" x14ac:dyDescent="0.25">
      <c r="A3" s="3"/>
      <c r="B3" s="117"/>
      <c r="C3" s="117"/>
      <c r="D3" s="117"/>
      <c r="E3" s="117"/>
      <c r="F3" s="117"/>
      <c r="G3" s="117"/>
    </row>
    <row r="4" spans="1:8" ht="16.2" thickBot="1" x14ac:dyDescent="0.35">
      <c r="A4" s="118" t="s">
        <v>219</v>
      </c>
      <c r="B4" s="119"/>
      <c r="C4" s="119"/>
      <c r="D4" s="119"/>
      <c r="E4" s="119"/>
      <c r="F4" s="119"/>
      <c r="G4" s="119"/>
      <c r="H4" s="120"/>
    </row>
    <row r="5" spans="1:8" x14ac:dyDescent="0.25">
      <c r="A5" s="121"/>
      <c r="B5" s="122"/>
      <c r="C5" s="123"/>
      <c r="D5" s="122"/>
      <c r="E5" s="124"/>
      <c r="F5" s="125"/>
      <c r="G5" s="207" t="s">
        <v>1</v>
      </c>
      <c r="H5" s="208"/>
    </row>
    <row r="6" spans="1:8" x14ac:dyDescent="0.25">
      <c r="A6" s="126"/>
      <c r="B6" s="127"/>
      <c r="C6" s="128" t="s">
        <v>236</v>
      </c>
      <c r="D6" s="129" t="s">
        <v>237</v>
      </c>
      <c r="E6" s="129" t="s">
        <v>238</v>
      </c>
      <c r="F6" s="130"/>
      <c r="G6" s="131" t="s">
        <v>239</v>
      </c>
      <c r="H6" s="132" t="s">
        <v>240</v>
      </c>
    </row>
    <row r="7" spans="1:8" ht="12.75" customHeight="1" x14ac:dyDescent="0.25">
      <c r="A7" s="209" t="s">
        <v>205</v>
      </c>
      <c r="B7" s="133" t="s">
        <v>3</v>
      </c>
      <c r="C7" s="20">
        <v>575</v>
      </c>
      <c r="D7" s="20">
        <v>733</v>
      </c>
      <c r="E7" s="79">
        <v>918</v>
      </c>
      <c r="F7" s="22" t="s">
        <v>241</v>
      </c>
      <c r="G7" s="134">
        <v>59.65217391304347</v>
      </c>
      <c r="H7" s="135">
        <v>25.238744884038184</v>
      </c>
    </row>
    <row r="8" spans="1:8" ht="12.75" customHeight="1" x14ac:dyDescent="0.25">
      <c r="A8" s="210"/>
      <c r="B8" s="136" t="s">
        <v>241</v>
      </c>
      <c r="C8" s="26" t="s">
        <v>241</v>
      </c>
      <c r="D8" s="26" t="s">
        <v>241</v>
      </c>
      <c r="E8" s="26" t="s">
        <v>241</v>
      </c>
      <c r="F8" s="27"/>
      <c r="G8" s="137" t="s">
        <v>241</v>
      </c>
      <c r="H8" s="138" t="s">
        <v>241</v>
      </c>
    </row>
    <row r="9" spans="1:8" x14ac:dyDescent="0.25">
      <c r="A9" s="139" t="s">
        <v>206</v>
      </c>
      <c r="B9" s="140" t="s">
        <v>3</v>
      </c>
      <c r="C9" s="20">
        <v>306</v>
      </c>
      <c r="D9" s="20">
        <v>350</v>
      </c>
      <c r="E9" s="20">
        <v>318</v>
      </c>
      <c r="F9" s="22" t="s">
        <v>241</v>
      </c>
      <c r="G9" s="141">
        <v>3.9215686274509949</v>
      </c>
      <c r="H9" s="142">
        <v>-9.1428571428571388</v>
      </c>
    </row>
    <row r="10" spans="1:8" x14ac:dyDescent="0.25">
      <c r="A10" s="143"/>
      <c r="B10" s="136" t="s">
        <v>241</v>
      </c>
      <c r="C10" s="26" t="s">
        <v>241</v>
      </c>
      <c r="D10" s="26" t="s">
        <v>241</v>
      </c>
      <c r="E10" s="26" t="s">
        <v>241</v>
      </c>
      <c r="F10" s="27"/>
      <c r="G10" s="144" t="s">
        <v>241</v>
      </c>
      <c r="H10" s="138" t="s">
        <v>241</v>
      </c>
    </row>
    <row r="11" spans="1:8" x14ac:dyDescent="0.25">
      <c r="A11" s="139" t="s">
        <v>207</v>
      </c>
      <c r="B11" s="140" t="s">
        <v>3</v>
      </c>
      <c r="C11" s="20">
        <v>99</v>
      </c>
      <c r="D11" s="20">
        <v>97</v>
      </c>
      <c r="E11" s="20">
        <v>86</v>
      </c>
      <c r="F11" s="22" t="s">
        <v>241</v>
      </c>
      <c r="G11" s="145">
        <v>-13.131313131313121</v>
      </c>
      <c r="H11" s="142">
        <v>-11.340206185567013</v>
      </c>
    </row>
    <row r="12" spans="1:8" x14ac:dyDescent="0.25">
      <c r="A12" s="143"/>
      <c r="B12" s="136" t="s">
        <v>241</v>
      </c>
      <c r="C12" s="26" t="s">
        <v>241</v>
      </c>
      <c r="D12" s="26" t="s">
        <v>241</v>
      </c>
      <c r="E12" s="26" t="s">
        <v>241</v>
      </c>
      <c r="F12" s="27"/>
      <c r="G12" s="137" t="s">
        <v>241</v>
      </c>
      <c r="H12" s="138" t="s">
        <v>241</v>
      </c>
    </row>
    <row r="13" spans="1:8" x14ac:dyDescent="0.25">
      <c r="A13" s="139" t="s">
        <v>208</v>
      </c>
      <c r="B13" s="140" t="s">
        <v>3</v>
      </c>
      <c r="C13" s="20">
        <v>38</v>
      </c>
      <c r="D13" s="20">
        <v>34</v>
      </c>
      <c r="E13" s="20">
        <v>38</v>
      </c>
      <c r="F13" s="22" t="s">
        <v>241</v>
      </c>
      <c r="G13" s="134">
        <v>0</v>
      </c>
      <c r="H13" s="135">
        <v>11.764705882352942</v>
      </c>
    </row>
    <row r="14" spans="1:8" x14ac:dyDescent="0.25">
      <c r="A14" s="143"/>
      <c r="B14" s="136" t="s">
        <v>241</v>
      </c>
      <c r="C14" s="26" t="s">
        <v>241</v>
      </c>
      <c r="D14" s="26" t="s">
        <v>241</v>
      </c>
      <c r="E14" s="26" t="s">
        <v>241</v>
      </c>
      <c r="F14" s="27"/>
      <c r="G14" s="146" t="s">
        <v>241</v>
      </c>
      <c r="H14" s="135" t="s">
        <v>241</v>
      </c>
    </row>
    <row r="15" spans="1:8" x14ac:dyDescent="0.25">
      <c r="A15" s="139" t="s">
        <v>209</v>
      </c>
      <c r="B15" s="140" t="s">
        <v>3</v>
      </c>
      <c r="C15" s="20">
        <v>3</v>
      </c>
      <c r="D15" s="20">
        <v>3</v>
      </c>
      <c r="E15" s="20">
        <v>5</v>
      </c>
      <c r="F15" s="22" t="s">
        <v>241</v>
      </c>
      <c r="G15" s="145">
        <v>66.666666666666686</v>
      </c>
      <c r="H15" s="142">
        <v>66.666666666666686</v>
      </c>
    </row>
    <row r="16" spans="1:8" x14ac:dyDescent="0.25">
      <c r="A16" s="143"/>
      <c r="B16" s="136" t="s">
        <v>241</v>
      </c>
      <c r="C16" s="26" t="s">
        <v>241</v>
      </c>
      <c r="D16" s="26" t="s">
        <v>241</v>
      </c>
      <c r="E16" s="26" t="s">
        <v>241</v>
      </c>
      <c r="F16" s="27"/>
      <c r="G16" s="137" t="s">
        <v>241</v>
      </c>
      <c r="H16" s="138" t="s">
        <v>241</v>
      </c>
    </row>
    <row r="17" spans="1:9" x14ac:dyDescent="0.25">
      <c r="A17" s="139" t="s">
        <v>210</v>
      </c>
      <c r="B17" s="140" t="s">
        <v>3</v>
      </c>
      <c r="C17" s="20">
        <v>35</v>
      </c>
      <c r="D17" s="20">
        <v>23</v>
      </c>
      <c r="E17" s="20">
        <v>53</v>
      </c>
      <c r="F17" s="22" t="s">
        <v>241</v>
      </c>
      <c r="G17" s="145">
        <v>51.428571428571416</v>
      </c>
      <c r="H17" s="142">
        <v>130.43478260869566</v>
      </c>
    </row>
    <row r="18" spans="1:9" x14ac:dyDescent="0.25">
      <c r="A18" s="143"/>
      <c r="B18" s="136" t="s">
        <v>241</v>
      </c>
      <c r="C18" s="26" t="s">
        <v>241</v>
      </c>
      <c r="D18" s="26" t="s">
        <v>241</v>
      </c>
      <c r="E18" s="26" t="s">
        <v>241</v>
      </c>
      <c r="F18" s="27"/>
      <c r="G18" s="137" t="s">
        <v>241</v>
      </c>
      <c r="H18" s="138" t="s">
        <v>241</v>
      </c>
    </row>
    <row r="19" spans="1:9" x14ac:dyDescent="0.25">
      <c r="A19" s="139" t="s">
        <v>211</v>
      </c>
      <c r="B19" s="140" t="s">
        <v>3</v>
      </c>
      <c r="C19" s="20">
        <v>94</v>
      </c>
      <c r="D19" s="20">
        <v>227</v>
      </c>
      <c r="E19" s="20">
        <v>431</v>
      </c>
      <c r="F19" s="22" t="s">
        <v>241</v>
      </c>
      <c r="G19" s="134">
        <v>358.51063829787233</v>
      </c>
      <c r="H19" s="135">
        <v>89.867841409691636</v>
      </c>
    </row>
    <row r="20" spans="1:9" ht="13.8" thickBot="1" x14ac:dyDescent="0.3">
      <c r="A20" s="149"/>
      <c r="B20" s="150" t="s">
        <v>241</v>
      </c>
      <c r="C20" s="43" t="s">
        <v>241</v>
      </c>
      <c r="D20" s="43" t="s">
        <v>241</v>
      </c>
      <c r="E20" s="43" t="s">
        <v>241</v>
      </c>
      <c r="F20" s="44"/>
      <c r="G20" s="151" t="s">
        <v>241</v>
      </c>
      <c r="H20" s="152" t="s">
        <v>241</v>
      </c>
    </row>
    <row r="25" spans="1:9" x14ac:dyDescent="0.25">
      <c r="I25" s="148"/>
    </row>
    <row r="26" spans="1:9" x14ac:dyDescent="0.25">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2" thickBot="1" x14ac:dyDescent="0.35">
      <c r="A32" s="118" t="s">
        <v>220</v>
      </c>
      <c r="B32" s="119"/>
      <c r="C32" s="119"/>
      <c r="D32" s="119"/>
      <c r="E32" s="119"/>
      <c r="F32" s="119"/>
      <c r="G32" s="119"/>
      <c r="H32" s="120"/>
    </row>
    <row r="33" spans="1:8" x14ac:dyDescent="0.25">
      <c r="A33" s="121"/>
      <c r="B33" s="122"/>
      <c r="C33" s="211" t="s">
        <v>16</v>
      </c>
      <c r="D33" s="207"/>
      <c r="E33" s="207"/>
      <c r="F33" s="212"/>
      <c r="G33" s="207" t="s">
        <v>1</v>
      </c>
      <c r="H33" s="208"/>
    </row>
    <row r="34" spans="1:8" x14ac:dyDescent="0.25">
      <c r="A34" s="126"/>
      <c r="B34" s="127"/>
      <c r="C34" s="128" t="s">
        <v>236</v>
      </c>
      <c r="D34" s="129" t="s">
        <v>237</v>
      </c>
      <c r="E34" s="129" t="s">
        <v>238</v>
      </c>
      <c r="F34" s="130"/>
      <c r="G34" s="131" t="s">
        <v>239</v>
      </c>
      <c r="H34" s="132" t="s">
        <v>240</v>
      </c>
    </row>
    <row r="35" spans="1:8" ht="12.75" customHeight="1" x14ac:dyDescent="0.25">
      <c r="A35" s="209" t="s">
        <v>205</v>
      </c>
      <c r="B35" s="133" t="s">
        <v>3</v>
      </c>
      <c r="C35" s="80">
        <v>290.80328065399999</v>
      </c>
      <c r="D35" s="80">
        <v>307.38186722199998</v>
      </c>
      <c r="E35" s="81">
        <v>330.10029545899999</v>
      </c>
      <c r="F35" s="22" t="s">
        <v>241</v>
      </c>
      <c r="G35" s="134">
        <v>13.513263920758817</v>
      </c>
      <c r="H35" s="135">
        <v>7.3909461356066686</v>
      </c>
    </row>
    <row r="36" spans="1:8" ht="12.75" customHeight="1" x14ac:dyDescent="0.25">
      <c r="A36" s="210"/>
      <c r="B36" s="136" t="s">
        <v>241</v>
      </c>
      <c r="C36" s="82" t="s">
        <v>241</v>
      </c>
      <c r="D36" s="82" t="s">
        <v>241</v>
      </c>
      <c r="E36" s="82" t="s">
        <v>241</v>
      </c>
      <c r="F36" s="27"/>
      <c r="G36" s="137" t="s">
        <v>241</v>
      </c>
      <c r="H36" s="138" t="s">
        <v>241</v>
      </c>
    </row>
    <row r="37" spans="1:8" x14ac:dyDescent="0.25">
      <c r="A37" s="139" t="s">
        <v>206</v>
      </c>
      <c r="B37" s="140" t="s">
        <v>3</v>
      </c>
      <c r="C37" s="80">
        <v>166.174737913</v>
      </c>
      <c r="D37" s="80">
        <v>176.81630336500001</v>
      </c>
      <c r="E37" s="80">
        <v>144.50953465699999</v>
      </c>
      <c r="F37" s="22" t="s">
        <v>241</v>
      </c>
      <c r="G37" s="141">
        <v>-13.037603385505406</v>
      </c>
      <c r="H37" s="142">
        <v>-18.271374354721985</v>
      </c>
    </row>
    <row r="38" spans="1:8" x14ac:dyDescent="0.25">
      <c r="A38" s="143"/>
      <c r="B38" s="136" t="s">
        <v>241</v>
      </c>
      <c r="C38" s="82" t="s">
        <v>241</v>
      </c>
      <c r="D38" s="82" t="s">
        <v>241</v>
      </c>
      <c r="E38" s="82" t="s">
        <v>241</v>
      </c>
      <c r="F38" s="27"/>
      <c r="G38" s="144" t="s">
        <v>241</v>
      </c>
      <c r="H38" s="138" t="s">
        <v>241</v>
      </c>
    </row>
    <row r="39" spans="1:8" x14ac:dyDescent="0.25">
      <c r="A39" s="139" t="s">
        <v>207</v>
      </c>
      <c r="B39" s="140" t="s">
        <v>3</v>
      </c>
      <c r="C39" s="80">
        <v>53.798922304000001</v>
      </c>
      <c r="D39" s="80">
        <v>51.040145717999998</v>
      </c>
      <c r="E39" s="80">
        <v>46.373355377999999</v>
      </c>
      <c r="F39" s="22" t="s">
        <v>241</v>
      </c>
      <c r="G39" s="145">
        <v>-13.80244549145533</v>
      </c>
      <c r="H39" s="142">
        <v>-9.1433718974555944</v>
      </c>
    </row>
    <row r="40" spans="1:8" x14ac:dyDescent="0.25">
      <c r="A40" s="143"/>
      <c r="B40" s="136" t="s">
        <v>241</v>
      </c>
      <c r="C40" s="82" t="s">
        <v>241</v>
      </c>
      <c r="D40" s="82" t="s">
        <v>241</v>
      </c>
      <c r="E40" s="82" t="s">
        <v>241</v>
      </c>
      <c r="F40" s="27"/>
      <c r="G40" s="137" t="s">
        <v>241</v>
      </c>
      <c r="H40" s="138" t="s">
        <v>241</v>
      </c>
    </row>
    <row r="41" spans="1:8" x14ac:dyDescent="0.25">
      <c r="A41" s="139" t="s">
        <v>208</v>
      </c>
      <c r="B41" s="140" t="s">
        <v>3</v>
      </c>
      <c r="C41" s="80">
        <v>17.264892133</v>
      </c>
      <c r="D41" s="80">
        <v>17.991160296</v>
      </c>
      <c r="E41" s="80">
        <v>17.830273332000001</v>
      </c>
      <c r="F41" s="22" t="s">
        <v>241</v>
      </c>
      <c r="G41" s="134">
        <v>3.2747450412350645</v>
      </c>
      <c r="H41" s="135">
        <v>-0.89425563083760551</v>
      </c>
    </row>
    <row r="42" spans="1:8" x14ac:dyDescent="0.25">
      <c r="A42" s="143"/>
      <c r="B42" s="136" t="s">
        <v>241</v>
      </c>
      <c r="C42" s="82" t="s">
        <v>241</v>
      </c>
      <c r="D42" s="82" t="s">
        <v>241</v>
      </c>
      <c r="E42" s="82" t="s">
        <v>241</v>
      </c>
      <c r="F42" s="27"/>
      <c r="G42" s="146" t="s">
        <v>241</v>
      </c>
      <c r="H42" s="135" t="s">
        <v>241</v>
      </c>
    </row>
    <row r="43" spans="1:8" x14ac:dyDescent="0.25">
      <c r="A43" s="139" t="s">
        <v>209</v>
      </c>
      <c r="B43" s="140" t="s">
        <v>3</v>
      </c>
      <c r="C43" s="80">
        <v>1.8461962270000001</v>
      </c>
      <c r="D43" s="80">
        <v>1.6878840420000001</v>
      </c>
      <c r="E43" s="80">
        <v>2.0636149050000001</v>
      </c>
      <c r="F43" s="22" t="s">
        <v>241</v>
      </c>
      <c r="G43" s="145">
        <v>11.776574711849406</v>
      </c>
      <c r="H43" s="142">
        <v>22.260466575345461</v>
      </c>
    </row>
    <row r="44" spans="1:8" x14ac:dyDescent="0.25">
      <c r="A44" s="143"/>
      <c r="B44" s="136" t="s">
        <v>241</v>
      </c>
      <c r="C44" s="82" t="s">
        <v>241</v>
      </c>
      <c r="D44" s="82" t="s">
        <v>241</v>
      </c>
      <c r="E44" s="82" t="s">
        <v>241</v>
      </c>
      <c r="F44" s="27"/>
      <c r="G44" s="137" t="s">
        <v>241</v>
      </c>
      <c r="H44" s="138" t="s">
        <v>241</v>
      </c>
    </row>
    <row r="45" spans="1:8" x14ac:dyDescent="0.25">
      <c r="A45" s="139" t="s">
        <v>210</v>
      </c>
      <c r="B45" s="140" t="s">
        <v>3</v>
      </c>
      <c r="C45" s="80">
        <v>11.543588679999999</v>
      </c>
      <c r="D45" s="80">
        <v>12.739420211000001</v>
      </c>
      <c r="E45" s="80">
        <v>17.034349522999999</v>
      </c>
      <c r="F45" s="22" t="s">
        <v>241</v>
      </c>
      <c r="G45" s="145">
        <v>47.565458153521121</v>
      </c>
      <c r="H45" s="142">
        <v>33.713695292753528</v>
      </c>
    </row>
    <row r="46" spans="1:8" x14ac:dyDescent="0.25">
      <c r="A46" s="143"/>
      <c r="B46" s="136" t="s">
        <v>241</v>
      </c>
      <c r="C46" s="82" t="s">
        <v>241</v>
      </c>
      <c r="D46" s="82" t="s">
        <v>241</v>
      </c>
      <c r="E46" s="82" t="s">
        <v>241</v>
      </c>
      <c r="F46" s="27"/>
      <c r="G46" s="137" t="s">
        <v>241</v>
      </c>
      <c r="H46" s="138" t="s">
        <v>241</v>
      </c>
    </row>
    <row r="47" spans="1:8" x14ac:dyDescent="0.25">
      <c r="A47" s="139" t="s">
        <v>211</v>
      </c>
      <c r="B47" s="140" t="s">
        <v>3</v>
      </c>
      <c r="C47" s="80">
        <v>40.174943398000003</v>
      </c>
      <c r="D47" s="80">
        <v>47.106953591</v>
      </c>
      <c r="E47" s="80">
        <v>102.289167664</v>
      </c>
      <c r="F47" s="22" t="s">
        <v>241</v>
      </c>
      <c r="G47" s="134">
        <v>154.60936347975584</v>
      </c>
      <c r="H47" s="135">
        <v>117.14239590212605</v>
      </c>
    </row>
    <row r="48" spans="1:8" ht="13.8" thickBot="1" x14ac:dyDescent="0.3">
      <c r="A48" s="149"/>
      <c r="B48" s="150" t="s">
        <v>241</v>
      </c>
      <c r="C48" s="86" t="s">
        <v>241</v>
      </c>
      <c r="D48" s="86" t="s">
        <v>241</v>
      </c>
      <c r="E48" s="86" t="s">
        <v>241</v>
      </c>
      <c r="F48" s="44"/>
      <c r="G48" s="151" t="s">
        <v>241</v>
      </c>
      <c r="H48" s="152" t="s">
        <v>241</v>
      </c>
    </row>
    <row r="53" spans="1:9" x14ac:dyDescent="0.25">
      <c r="I53" s="148"/>
    </row>
    <row r="54" spans="1:9" x14ac:dyDescent="0.25">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242</v>
      </c>
      <c r="G61" s="163"/>
      <c r="H61" s="205">
        <v>22</v>
      </c>
    </row>
    <row r="62" spans="1:9" ht="12.75" customHeight="1" x14ac:dyDescent="0.25">
      <c r="A62" s="162" t="s">
        <v>243</v>
      </c>
      <c r="G62" s="163"/>
      <c r="H62" s="206"/>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16" customWidth="1"/>
    <col min="2" max="2" width="8.109375" style="116" customWidth="1"/>
    <col min="3" max="4" width="10.5546875" style="116" customWidth="1"/>
    <col min="5" max="5" width="9.88671875" style="116" customWidth="1"/>
    <col min="6" max="6" width="1.6640625" style="116" customWidth="1"/>
    <col min="7" max="7" width="7.6640625" style="116" customWidth="1"/>
    <col min="8" max="8" width="8.88671875" style="116" customWidth="1"/>
    <col min="9" max="16384" width="11.44140625" style="116"/>
  </cols>
  <sheetData>
    <row r="1" spans="1:8" ht="5.25" customHeight="1" x14ac:dyDescent="0.25"/>
    <row r="2" spans="1:8" x14ac:dyDescent="0.25">
      <c r="A2" s="92" t="s">
        <v>0</v>
      </c>
      <c r="B2" s="117"/>
      <c r="C2" s="117"/>
      <c r="D2" s="117"/>
      <c r="E2" s="117"/>
      <c r="F2" s="117"/>
      <c r="G2" s="117"/>
    </row>
    <row r="3" spans="1:8" ht="6" customHeight="1" x14ac:dyDescent="0.25">
      <c r="A3" s="3"/>
      <c r="B3" s="117"/>
      <c r="C3" s="117"/>
      <c r="D3" s="117"/>
      <c r="E3" s="117"/>
      <c r="F3" s="117"/>
      <c r="G3" s="117"/>
    </row>
    <row r="4" spans="1:8" ht="16.2" thickBot="1" x14ac:dyDescent="0.35">
      <c r="A4" s="118" t="s">
        <v>221</v>
      </c>
      <c r="B4" s="119"/>
      <c r="C4" s="119"/>
      <c r="D4" s="119"/>
      <c r="E4" s="119"/>
      <c r="F4" s="119"/>
      <c r="G4" s="119"/>
      <c r="H4" s="120"/>
    </row>
    <row r="5" spans="1:8" x14ac:dyDescent="0.25">
      <c r="A5" s="121"/>
      <c r="B5" s="122"/>
      <c r="C5" s="123"/>
      <c r="D5" s="122"/>
      <c r="E5" s="124"/>
      <c r="F5" s="125"/>
      <c r="G5" s="207" t="s">
        <v>1</v>
      </c>
      <c r="H5" s="208"/>
    </row>
    <row r="6" spans="1:8" x14ac:dyDescent="0.25">
      <c r="A6" s="126"/>
      <c r="B6" s="127"/>
      <c r="C6" s="128" t="s">
        <v>236</v>
      </c>
      <c r="D6" s="129" t="s">
        <v>237</v>
      </c>
      <c r="E6" s="129" t="s">
        <v>238</v>
      </c>
      <c r="F6" s="130"/>
      <c r="G6" s="131" t="s">
        <v>239</v>
      </c>
      <c r="H6" s="132" t="s">
        <v>240</v>
      </c>
    </row>
    <row r="7" spans="1:8" ht="12.75" customHeight="1" x14ac:dyDescent="0.25">
      <c r="A7" s="209" t="s">
        <v>212</v>
      </c>
      <c r="B7" s="133" t="s">
        <v>3</v>
      </c>
      <c r="C7" s="20">
        <v>200240.61617925501</v>
      </c>
      <c r="D7" s="20">
        <v>241263</v>
      </c>
      <c r="E7" s="79">
        <v>247116.93649583799</v>
      </c>
      <c r="F7" s="22" t="s">
        <v>241</v>
      </c>
      <c r="G7" s="134">
        <v>23.409996039274759</v>
      </c>
      <c r="H7" s="135">
        <v>2.4263714269647636</v>
      </c>
    </row>
    <row r="8" spans="1:8" ht="12.75" customHeight="1" x14ac:dyDescent="0.25">
      <c r="A8" s="210"/>
      <c r="B8" s="136" t="s">
        <v>241</v>
      </c>
      <c r="C8" s="26" t="s">
        <v>241</v>
      </c>
      <c r="D8" s="26" t="s">
        <v>241</v>
      </c>
      <c r="E8" s="26" t="s">
        <v>241</v>
      </c>
      <c r="F8" s="27"/>
      <c r="G8" s="137" t="s">
        <v>241</v>
      </c>
      <c r="H8" s="138" t="s">
        <v>241</v>
      </c>
    </row>
    <row r="9" spans="1:8" x14ac:dyDescent="0.25">
      <c r="A9" s="139" t="s">
        <v>232</v>
      </c>
      <c r="B9" s="140" t="s">
        <v>3</v>
      </c>
      <c r="C9" s="20">
        <v>8813.391887537</v>
      </c>
      <c r="D9" s="20">
        <v>10965</v>
      </c>
      <c r="E9" s="20">
        <v>10549.791249242</v>
      </c>
      <c r="F9" s="22" t="s">
        <v>241</v>
      </c>
      <c r="G9" s="141">
        <v>19.701828579305982</v>
      </c>
      <c r="H9" s="142">
        <v>-3.7866735135248462</v>
      </c>
    </row>
    <row r="10" spans="1:8" x14ac:dyDescent="0.25">
      <c r="A10" s="143"/>
      <c r="B10" s="136" t="s">
        <v>241</v>
      </c>
      <c r="C10" s="26" t="s">
        <v>241</v>
      </c>
      <c r="D10" s="26" t="s">
        <v>241</v>
      </c>
      <c r="E10" s="26" t="s">
        <v>241</v>
      </c>
      <c r="F10" s="27"/>
      <c r="G10" s="144" t="s">
        <v>241</v>
      </c>
      <c r="H10" s="138" t="s">
        <v>241</v>
      </c>
    </row>
    <row r="11" spans="1:8" x14ac:dyDescent="0.25">
      <c r="A11" s="139" t="s">
        <v>213</v>
      </c>
      <c r="B11" s="140" t="s">
        <v>3</v>
      </c>
      <c r="C11" s="20">
        <v>120203.458974138</v>
      </c>
      <c r="D11" s="20">
        <v>148378</v>
      </c>
      <c r="E11" s="20">
        <v>151361.056871704</v>
      </c>
      <c r="F11" s="22" t="s">
        <v>241</v>
      </c>
      <c r="G11" s="145">
        <v>25.920716561300978</v>
      </c>
      <c r="H11" s="142">
        <v>2.0104441842483425</v>
      </c>
    </row>
    <row r="12" spans="1:8" x14ac:dyDescent="0.25">
      <c r="A12" s="143"/>
      <c r="B12" s="136" t="s">
        <v>241</v>
      </c>
      <c r="C12" s="26" t="s">
        <v>241</v>
      </c>
      <c r="D12" s="26" t="s">
        <v>241</v>
      </c>
      <c r="E12" s="26" t="s">
        <v>241</v>
      </c>
      <c r="F12" s="27"/>
      <c r="G12" s="137" t="s">
        <v>241</v>
      </c>
      <c r="H12" s="138" t="s">
        <v>241</v>
      </c>
    </row>
    <row r="13" spans="1:8" x14ac:dyDescent="0.25">
      <c r="A13" s="139" t="s">
        <v>214</v>
      </c>
      <c r="B13" s="140" t="s">
        <v>3</v>
      </c>
      <c r="C13" s="20">
        <v>71751.232997767002</v>
      </c>
      <c r="D13" s="20">
        <v>82215</v>
      </c>
      <c r="E13" s="20">
        <v>87322.360329718998</v>
      </c>
      <c r="F13" s="22" t="s">
        <v>241</v>
      </c>
      <c r="G13" s="134">
        <v>21.701546693192839</v>
      </c>
      <c r="H13" s="135">
        <v>6.2122001212905076</v>
      </c>
    </row>
    <row r="14" spans="1:8" x14ac:dyDescent="0.25">
      <c r="A14" s="143"/>
      <c r="B14" s="136" t="s">
        <v>241</v>
      </c>
      <c r="C14" s="26" t="s">
        <v>241</v>
      </c>
      <c r="D14" s="26" t="s">
        <v>241</v>
      </c>
      <c r="E14" s="26" t="s">
        <v>241</v>
      </c>
      <c r="F14" s="27"/>
      <c r="G14" s="146" t="s">
        <v>241</v>
      </c>
      <c r="H14" s="135" t="s">
        <v>241</v>
      </c>
    </row>
    <row r="15" spans="1:8" x14ac:dyDescent="0.25">
      <c r="A15" s="139" t="s">
        <v>215</v>
      </c>
      <c r="B15" s="140" t="s">
        <v>3</v>
      </c>
      <c r="C15" s="20">
        <v>4184.0132306690002</v>
      </c>
      <c r="D15" s="20">
        <v>4273</v>
      </c>
      <c r="E15" s="20">
        <v>5622</v>
      </c>
      <c r="F15" s="22" t="s">
        <v>241</v>
      </c>
      <c r="G15" s="145">
        <v>34.368599955432586</v>
      </c>
      <c r="H15" s="142">
        <v>31.570325298385228</v>
      </c>
    </row>
    <row r="16" spans="1:8" x14ac:dyDescent="0.25">
      <c r="A16" s="143"/>
      <c r="B16" s="136" t="s">
        <v>241</v>
      </c>
      <c r="C16" s="26" t="s">
        <v>241</v>
      </c>
      <c r="D16" s="26" t="s">
        <v>241</v>
      </c>
      <c r="E16" s="26" t="s">
        <v>241</v>
      </c>
      <c r="F16" s="27"/>
      <c r="G16" s="137" t="s">
        <v>241</v>
      </c>
      <c r="H16" s="138" t="s">
        <v>241</v>
      </c>
    </row>
    <row r="17" spans="1:9" x14ac:dyDescent="0.25">
      <c r="A17" s="139" t="s">
        <v>216</v>
      </c>
      <c r="B17" s="140" t="s">
        <v>3</v>
      </c>
      <c r="C17" s="20">
        <v>12510.103082203001</v>
      </c>
      <c r="D17" s="20">
        <v>13517</v>
      </c>
      <c r="E17" s="20">
        <v>12116.728045173</v>
      </c>
      <c r="F17" s="22" t="s">
        <v>241</v>
      </c>
      <c r="G17" s="134">
        <v>-3.1444587981822423</v>
      </c>
      <c r="H17" s="135">
        <v>-10.359339756062738</v>
      </c>
    </row>
    <row r="18" spans="1:9" ht="13.8" thickBot="1" x14ac:dyDescent="0.3">
      <c r="A18" s="149"/>
      <c r="B18" s="150" t="s">
        <v>241</v>
      </c>
      <c r="C18" s="43" t="s">
        <v>241</v>
      </c>
      <c r="D18" s="43" t="s">
        <v>241</v>
      </c>
      <c r="E18" s="43" t="s">
        <v>241</v>
      </c>
      <c r="F18" s="44"/>
      <c r="G18" s="151" t="s">
        <v>241</v>
      </c>
      <c r="H18" s="152" t="s">
        <v>241</v>
      </c>
    </row>
    <row r="25" spans="1:9" x14ac:dyDescent="0.25">
      <c r="I25" s="148"/>
    </row>
    <row r="26" spans="1:9" x14ac:dyDescent="0.25">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2" thickBot="1" x14ac:dyDescent="0.35">
      <c r="A32" s="118" t="s">
        <v>222</v>
      </c>
      <c r="B32" s="119"/>
      <c r="C32" s="119"/>
      <c r="D32" s="119"/>
      <c r="E32" s="119"/>
      <c r="F32" s="119"/>
      <c r="G32" s="119"/>
      <c r="H32" s="120"/>
    </row>
    <row r="33" spans="1:8" x14ac:dyDescent="0.25">
      <c r="A33" s="121"/>
      <c r="B33" s="122"/>
      <c r="C33" s="211" t="s">
        <v>16</v>
      </c>
      <c r="D33" s="207"/>
      <c r="E33" s="207"/>
      <c r="F33" s="212"/>
      <c r="G33" s="207" t="s">
        <v>1</v>
      </c>
      <c r="H33" s="208"/>
    </row>
    <row r="34" spans="1:8" x14ac:dyDescent="0.25">
      <c r="A34" s="126"/>
      <c r="B34" s="127"/>
      <c r="C34" s="128" t="s">
        <v>236</v>
      </c>
      <c r="D34" s="129" t="s">
        <v>237</v>
      </c>
      <c r="E34" s="129" t="s">
        <v>238</v>
      </c>
      <c r="F34" s="130"/>
      <c r="G34" s="131" t="s">
        <v>239</v>
      </c>
      <c r="H34" s="132" t="s">
        <v>240</v>
      </c>
    </row>
    <row r="35" spans="1:8" ht="12.75" customHeight="1" x14ac:dyDescent="0.25">
      <c r="A35" s="209" t="s">
        <v>212</v>
      </c>
      <c r="B35" s="133" t="s">
        <v>3</v>
      </c>
      <c r="C35" s="80">
        <v>698.64237269399996</v>
      </c>
      <c r="D35" s="80">
        <v>802.17088901099999</v>
      </c>
      <c r="E35" s="81">
        <v>889.62084010800004</v>
      </c>
      <c r="F35" s="22" t="s">
        <v>241</v>
      </c>
      <c r="G35" s="134">
        <v>27.335654818298181</v>
      </c>
      <c r="H35" s="135">
        <v>10.901661016995703</v>
      </c>
    </row>
    <row r="36" spans="1:8" ht="12.75" customHeight="1" x14ac:dyDescent="0.25">
      <c r="A36" s="210"/>
      <c r="B36" s="136" t="s">
        <v>241</v>
      </c>
      <c r="C36" s="82" t="s">
        <v>241</v>
      </c>
      <c r="D36" s="82" t="s">
        <v>241</v>
      </c>
      <c r="E36" s="82" t="s">
        <v>241</v>
      </c>
      <c r="F36" s="27"/>
      <c r="G36" s="137" t="s">
        <v>241</v>
      </c>
      <c r="H36" s="138" t="s">
        <v>241</v>
      </c>
    </row>
    <row r="37" spans="1:8" x14ac:dyDescent="0.25">
      <c r="A37" s="139" t="s">
        <v>232</v>
      </c>
      <c r="B37" s="140" t="s">
        <v>3</v>
      </c>
      <c r="C37" s="80">
        <v>223.34273136199999</v>
      </c>
      <c r="D37" s="80">
        <v>288.63855850599998</v>
      </c>
      <c r="E37" s="80">
        <v>299.26708655300001</v>
      </c>
      <c r="F37" s="22" t="s">
        <v>241</v>
      </c>
      <c r="G37" s="141">
        <v>33.994549420970287</v>
      </c>
      <c r="H37" s="142">
        <v>3.6822966765124931</v>
      </c>
    </row>
    <row r="38" spans="1:8" x14ac:dyDescent="0.25">
      <c r="A38" s="143"/>
      <c r="B38" s="136" t="s">
        <v>241</v>
      </c>
      <c r="C38" s="82" t="s">
        <v>241</v>
      </c>
      <c r="D38" s="82" t="s">
        <v>241</v>
      </c>
      <c r="E38" s="82" t="s">
        <v>241</v>
      </c>
      <c r="F38" s="27"/>
      <c r="G38" s="144" t="s">
        <v>241</v>
      </c>
      <c r="H38" s="138" t="s">
        <v>241</v>
      </c>
    </row>
    <row r="39" spans="1:8" x14ac:dyDescent="0.25">
      <c r="A39" s="139" t="s">
        <v>213</v>
      </c>
      <c r="B39" s="140" t="s">
        <v>3</v>
      </c>
      <c r="C39" s="80">
        <v>174.58551054899999</v>
      </c>
      <c r="D39" s="80">
        <v>197.45523154599999</v>
      </c>
      <c r="E39" s="80">
        <v>217.65020579399999</v>
      </c>
      <c r="F39" s="22" t="s">
        <v>241</v>
      </c>
      <c r="G39" s="145">
        <v>24.666820923213592</v>
      </c>
      <c r="H39" s="142">
        <v>10.227621770201267</v>
      </c>
    </row>
    <row r="40" spans="1:8" x14ac:dyDescent="0.25">
      <c r="A40" s="143"/>
      <c r="B40" s="136" t="s">
        <v>241</v>
      </c>
      <c r="C40" s="82" t="s">
        <v>241</v>
      </c>
      <c r="D40" s="82" t="s">
        <v>241</v>
      </c>
      <c r="E40" s="82" t="s">
        <v>241</v>
      </c>
      <c r="F40" s="27"/>
      <c r="G40" s="137" t="s">
        <v>241</v>
      </c>
      <c r="H40" s="138" t="s">
        <v>241</v>
      </c>
    </row>
    <row r="41" spans="1:8" x14ac:dyDescent="0.25">
      <c r="A41" s="139" t="s">
        <v>214</v>
      </c>
      <c r="B41" s="140" t="s">
        <v>3</v>
      </c>
      <c r="C41" s="80">
        <v>220.96467231599999</v>
      </c>
      <c r="D41" s="80">
        <v>239.62301461199999</v>
      </c>
      <c r="E41" s="80">
        <v>269.30721068600002</v>
      </c>
      <c r="F41" s="22" t="s">
        <v>241</v>
      </c>
      <c r="G41" s="134">
        <v>21.877949023844721</v>
      </c>
      <c r="H41" s="135">
        <v>12.387873561337571</v>
      </c>
    </row>
    <row r="42" spans="1:8" x14ac:dyDescent="0.25">
      <c r="A42" s="143"/>
      <c r="B42" s="136" t="s">
        <v>241</v>
      </c>
      <c r="C42" s="82" t="s">
        <v>241</v>
      </c>
      <c r="D42" s="82" t="s">
        <v>241</v>
      </c>
      <c r="E42" s="82" t="s">
        <v>241</v>
      </c>
      <c r="F42" s="27"/>
      <c r="G42" s="146" t="s">
        <v>241</v>
      </c>
      <c r="H42" s="135" t="s">
        <v>241</v>
      </c>
    </row>
    <row r="43" spans="1:8" x14ac:dyDescent="0.25">
      <c r="A43" s="139" t="s">
        <v>215</v>
      </c>
      <c r="B43" s="140" t="s">
        <v>3</v>
      </c>
      <c r="C43" s="80">
        <v>13.824757663</v>
      </c>
      <c r="D43" s="80">
        <v>15.395364396</v>
      </c>
      <c r="E43" s="80">
        <v>27.488966675</v>
      </c>
      <c r="F43" s="22" t="s">
        <v>241</v>
      </c>
      <c r="G43" s="145">
        <v>98.838687412006607</v>
      </c>
      <c r="H43" s="142">
        <v>78.553530581855824</v>
      </c>
    </row>
    <row r="44" spans="1:8" x14ac:dyDescent="0.25">
      <c r="A44" s="143"/>
      <c r="B44" s="136" t="s">
        <v>241</v>
      </c>
      <c r="C44" s="82" t="s">
        <v>241</v>
      </c>
      <c r="D44" s="82" t="s">
        <v>241</v>
      </c>
      <c r="E44" s="82" t="s">
        <v>241</v>
      </c>
      <c r="F44" s="27"/>
      <c r="G44" s="137" t="s">
        <v>241</v>
      </c>
      <c r="H44" s="138" t="s">
        <v>241</v>
      </c>
    </row>
    <row r="45" spans="1:8" x14ac:dyDescent="0.25">
      <c r="A45" s="139" t="s">
        <v>216</v>
      </c>
      <c r="B45" s="140" t="s">
        <v>3</v>
      </c>
      <c r="C45" s="80">
        <v>65.924700805000001</v>
      </c>
      <c r="D45" s="80">
        <v>61.058719951999997</v>
      </c>
      <c r="E45" s="80">
        <v>75.907370400000005</v>
      </c>
      <c r="F45" s="22" t="s">
        <v>241</v>
      </c>
      <c r="G45" s="134">
        <v>15.14253303102268</v>
      </c>
      <c r="H45" s="135">
        <v>24.318640252650155</v>
      </c>
    </row>
    <row r="46" spans="1:8" ht="13.8" thickBot="1" x14ac:dyDescent="0.3">
      <c r="A46" s="149"/>
      <c r="B46" s="150" t="s">
        <v>241</v>
      </c>
      <c r="C46" s="86" t="s">
        <v>241</v>
      </c>
      <c r="D46" s="86" t="s">
        <v>241</v>
      </c>
      <c r="E46" s="86" t="s">
        <v>241</v>
      </c>
      <c r="F46" s="44"/>
      <c r="G46" s="151" t="s">
        <v>241</v>
      </c>
      <c r="H46" s="152" t="s">
        <v>241</v>
      </c>
    </row>
    <row r="53" spans="1:9" x14ac:dyDescent="0.25">
      <c r="I53" s="148"/>
    </row>
    <row r="54" spans="1:9" x14ac:dyDescent="0.25">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242</v>
      </c>
      <c r="G61" s="163"/>
      <c r="H61" s="205">
        <v>23</v>
      </c>
    </row>
    <row r="62" spans="1:9" ht="12.75" customHeight="1" x14ac:dyDescent="0.25">
      <c r="A62" s="162" t="s">
        <v>243</v>
      </c>
      <c r="G62" s="163"/>
      <c r="H62" s="206"/>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7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3"/>
  <sheetViews>
    <sheetView showGridLines="0" showRowColHeaders="0" tabSelected="1" topLeftCell="A3" zoomScale="80" zoomScaleNormal="80" workbookViewId="0"/>
  </sheetViews>
  <sheetFormatPr defaultColWidth="11.44140625" defaultRowHeight="12.75" customHeight="1" x14ac:dyDescent="0.25"/>
  <cols>
    <col min="1" max="1" width="11.33203125" style="89" customWidth="1"/>
    <col min="2" max="2" width="27.109375" style="1" customWidth="1"/>
    <col min="3" max="5" width="10.6640625" style="1" customWidth="1"/>
    <col min="6" max="8" width="7.6640625" style="1" customWidth="1"/>
    <col min="9" max="16384" width="11.44140625" style="1"/>
  </cols>
  <sheetData>
    <row r="2" spans="1:8" ht="12.75" customHeight="1" x14ac:dyDescent="0.25">
      <c r="B2" s="2"/>
      <c r="C2" s="2"/>
      <c r="D2" s="2"/>
      <c r="E2" s="2"/>
      <c r="F2" s="2"/>
      <c r="G2" s="2"/>
    </row>
    <row r="3" spans="1:8" ht="12.75" customHeight="1" x14ac:dyDescent="0.25">
      <c r="A3" s="90"/>
      <c r="B3" s="2"/>
      <c r="C3" s="2"/>
      <c r="D3" s="2"/>
      <c r="E3" s="2"/>
      <c r="F3" s="2"/>
      <c r="G3" s="2"/>
    </row>
    <row r="4" spans="1:8" ht="12.75" customHeight="1" x14ac:dyDescent="0.3">
      <c r="A4" s="90"/>
      <c r="C4" s="74"/>
      <c r="D4" s="74" t="s">
        <v>88</v>
      </c>
      <c r="E4" s="74"/>
      <c r="F4" s="74"/>
      <c r="G4" s="74"/>
      <c r="H4" s="74"/>
    </row>
    <row r="5" spans="1:8" ht="12.75" customHeight="1" x14ac:dyDescent="0.3">
      <c r="A5" s="90"/>
      <c r="B5" s="75"/>
      <c r="C5" s="74"/>
      <c r="D5" s="74"/>
      <c r="E5" s="74"/>
      <c r="F5" s="74"/>
      <c r="G5" s="74"/>
      <c r="H5" s="74"/>
    </row>
    <row r="6" spans="1:8" ht="12.75" customHeight="1" x14ac:dyDescent="0.3">
      <c r="A6" s="90"/>
      <c r="B6" s="73"/>
      <c r="C6" s="73"/>
      <c r="D6" s="73"/>
      <c r="E6" s="73"/>
      <c r="F6" s="73"/>
      <c r="G6" s="73"/>
      <c r="H6" s="73"/>
    </row>
    <row r="7" spans="1:8" ht="12.75" customHeight="1" x14ac:dyDescent="0.3">
      <c r="A7" s="90"/>
      <c r="B7" s="73"/>
      <c r="C7" s="73"/>
      <c r="D7" s="73"/>
      <c r="E7" s="73"/>
      <c r="F7" s="73"/>
      <c r="G7" s="73"/>
      <c r="H7" s="73"/>
    </row>
    <row r="8" spans="1:8" ht="12.75" customHeight="1" x14ac:dyDescent="0.3">
      <c r="A8" s="91" t="s">
        <v>114</v>
      </c>
      <c r="B8" s="73" t="s">
        <v>89</v>
      </c>
      <c r="C8" s="73"/>
      <c r="D8" s="73"/>
      <c r="E8" s="73"/>
      <c r="F8" s="73"/>
      <c r="G8" s="73"/>
      <c r="H8" s="76">
        <v>2</v>
      </c>
    </row>
    <row r="9" spans="1:8" ht="12.75" customHeight="1" x14ac:dyDescent="0.3">
      <c r="B9" s="73"/>
      <c r="C9" s="73"/>
      <c r="D9" s="73"/>
      <c r="E9" s="73"/>
      <c r="F9" s="73"/>
      <c r="G9" s="73"/>
      <c r="H9" s="76"/>
    </row>
    <row r="10" spans="1:8" ht="12.75" customHeight="1" x14ac:dyDescent="0.3">
      <c r="B10" s="73" t="s">
        <v>90</v>
      </c>
      <c r="C10" s="73"/>
      <c r="D10" s="73"/>
      <c r="E10" s="73"/>
      <c r="F10" s="73"/>
      <c r="G10" s="73"/>
      <c r="H10" s="76"/>
    </row>
    <row r="11" spans="1:8" ht="12.75" customHeight="1" x14ac:dyDescent="0.3">
      <c r="A11" s="91" t="s">
        <v>115</v>
      </c>
      <c r="B11" s="73" t="str">
        <f>+'Tab2'!A6&amp;" ……………………………………………"</f>
        <v>Figur 1. Antall meldte skader etter bransjer  ……………………………………………</v>
      </c>
      <c r="C11" s="73"/>
      <c r="D11" s="73"/>
      <c r="E11" s="73"/>
      <c r="F11" s="73"/>
      <c r="G11" s="73"/>
      <c r="H11" s="76">
        <v>4</v>
      </c>
    </row>
    <row r="12" spans="1:8" ht="12.75" customHeight="1" x14ac:dyDescent="0.3">
      <c r="B12" s="73" t="str">
        <f>+'Tab2'!A32&amp;" ……………………………"</f>
        <v>Figur 2. Antall meldte skader etter bransjer  ……………………………</v>
      </c>
      <c r="C12" s="73"/>
      <c r="D12" s="73"/>
      <c r="E12" s="73"/>
      <c r="F12" s="73"/>
      <c r="G12" s="73"/>
      <c r="H12" s="76">
        <v>4</v>
      </c>
    </row>
    <row r="13" spans="1:8" ht="12.75" customHeight="1" x14ac:dyDescent="0.3">
      <c r="B13" s="73" t="str">
        <f>+'Tab2'!I6&amp;"  ………………………………………………………………………………………………….."</f>
        <v>Figur 3. Anslått erstatning etter bransje, pr.   …………………………………………………………………………………………………..</v>
      </c>
      <c r="C13" s="73"/>
      <c r="D13" s="73"/>
      <c r="E13" s="73"/>
      <c r="F13" s="73"/>
      <c r="G13" s="73"/>
      <c r="H13" s="76">
        <v>5</v>
      </c>
    </row>
    <row r="14" spans="1:8" ht="12.75" customHeight="1" x14ac:dyDescent="0.3">
      <c r="B14" s="73" t="str">
        <f>+'Tab2'!I32&amp;"  ………………………………………………………………………………………………….."</f>
        <v>Figur 4. Vannskader pr. kvartal  …………………………………………………………………………………………………..</v>
      </c>
      <c r="C14" s="73"/>
      <c r="D14" s="73"/>
      <c r="E14" s="73"/>
      <c r="F14" s="73"/>
      <c r="G14" s="73"/>
      <c r="H14" s="76">
        <v>5</v>
      </c>
    </row>
    <row r="15" spans="1:8" ht="12.75" customHeight="1" x14ac:dyDescent="0.3">
      <c r="B15" s="73" t="str">
        <f>+'Tab2'!P6&amp;" ……………………………"</f>
        <v>Figur 5. Antall meldte skader i motorvogn kvartalsvis (i 1000) ……………………………</v>
      </c>
      <c r="C15" s="73"/>
      <c r="D15" s="73"/>
      <c r="E15" s="73"/>
      <c r="F15" s="73"/>
      <c r="G15" s="73"/>
      <c r="H15" s="76">
        <v>6</v>
      </c>
    </row>
    <row r="16" spans="1:8" ht="12.75" customHeight="1" x14ac:dyDescent="0.3">
      <c r="B16" s="73" t="str">
        <f>+'Tab2'!P32&amp;" ……………………………"</f>
        <v>Figur 6. Anslått erstatning etter skadetype, motorvogn  2016 ……………………………</v>
      </c>
      <c r="C16" s="73"/>
      <c r="D16" s="73"/>
      <c r="E16" s="73"/>
      <c r="F16" s="73"/>
      <c r="G16" s="73"/>
      <c r="H16" s="76">
        <v>6</v>
      </c>
    </row>
    <row r="17" spans="1:14" ht="12.75" customHeight="1" x14ac:dyDescent="0.3">
      <c r="B17" s="73" t="str">
        <f>+'Tab2'!W6&amp;" ……………………………………………………………"</f>
        <v>Figur 7. Antall meldte skader i de Brann-kombinerte bransjer etter skadetype  ……………………………………………………………</v>
      </c>
      <c r="C17" s="73"/>
      <c r="D17" s="73"/>
      <c r="E17" s="73"/>
      <c r="F17" s="73"/>
      <c r="G17" s="73"/>
      <c r="H17" s="76">
        <v>7</v>
      </c>
    </row>
    <row r="18" spans="1:14" ht="12.75" customHeight="1" x14ac:dyDescent="0.3">
      <c r="B18" s="73" t="str">
        <f>+'Tab2'!W32&amp;" ……………………………………………………………"</f>
        <v>Figur 8. Anslått erstatning i de Brann-kombinerte bransjer etter skadetype  ……………………………………………………………</v>
      </c>
      <c r="C18" s="73"/>
      <c r="D18" s="73"/>
      <c r="E18" s="73"/>
      <c r="F18" s="73"/>
      <c r="G18" s="73"/>
      <c r="H18" s="76">
        <v>7</v>
      </c>
    </row>
    <row r="19" spans="1:14" ht="12.75" customHeight="1" x14ac:dyDescent="0.3">
      <c r="B19" s="73" t="str">
        <f>+'Tab2'!AD6&amp;"  ………………………………………………………………………………………………….."</f>
        <v>Figur 9. Brannskader pr. kvartal  …………………………………………………………………………………………………..</v>
      </c>
      <c r="C19" s="73"/>
      <c r="D19" s="73"/>
      <c r="E19" s="73"/>
      <c r="F19" s="73"/>
      <c r="G19" s="73"/>
      <c r="H19" s="76">
        <v>8</v>
      </c>
    </row>
    <row r="20" spans="1:14" ht="12.75" customHeight="1" x14ac:dyDescent="0.3">
      <c r="B20" s="73" t="str">
        <f>+'Tab2'!AD32&amp;"  ………………………………………………………………………………………………….."</f>
        <v>Figur 10. Innbrudd, tyverier og ran pr. kvartal  …………………………………………………………………………………………………..</v>
      </c>
      <c r="C20" s="73"/>
      <c r="D20" s="73"/>
      <c r="E20" s="73"/>
      <c r="F20" s="73"/>
      <c r="G20" s="73"/>
      <c r="H20" s="76">
        <v>8</v>
      </c>
    </row>
    <row r="22" spans="1:14" ht="12.75" customHeight="1" x14ac:dyDescent="0.3">
      <c r="B22" s="73" t="s">
        <v>91</v>
      </c>
      <c r="C22" s="73"/>
      <c r="D22" s="73"/>
      <c r="E22" s="73"/>
      <c r="F22" s="73"/>
      <c r="G22" s="73"/>
      <c r="H22" s="76"/>
    </row>
    <row r="23" spans="1:14" ht="12.75" customHeight="1" x14ac:dyDescent="0.3">
      <c r="A23" s="91" t="s">
        <v>116</v>
      </c>
      <c r="B23" s="73" t="s">
        <v>132</v>
      </c>
      <c r="C23" s="73"/>
      <c r="D23" s="73"/>
      <c r="E23" s="73"/>
      <c r="F23" s="73"/>
      <c r="G23" s="73"/>
      <c r="H23" s="76">
        <v>9</v>
      </c>
    </row>
    <row r="24" spans="1:14" ht="12.75" customHeight="1" x14ac:dyDescent="0.3">
      <c r="A24" s="91" t="s">
        <v>117</v>
      </c>
      <c r="B24" s="73" t="s">
        <v>93</v>
      </c>
      <c r="C24" s="73"/>
      <c r="D24" s="73"/>
      <c r="E24" s="73"/>
      <c r="F24" s="73"/>
      <c r="G24" s="73"/>
      <c r="H24" s="76">
        <f>H23+1</f>
        <v>10</v>
      </c>
    </row>
    <row r="25" spans="1:14" ht="12.75" customHeight="1" x14ac:dyDescent="0.3">
      <c r="B25" s="73"/>
      <c r="C25" s="73"/>
      <c r="D25" s="73"/>
      <c r="E25" s="73"/>
      <c r="F25" s="73"/>
      <c r="G25" s="73"/>
      <c r="H25" s="76"/>
    </row>
    <row r="26" spans="1:14" ht="12.75" customHeight="1" x14ac:dyDescent="0.3">
      <c r="A26" s="91" t="s">
        <v>118</v>
      </c>
      <c r="B26" s="73" t="s">
        <v>133</v>
      </c>
      <c r="C26" s="73"/>
      <c r="D26" s="73"/>
      <c r="E26" s="73"/>
      <c r="F26" s="73"/>
      <c r="G26" s="73"/>
      <c r="H26" s="76">
        <f>+H24+1</f>
        <v>11</v>
      </c>
    </row>
    <row r="27" spans="1:14" ht="12.75" customHeight="1" x14ac:dyDescent="0.3">
      <c r="B27" s="73" t="s">
        <v>94</v>
      </c>
      <c r="C27" s="73"/>
      <c r="D27" s="73"/>
      <c r="E27" s="73"/>
      <c r="F27" s="73"/>
      <c r="G27" s="73"/>
      <c r="H27" s="76">
        <f>+H26</f>
        <v>11</v>
      </c>
      <c r="N27" s="77"/>
    </row>
    <row r="28" spans="1:14" ht="12.75" customHeight="1" x14ac:dyDescent="0.3">
      <c r="A28" s="91" t="s">
        <v>119</v>
      </c>
      <c r="B28" s="73" t="s">
        <v>134</v>
      </c>
      <c r="C28" s="73"/>
      <c r="D28" s="73"/>
      <c r="E28" s="73"/>
      <c r="F28" s="73"/>
      <c r="G28" s="73"/>
      <c r="H28" s="76">
        <f>+H26+1</f>
        <v>12</v>
      </c>
      <c r="N28" s="77"/>
    </row>
    <row r="29" spans="1:14" ht="12.75" customHeight="1" x14ac:dyDescent="0.3">
      <c r="B29" s="73" t="s">
        <v>95</v>
      </c>
      <c r="C29" s="73"/>
      <c r="D29" s="73"/>
      <c r="E29" s="73"/>
      <c r="F29" s="73"/>
      <c r="G29" s="73"/>
      <c r="H29" s="76">
        <f>+H28</f>
        <v>12</v>
      </c>
      <c r="N29" s="77"/>
    </row>
    <row r="30" spans="1:14" ht="12.75" customHeight="1" x14ac:dyDescent="0.3">
      <c r="B30" s="73"/>
      <c r="C30" s="73"/>
      <c r="D30" s="73"/>
      <c r="E30" s="73"/>
      <c r="F30" s="73"/>
      <c r="G30" s="73"/>
      <c r="H30" s="76"/>
      <c r="N30" s="77"/>
    </row>
    <row r="31" spans="1:14" ht="12.75" customHeight="1" x14ac:dyDescent="0.3">
      <c r="A31" s="91" t="s">
        <v>120</v>
      </c>
      <c r="B31" s="73" t="s">
        <v>135</v>
      </c>
      <c r="C31" s="73"/>
      <c r="D31" s="73"/>
      <c r="E31" s="73"/>
      <c r="F31" s="73"/>
      <c r="G31" s="73"/>
      <c r="H31" s="76">
        <f>+H29+1</f>
        <v>13</v>
      </c>
      <c r="N31" s="77"/>
    </row>
    <row r="32" spans="1:14" ht="12.75" customHeight="1" x14ac:dyDescent="0.3">
      <c r="B32" s="73" t="s">
        <v>96</v>
      </c>
      <c r="C32" s="73"/>
      <c r="D32" s="73"/>
      <c r="E32" s="73"/>
      <c r="F32" s="73"/>
      <c r="G32" s="73"/>
      <c r="H32" s="76">
        <f>+H31</f>
        <v>13</v>
      </c>
      <c r="N32" s="77"/>
    </row>
    <row r="33" spans="1:14" ht="12.75" customHeight="1" x14ac:dyDescent="0.3">
      <c r="A33" s="91" t="s">
        <v>121</v>
      </c>
      <c r="B33" s="73" t="s">
        <v>136</v>
      </c>
      <c r="C33" s="73"/>
      <c r="D33" s="73"/>
      <c r="E33" s="73"/>
      <c r="F33" s="73"/>
      <c r="G33" s="73"/>
      <c r="H33" s="76">
        <f>+H31+1</f>
        <v>14</v>
      </c>
      <c r="N33" s="77"/>
    </row>
    <row r="34" spans="1:14" ht="12.75" customHeight="1" x14ac:dyDescent="0.3">
      <c r="B34" s="73" t="s">
        <v>97</v>
      </c>
      <c r="C34" s="73"/>
      <c r="D34" s="73"/>
      <c r="E34" s="73"/>
      <c r="F34" s="73"/>
      <c r="G34" s="73"/>
      <c r="H34" s="76">
        <f>+H33</f>
        <v>14</v>
      </c>
      <c r="N34" s="77"/>
    </row>
    <row r="35" spans="1:14" ht="12.75" customHeight="1" x14ac:dyDescent="0.3">
      <c r="A35" s="91" t="s">
        <v>122</v>
      </c>
      <c r="B35" s="73" t="s">
        <v>137</v>
      </c>
      <c r="C35" s="73"/>
      <c r="D35" s="73"/>
      <c r="E35" s="73"/>
      <c r="F35" s="73"/>
      <c r="G35" s="73"/>
      <c r="H35" s="76">
        <f>+H34+1</f>
        <v>15</v>
      </c>
      <c r="N35" s="77"/>
    </row>
    <row r="36" spans="1:14" ht="12.75" customHeight="1" x14ac:dyDescent="0.3">
      <c r="B36" s="73" t="s">
        <v>100</v>
      </c>
      <c r="C36" s="73"/>
      <c r="D36" s="73"/>
      <c r="E36" s="73"/>
      <c r="F36" s="73"/>
      <c r="G36" s="73"/>
      <c r="H36" s="76">
        <f>+H35</f>
        <v>15</v>
      </c>
      <c r="N36" s="77"/>
    </row>
    <row r="37" spans="1:14" ht="12.75" customHeight="1" x14ac:dyDescent="0.3">
      <c r="A37" s="91" t="s">
        <v>123</v>
      </c>
      <c r="B37" s="73" t="s">
        <v>138</v>
      </c>
      <c r="C37" s="73"/>
      <c r="D37" s="73"/>
      <c r="E37" s="73"/>
      <c r="F37" s="73"/>
      <c r="G37" s="73"/>
      <c r="H37" s="76">
        <f>+H36+1</f>
        <v>16</v>
      </c>
      <c r="N37" s="77"/>
    </row>
    <row r="38" spans="1:14" ht="12.75" customHeight="1" x14ac:dyDescent="0.3">
      <c r="B38" s="73" t="s">
        <v>101</v>
      </c>
      <c r="C38" s="73"/>
      <c r="D38" s="73"/>
      <c r="E38" s="73"/>
      <c r="F38" s="73"/>
      <c r="G38" s="73"/>
      <c r="H38" s="76">
        <f>+H37</f>
        <v>16</v>
      </c>
      <c r="N38" s="77"/>
    </row>
    <row r="39" spans="1:14" ht="12.75" customHeight="1" x14ac:dyDescent="0.3">
      <c r="B39" s="73"/>
      <c r="C39" s="73"/>
      <c r="D39" s="73"/>
      <c r="E39" s="73"/>
      <c r="F39" s="73"/>
      <c r="G39" s="73"/>
      <c r="H39" s="76"/>
      <c r="N39" s="77"/>
    </row>
    <row r="40" spans="1:14" ht="12.75" customHeight="1" x14ac:dyDescent="0.3">
      <c r="A40" s="91" t="s">
        <v>124</v>
      </c>
      <c r="B40" s="73" t="s">
        <v>167</v>
      </c>
      <c r="C40" s="73"/>
      <c r="D40" s="73"/>
      <c r="E40" s="73"/>
      <c r="F40" s="73"/>
      <c r="G40" s="73"/>
      <c r="H40" s="76">
        <f>+H38+1</f>
        <v>17</v>
      </c>
      <c r="N40" s="77"/>
    </row>
    <row r="41" spans="1:14" ht="12.75" customHeight="1" x14ac:dyDescent="0.3">
      <c r="B41" s="73" t="s">
        <v>168</v>
      </c>
      <c r="C41" s="73"/>
      <c r="D41" s="73"/>
      <c r="E41" s="73"/>
      <c r="F41" s="73"/>
      <c r="G41" s="73"/>
      <c r="H41" s="76">
        <f>+H40</f>
        <v>17</v>
      </c>
      <c r="N41" s="77"/>
    </row>
    <row r="42" spans="1:14" ht="12.75" customHeight="1" x14ac:dyDescent="0.3">
      <c r="B42" s="73"/>
      <c r="C42" s="73"/>
      <c r="D42" s="73"/>
      <c r="E42" s="73"/>
      <c r="F42" s="73"/>
      <c r="G42" s="73"/>
      <c r="H42" s="76"/>
      <c r="N42" s="77"/>
    </row>
    <row r="43" spans="1:14" ht="12.75" customHeight="1" x14ac:dyDescent="0.3">
      <c r="A43" s="91" t="s">
        <v>173</v>
      </c>
      <c r="B43" s="73" t="s">
        <v>139</v>
      </c>
      <c r="H43" s="76">
        <f>+H40+1</f>
        <v>18</v>
      </c>
      <c r="N43" s="77"/>
    </row>
    <row r="44" spans="1:14" ht="12.75" customHeight="1" x14ac:dyDescent="0.3">
      <c r="B44" s="73" t="s">
        <v>104</v>
      </c>
      <c r="H44" s="76">
        <f>+H43</f>
        <v>18</v>
      </c>
      <c r="N44" s="77"/>
    </row>
    <row r="45" spans="1:14" ht="12.75" customHeight="1" x14ac:dyDescent="0.3">
      <c r="A45" s="91" t="s">
        <v>125</v>
      </c>
      <c r="B45" s="73" t="s">
        <v>140</v>
      </c>
      <c r="H45" s="76">
        <f>+H43+1</f>
        <v>19</v>
      </c>
      <c r="N45" s="77"/>
    </row>
    <row r="46" spans="1:14" ht="12.75" customHeight="1" x14ac:dyDescent="0.3">
      <c r="B46" s="73" t="s">
        <v>102</v>
      </c>
      <c r="H46" s="76">
        <f>+H45</f>
        <v>19</v>
      </c>
      <c r="N46" s="77"/>
    </row>
    <row r="47" spans="1:14" ht="12.75" customHeight="1" x14ac:dyDescent="0.3">
      <c r="A47" s="91" t="s">
        <v>126</v>
      </c>
      <c r="B47" s="73" t="s">
        <v>141</v>
      </c>
      <c r="H47" s="76">
        <f>+H46+1</f>
        <v>20</v>
      </c>
      <c r="N47" s="77"/>
    </row>
    <row r="48" spans="1:14" ht="12.75" customHeight="1" x14ac:dyDescent="0.3">
      <c r="B48" s="73" t="s">
        <v>103</v>
      </c>
      <c r="H48" s="76">
        <f>H47</f>
        <v>20</v>
      </c>
      <c r="N48" s="77"/>
    </row>
    <row r="49" spans="1:14" ht="12.75" customHeight="1" x14ac:dyDescent="0.3">
      <c r="A49" s="91"/>
      <c r="B49" s="73"/>
      <c r="C49" s="73"/>
      <c r="D49" s="73"/>
      <c r="E49" s="73"/>
      <c r="F49" s="73"/>
      <c r="G49" s="73"/>
      <c r="H49" s="76"/>
      <c r="N49" s="77"/>
    </row>
    <row r="50" spans="1:14" ht="12.75" customHeight="1" x14ac:dyDescent="0.3">
      <c r="A50" s="91"/>
      <c r="B50" s="73"/>
      <c r="C50" s="73"/>
      <c r="D50" s="73"/>
      <c r="E50" s="73"/>
      <c r="F50" s="73"/>
      <c r="G50" s="73"/>
      <c r="H50" s="76"/>
      <c r="N50" s="77"/>
    </row>
    <row r="51" spans="1:14" ht="12.75" customHeight="1" x14ac:dyDescent="0.3">
      <c r="A51" s="91"/>
      <c r="B51" s="73"/>
      <c r="C51" s="73"/>
      <c r="D51" s="73"/>
      <c r="E51" s="73"/>
      <c r="F51" s="73"/>
      <c r="G51" s="73"/>
      <c r="H51" s="76"/>
      <c r="N51" s="77"/>
    </row>
    <row r="52" spans="1:14" ht="12.75" customHeight="1" x14ac:dyDescent="0.3">
      <c r="A52" s="91"/>
      <c r="B52" s="73"/>
      <c r="C52" s="73"/>
      <c r="D52" s="73"/>
      <c r="E52" s="73"/>
      <c r="F52" s="73"/>
      <c r="G52" s="73"/>
      <c r="H52" s="76"/>
      <c r="N52" s="77"/>
    </row>
    <row r="53" spans="1:14" ht="12.75" customHeight="1" x14ac:dyDescent="0.3">
      <c r="A53" s="91"/>
      <c r="B53" s="73"/>
      <c r="C53" s="73"/>
      <c r="D53" s="73"/>
      <c r="E53" s="73"/>
      <c r="F53" s="73"/>
      <c r="G53" s="73"/>
      <c r="H53" s="76"/>
      <c r="N53" s="77"/>
    </row>
    <row r="54" spans="1:14" ht="12.75" customHeight="1" x14ac:dyDescent="0.3">
      <c r="A54" s="91"/>
      <c r="B54" s="73"/>
      <c r="C54" s="73"/>
      <c r="D54" s="73"/>
      <c r="E54" s="73"/>
      <c r="F54" s="73"/>
      <c r="G54" s="73"/>
      <c r="H54" s="76"/>
      <c r="N54" s="77"/>
    </row>
    <row r="55" spans="1:14" ht="12.75" customHeight="1" x14ac:dyDescent="0.3">
      <c r="A55" s="91"/>
      <c r="B55" s="73"/>
      <c r="C55" s="73"/>
      <c r="D55" s="73"/>
      <c r="E55" s="73"/>
      <c r="F55" s="73"/>
      <c r="G55" s="73"/>
      <c r="H55" s="76"/>
      <c r="N55" s="77"/>
    </row>
    <row r="56" spans="1:14" ht="12.75" customHeight="1" x14ac:dyDescent="0.3">
      <c r="A56" s="91"/>
      <c r="B56" s="73"/>
      <c r="C56" s="73"/>
      <c r="D56" s="73"/>
      <c r="E56" s="73"/>
      <c r="F56" s="73"/>
      <c r="G56" s="73"/>
      <c r="H56" s="76"/>
      <c r="N56" s="77"/>
    </row>
    <row r="57" spans="1:14" ht="12.75" customHeight="1" x14ac:dyDescent="0.3">
      <c r="A57" s="91"/>
      <c r="B57" s="73"/>
      <c r="C57" s="73"/>
      <c r="D57" s="73"/>
      <c r="E57" s="73"/>
      <c r="F57" s="73"/>
      <c r="G57" s="73"/>
      <c r="H57" s="76"/>
      <c r="N57" s="77"/>
    </row>
    <row r="58" spans="1:14" ht="12.75" customHeight="1" x14ac:dyDescent="0.3">
      <c r="B58" s="73"/>
      <c r="C58" s="73"/>
      <c r="D58" s="73"/>
      <c r="E58" s="73"/>
      <c r="F58" s="73"/>
      <c r="G58" s="73"/>
      <c r="H58" s="76"/>
      <c r="N58" s="77"/>
    </row>
    <row r="59" spans="1:14" ht="12.75" customHeight="1" x14ac:dyDescent="0.25">
      <c r="B59" s="48"/>
      <c r="C59" s="49"/>
      <c r="D59" s="49"/>
      <c r="E59" s="98"/>
      <c r="F59" s="49"/>
      <c r="G59" s="50"/>
      <c r="H59" s="51"/>
      <c r="N59" s="77"/>
    </row>
    <row r="60" spans="1:14" ht="12.75" customHeight="1" x14ac:dyDescent="0.25">
      <c r="B60" s="52"/>
      <c r="C60" s="52"/>
      <c r="D60" s="52"/>
      <c r="E60" s="52"/>
      <c r="F60" s="52"/>
      <c r="G60" s="52"/>
      <c r="H60" s="52"/>
      <c r="I60" s="77"/>
    </row>
    <row r="61" spans="1:14" ht="12.75" customHeight="1" x14ac:dyDescent="0.25">
      <c r="B61" s="54" t="str">
        <f>+B123</f>
        <v>Finans Norge / Skadestatistikk</v>
      </c>
      <c r="H61" s="193">
        <v>1</v>
      </c>
      <c r="I61" s="77"/>
    </row>
    <row r="62" spans="1:14" ht="12.75" customHeight="1" x14ac:dyDescent="0.25">
      <c r="B62" s="54" t="str">
        <f>+B124</f>
        <v>Skadestatistikk for landbasert forsikring 4. kvartal 2016</v>
      </c>
      <c r="H62" s="194"/>
      <c r="I62" s="77"/>
    </row>
    <row r="63" spans="1:14" ht="12.75" customHeight="1" x14ac:dyDescent="0.25">
      <c r="I63" s="77"/>
    </row>
    <row r="64" spans="1:14" ht="12.75" customHeight="1" x14ac:dyDescent="0.25">
      <c r="I64" s="77"/>
    </row>
    <row r="66" spans="1:13" ht="12.75" customHeight="1" x14ac:dyDescent="0.3">
      <c r="A66" s="91" t="s">
        <v>127</v>
      </c>
      <c r="B66" s="73" t="s">
        <v>223</v>
      </c>
      <c r="H66" s="76">
        <f>H48+1</f>
        <v>21</v>
      </c>
    </row>
    <row r="67" spans="1:13" ht="12.75" customHeight="1" x14ac:dyDescent="0.3">
      <c r="B67" s="73" t="s">
        <v>224</v>
      </c>
      <c r="H67" s="76">
        <f>H66</f>
        <v>21</v>
      </c>
    </row>
    <row r="68" spans="1:13" ht="12.75" customHeight="1" x14ac:dyDescent="0.3">
      <c r="A68" s="91" t="s">
        <v>128</v>
      </c>
      <c r="B68" s="73" t="s">
        <v>225</v>
      </c>
      <c r="H68" s="76">
        <f>H67+1</f>
        <v>22</v>
      </c>
    </row>
    <row r="69" spans="1:13" ht="12.75" customHeight="1" x14ac:dyDescent="0.3">
      <c r="B69" s="73" t="s">
        <v>226</v>
      </c>
      <c r="H69" s="76">
        <f>H68</f>
        <v>22</v>
      </c>
    </row>
    <row r="70" spans="1:13" ht="12.75" customHeight="1" x14ac:dyDescent="0.3">
      <c r="A70" s="91" t="s">
        <v>129</v>
      </c>
      <c r="B70" s="73" t="s">
        <v>227</v>
      </c>
      <c r="H70" s="76">
        <f>H69+1</f>
        <v>23</v>
      </c>
      <c r="J70"/>
      <c r="K70"/>
      <c r="L70"/>
      <c r="M70"/>
    </row>
    <row r="71" spans="1:13" ht="12.75" customHeight="1" x14ac:dyDescent="0.3">
      <c r="B71" s="73" t="s">
        <v>228</v>
      </c>
      <c r="H71" s="76">
        <f>H70</f>
        <v>23</v>
      </c>
      <c r="J71"/>
      <c r="K71" s="71"/>
      <c r="L71" s="72"/>
      <c r="M71" s="72"/>
    </row>
    <row r="72" spans="1:13" ht="12.75" customHeight="1" x14ac:dyDescent="0.25">
      <c r="J72"/>
      <c r="K72" s="70"/>
      <c r="L72"/>
      <c r="M72"/>
    </row>
    <row r="73" spans="1:13" ht="12.75" customHeight="1" x14ac:dyDescent="0.3">
      <c r="A73" s="91" t="s">
        <v>130</v>
      </c>
      <c r="B73" s="73" t="s">
        <v>142</v>
      </c>
      <c r="C73" s="73"/>
      <c r="D73" s="73"/>
      <c r="E73" s="73"/>
      <c r="F73" s="73"/>
      <c r="G73" s="73"/>
      <c r="H73" s="76">
        <f>+H71+1</f>
        <v>24</v>
      </c>
      <c r="J73"/>
      <c r="K73" s="69"/>
      <c r="L73" s="69"/>
      <c r="M73" s="69"/>
    </row>
    <row r="74" spans="1:13" ht="12.75" customHeight="1" x14ac:dyDescent="0.3">
      <c r="B74" s="73" t="s">
        <v>107</v>
      </c>
      <c r="C74" s="73"/>
      <c r="D74" s="73"/>
      <c r="E74" s="73"/>
      <c r="F74" s="73"/>
      <c r="G74" s="73"/>
      <c r="H74" s="76">
        <f>+H73</f>
        <v>24</v>
      </c>
      <c r="J74"/>
      <c r="K74" s="69"/>
      <c r="L74" s="69"/>
      <c r="M74" s="69"/>
    </row>
    <row r="75" spans="1:13" ht="12.75" customHeight="1" x14ac:dyDescent="0.3">
      <c r="A75" s="91" t="s">
        <v>229</v>
      </c>
      <c r="B75" s="73" t="s">
        <v>143</v>
      </c>
      <c r="C75" s="73"/>
      <c r="D75" s="73"/>
      <c r="E75" s="73"/>
      <c r="F75" s="73"/>
      <c r="G75" s="73"/>
      <c r="H75" s="76">
        <f>+H74+1</f>
        <v>25</v>
      </c>
      <c r="J75"/>
      <c r="K75" s="69"/>
      <c r="L75" s="69"/>
      <c r="M75" s="69"/>
    </row>
    <row r="76" spans="1:13" ht="12.75" customHeight="1" x14ac:dyDescent="0.3">
      <c r="B76" s="73" t="s">
        <v>105</v>
      </c>
      <c r="C76" s="73"/>
      <c r="D76" s="73"/>
      <c r="E76" s="73"/>
      <c r="F76" s="73"/>
      <c r="G76" s="73"/>
      <c r="H76" s="76">
        <f>+H75</f>
        <v>25</v>
      </c>
      <c r="J76"/>
      <c r="K76" s="69"/>
      <c r="L76" s="69"/>
      <c r="M76" s="69"/>
    </row>
    <row r="77" spans="1:13" ht="12.75" customHeight="1" x14ac:dyDescent="0.3">
      <c r="A77" s="91" t="s">
        <v>230</v>
      </c>
      <c r="B77" s="73" t="s">
        <v>144</v>
      </c>
      <c r="C77" s="73"/>
      <c r="D77" s="73"/>
      <c r="E77" s="73"/>
      <c r="F77" s="73"/>
      <c r="G77" s="73"/>
      <c r="H77" s="76">
        <f>+H76+1</f>
        <v>26</v>
      </c>
      <c r="J77"/>
      <c r="K77"/>
      <c r="L77"/>
      <c r="M77"/>
    </row>
    <row r="78" spans="1:13" ht="12.75" customHeight="1" x14ac:dyDescent="0.3">
      <c r="B78" s="73" t="s">
        <v>106</v>
      </c>
      <c r="C78" s="73"/>
      <c r="D78" s="73"/>
      <c r="E78" s="73"/>
      <c r="F78" s="73"/>
      <c r="G78" s="73"/>
      <c r="H78" s="76">
        <f>+H77</f>
        <v>26</v>
      </c>
      <c r="J78"/>
      <c r="K78"/>
      <c r="L78"/>
      <c r="M78"/>
    </row>
    <row r="79" spans="1:13" ht="12.75" customHeight="1" x14ac:dyDescent="0.25">
      <c r="B79"/>
      <c r="C79"/>
      <c r="D79"/>
      <c r="E79"/>
      <c r="F79"/>
      <c r="G79"/>
      <c r="I79"/>
      <c r="J79"/>
      <c r="K79"/>
      <c r="L79"/>
      <c r="M79"/>
    </row>
    <row r="80" spans="1:13" ht="12.75" customHeight="1" x14ac:dyDescent="0.3">
      <c r="A80" s="91" t="s">
        <v>231</v>
      </c>
      <c r="B80" s="73" t="s">
        <v>92</v>
      </c>
      <c r="C80" s="73"/>
      <c r="D80" s="73"/>
      <c r="E80" s="73"/>
      <c r="F80" s="73"/>
      <c r="G80" s="73"/>
      <c r="H80" s="76">
        <f>+H78+1</f>
        <v>27</v>
      </c>
      <c r="I80"/>
      <c r="J80"/>
      <c r="K80"/>
      <c r="L80"/>
      <c r="M80"/>
    </row>
    <row r="81" spans="2:13" ht="12.75" customHeight="1" x14ac:dyDescent="0.25">
      <c r="C81"/>
      <c r="D81"/>
      <c r="E81"/>
      <c r="F81"/>
      <c r="G81"/>
      <c r="I81" s="68"/>
      <c r="J81"/>
      <c r="K81"/>
      <c r="L81"/>
      <c r="M81"/>
    </row>
    <row r="82" spans="2:13" ht="12.75" customHeight="1" x14ac:dyDescent="0.25">
      <c r="C82"/>
      <c r="D82"/>
      <c r="E82"/>
      <c r="F82"/>
      <c r="G82"/>
      <c r="I82" s="68"/>
      <c r="J82"/>
      <c r="K82"/>
      <c r="L82"/>
      <c r="M82"/>
    </row>
    <row r="83" spans="2:13" ht="12.75" customHeight="1" x14ac:dyDescent="0.25">
      <c r="C83"/>
      <c r="D83"/>
      <c r="E83"/>
      <c r="F83"/>
      <c r="G83"/>
      <c r="I83" s="68"/>
      <c r="J83"/>
      <c r="K83"/>
      <c r="L83"/>
      <c r="M83"/>
    </row>
    <row r="84" spans="2:13" ht="12.75" customHeight="1" x14ac:dyDescent="0.25">
      <c r="C84"/>
      <c r="D84"/>
      <c r="E84"/>
      <c r="F84"/>
      <c r="G84"/>
      <c r="I84" s="68"/>
      <c r="J84"/>
      <c r="K84"/>
      <c r="L84"/>
      <c r="M84"/>
    </row>
    <row r="85" spans="2:13" ht="12.75" customHeight="1" x14ac:dyDescent="0.25">
      <c r="C85"/>
      <c r="D85"/>
      <c r="E85"/>
      <c r="F85"/>
      <c r="G85"/>
      <c r="I85" s="68"/>
      <c r="J85"/>
      <c r="K85"/>
      <c r="L85"/>
      <c r="M85"/>
    </row>
    <row r="86" spans="2:13" ht="12.75" customHeight="1" x14ac:dyDescent="0.25">
      <c r="C86"/>
      <c r="D86"/>
      <c r="E86"/>
      <c r="F86"/>
      <c r="G86"/>
      <c r="I86" s="68"/>
      <c r="J86"/>
      <c r="K86"/>
      <c r="L86"/>
      <c r="M86"/>
    </row>
    <row r="87" spans="2:13" ht="12.75" customHeight="1" x14ac:dyDescent="0.25">
      <c r="C87"/>
      <c r="D87"/>
      <c r="E87"/>
      <c r="F87"/>
      <c r="G87"/>
      <c r="I87" s="68"/>
      <c r="J87"/>
      <c r="K87"/>
      <c r="L87"/>
      <c r="M87"/>
    </row>
    <row r="88" spans="2:13" ht="12.75" customHeight="1" x14ac:dyDescent="0.25">
      <c r="C88"/>
      <c r="D88"/>
      <c r="E88"/>
      <c r="F88"/>
      <c r="G88"/>
      <c r="I88" s="68"/>
      <c r="J88"/>
      <c r="K88"/>
      <c r="L88"/>
      <c r="M88"/>
    </row>
    <row r="89" spans="2:13" ht="12.75" customHeight="1" x14ac:dyDescent="0.25">
      <c r="C89"/>
      <c r="D89"/>
      <c r="E89"/>
      <c r="F89"/>
      <c r="G89"/>
      <c r="I89"/>
      <c r="J89"/>
      <c r="K89"/>
      <c r="L89"/>
      <c r="M89"/>
    </row>
    <row r="90" spans="2:13" ht="12.75" customHeight="1" x14ac:dyDescent="0.25">
      <c r="C90"/>
      <c r="D90"/>
      <c r="E90"/>
      <c r="F90"/>
      <c r="G90"/>
      <c r="I90"/>
      <c r="J90"/>
      <c r="K90"/>
      <c r="L90"/>
      <c r="M90"/>
    </row>
    <row r="91" spans="2:13" ht="12.75" customHeight="1" x14ac:dyDescent="0.3">
      <c r="B91" s="88"/>
      <c r="C91"/>
      <c r="D91"/>
      <c r="E91"/>
      <c r="F91"/>
      <c r="G91"/>
      <c r="I91"/>
      <c r="J91"/>
      <c r="K91"/>
      <c r="L91"/>
      <c r="M91"/>
    </row>
    <row r="92" spans="2:13" ht="12.75" customHeight="1" x14ac:dyDescent="0.25">
      <c r="C92"/>
      <c r="D92"/>
      <c r="E92"/>
      <c r="F92"/>
      <c r="G92"/>
      <c r="I92"/>
      <c r="J92"/>
      <c r="K92"/>
      <c r="L92"/>
      <c r="M92"/>
    </row>
    <row r="93" spans="2:13" ht="12.75" customHeight="1" x14ac:dyDescent="0.25">
      <c r="C93"/>
      <c r="D93"/>
      <c r="E93"/>
      <c r="F93"/>
      <c r="G93"/>
      <c r="I93"/>
      <c r="J93"/>
      <c r="K93"/>
      <c r="L93"/>
      <c r="M93"/>
    </row>
    <row r="94" spans="2:13" ht="12.75" customHeight="1" x14ac:dyDescent="0.25">
      <c r="B94"/>
      <c r="C94"/>
      <c r="D94"/>
      <c r="E94"/>
      <c r="F94"/>
      <c r="G94"/>
      <c r="I94"/>
      <c r="J94"/>
      <c r="K94"/>
      <c r="L94"/>
      <c r="M94"/>
    </row>
    <row r="95" spans="2:13" ht="12.75" customHeight="1" x14ac:dyDescent="0.25">
      <c r="B95"/>
      <c r="C95"/>
      <c r="D95"/>
      <c r="E95"/>
      <c r="F95"/>
      <c r="G95"/>
      <c r="I95"/>
      <c r="J95"/>
      <c r="K95"/>
      <c r="L95"/>
      <c r="M95"/>
    </row>
    <row r="96" spans="2:13" ht="12.75" customHeight="1" x14ac:dyDescent="0.25">
      <c r="C96"/>
      <c r="D96"/>
      <c r="E96"/>
      <c r="F96"/>
      <c r="G96"/>
      <c r="I96"/>
      <c r="J96"/>
      <c r="K96"/>
      <c r="L96"/>
      <c r="M96"/>
    </row>
    <row r="97" spans="2:13" ht="12.75" customHeight="1" x14ac:dyDescent="0.25">
      <c r="C97"/>
      <c r="D97"/>
      <c r="E97"/>
      <c r="F97"/>
      <c r="G97"/>
      <c r="I97"/>
      <c r="J97"/>
      <c r="K97"/>
      <c r="L97"/>
      <c r="M97"/>
    </row>
    <row r="98" spans="2:13" ht="12.75" customHeight="1" x14ac:dyDescent="0.25">
      <c r="B98"/>
      <c r="C98"/>
      <c r="D98"/>
      <c r="E98"/>
      <c r="F98"/>
      <c r="G98"/>
      <c r="I98"/>
      <c r="J98"/>
      <c r="K98"/>
      <c r="L98"/>
      <c r="M98"/>
    </row>
    <row r="99" spans="2:13" ht="12.75" customHeight="1" x14ac:dyDescent="0.25">
      <c r="C99"/>
      <c r="D99"/>
      <c r="E99"/>
      <c r="F99"/>
      <c r="G99"/>
      <c r="I99"/>
      <c r="J99"/>
      <c r="K99"/>
      <c r="L99"/>
      <c r="M99"/>
    </row>
    <row r="100" spans="2:13" ht="12.75" customHeight="1" x14ac:dyDescent="0.25">
      <c r="C100"/>
      <c r="D100"/>
      <c r="E100"/>
      <c r="F100"/>
      <c r="G100"/>
      <c r="I100"/>
      <c r="J100"/>
      <c r="K100"/>
      <c r="L100"/>
      <c r="M100"/>
    </row>
    <row r="101" spans="2:13" ht="12.75" customHeight="1" x14ac:dyDescent="0.25">
      <c r="B101"/>
      <c r="C101"/>
      <c r="D101"/>
      <c r="E101"/>
      <c r="F101"/>
      <c r="G101"/>
      <c r="I101"/>
      <c r="J101"/>
      <c r="K101"/>
      <c r="L101"/>
      <c r="M101"/>
    </row>
    <row r="102" spans="2:13" ht="12.75" customHeight="1" x14ac:dyDescent="0.25">
      <c r="B102"/>
      <c r="C102"/>
      <c r="D102"/>
      <c r="E102"/>
      <c r="F102"/>
      <c r="G102"/>
      <c r="I102"/>
      <c r="J102"/>
      <c r="K102"/>
      <c r="L102"/>
      <c r="M102"/>
    </row>
    <row r="103" spans="2:13" ht="12.75" customHeight="1" x14ac:dyDescent="0.25">
      <c r="B103"/>
      <c r="C103"/>
      <c r="D103"/>
      <c r="E103"/>
      <c r="F103"/>
      <c r="G103"/>
      <c r="I103"/>
      <c r="J103"/>
      <c r="K103"/>
      <c r="L103"/>
      <c r="M103"/>
    </row>
    <row r="104" spans="2:13" ht="12.75" customHeight="1" x14ac:dyDescent="0.25">
      <c r="B104"/>
      <c r="C104"/>
      <c r="D104"/>
      <c r="E104"/>
      <c r="F104"/>
      <c r="G104"/>
      <c r="I104"/>
      <c r="J104"/>
      <c r="K104"/>
      <c r="L104"/>
      <c r="M104"/>
    </row>
    <row r="105" spans="2:13" ht="12.75" customHeight="1" x14ac:dyDescent="0.25">
      <c r="B105"/>
      <c r="C105"/>
      <c r="D105"/>
      <c r="E105"/>
      <c r="F105"/>
      <c r="G105"/>
      <c r="I105"/>
      <c r="J105"/>
      <c r="K105"/>
      <c r="L105"/>
      <c r="M105"/>
    </row>
    <row r="106" spans="2:13" ht="12.75" customHeight="1" x14ac:dyDescent="0.25">
      <c r="B106"/>
      <c r="C106"/>
      <c r="D106"/>
      <c r="E106"/>
      <c r="F106"/>
      <c r="G106"/>
      <c r="I106"/>
      <c r="J106"/>
      <c r="K106"/>
      <c r="L106"/>
      <c r="M106"/>
    </row>
    <row r="107" spans="2:13" ht="12.75" customHeight="1" x14ac:dyDescent="0.25">
      <c r="B107"/>
      <c r="C107"/>
      <c r="D107"/>
      <c r="E107"/>
      <c r="F107"/>
      <c r="G107"/>
      <c r="I107"/>
      <c r="J107"/>
      <c r="K107"/>
      <c r="L107"/>
      <c r="M107"/>
    </row>
    <row r="108" spans="2:13" ht="12.75" customHeight="1" x14ac:dyDescent="0.25">
      <c r="B108"/>
      <c r="C108"/>
      <c r="D108"/>
      <c r="E108"/>
      <c r="F108"/>
      <c r="G108"/>
      <c r="I108"/>
      <c r="J108"/>
      <c r="K108"/>
      <c r="L108"/>
      <c r="M108"/>
    </row>
    <row r="109" spans="2:13" ht="12.75" customHeight="1" x14ac:dyDescent="0.25">
      <c r="B109"/>
      <c r="C109"/>
      <c r="D109"/>
      <c r="E109"/>
      <c r="F109"/>
      <c r="G109"/>
      <c r="I109"/>
      <c r="J109"/>
      <c r="K109"/>
      <c r="L109"/>
      <c r="M109"/>
    </row>
    <row r="110" spans="2:13" ht="12.75" customHeight="1" x14ac:dyDescent="0.25">
      <c r="B110"/>
      <c r="C110"/>
      <c r="D110"/>
      <c r="E110"/>
      <c r="F110"/>
      <c r="G110"/>
      <c r="I110"/>
      <c r="J110"/>
      <c r="K110"/>
      <c r="L110"/>
      <c r="M110"/>
    </row>
    <row r="111" spans="2:13" ht="12.75" customHeight="1" x14ac:dyDescent="0.25">
      <c r="B111"/>
      <c r="C111"/>
      <c r="D111"/>
      <c r="E111"/>
      <c r="F111"/>
      <c r="G111"/>
      <c r="I111"/>
      <c r="J111"/>
      <c r="K111"/>
      <c r="L111"/>
      <c r="M111"/>
    </row>
    <row r="112" spans="2:13" ht="12.75" customHeight="1" x14ac:dyDescent="0.25">
      <c r="B112"/>
      <c r="C112"/>
      <c r="D112"/>
      <c r="E112"/>
      <c r="F112"/>
      <c r="G112"/>
      <c r="I112"/>
      <c r="J112"/>
      <c r="K112"/>
      <c r="L112"/>
      <c r="M112"/>
    </row>
    <row r="113" spans="2:13" ht="12.75" customHeight="1" x14ac:dyDescent="0.25">
      <c r="B113"/>
      <c r="C113"/>
      <c r="D113"/>
      <c r="E113"/>
      <c r="F113"/>
      <c r="G113"/>
      <c r="I113"/>
      <c r="J113"/>
      <c r="K113"/>
      <c r="L113"/>
      <c r="M113"/>
    </row>
    <row r="114" spans="2:13" ht="12.75" customHeight="1" x14ac:dyDescent="0.25">
      <c r="B114"/>
      <c r="C114"/>
      <c r="D114"/>
      <c r="E114"/>
      <c r="F114"/>
      <c r="G114"/>
      <c r="I114"/>
      <c r="J114"/>
      <c r="K114"/>
      <c r="L114"/>
      <c r="M114"/>
    </row>
    <row r="115" spans="2:13" ht="12.75" customHeight="1" x14ac:dyDescent="0.25">
      <c r="B115"/>
      <c r="C115"/>
      <c r="D115"/>
      <c r="E115"/>
      <c r="F115"/>
      <c r="G115"/>
      <c r="L115"/>
    </row>
    <row r="116" spans="2:13" ht="12.75" customHeight="1" x14ac:dyDescent="0.25">
      <c r="B116"/>
      <c r="C116"/>
      <c r="D116"/>
      <c r="E116"/>
      <c r="F116"/>
      <c r="G116"/>
      <c r="L116"/>
    </row>
    <row r="117" spans="2:13" ht="12.75" customHeight="1" x14ac:dyDescent="0.25">
      <c r="B117"/>
      <c r="C117"/>
      <c r="D117"/>
      <c r="E117"/>
      <c r="F117"/>
      <c r="G117"/>
      <c r="I117"/>
      <c r="J117"/>
      <c r="K117"/>
      <c r="L117"/>
    </row>
    <row r="118" spans="2:13" ht="12.75" customHeight="1" x14ac:dyDescent="0.25">
      <c r="B118"/>
      <c r="C118"/>
      <c r="D118"/>
      <c r="E118"/>
      <c r="F118"/>
      <c r="G118"/>
      <c r="I118"/>
      <c r="J118"/>
      <c r="K118"/>
      <c r="L118"/>
    </row>
    <row r="119" spans="2:13" ht="12.75" customHeight="1" x14ac:dyDescent="0.25">
      <c r="B119"/>
      <c r="C119"/>
      <c r="D119"/>
      <c r="E119"/>
      <c r="F119"/>
      <c r="G119"/>
      <c r="I119"/>
      <c r="J119"/>
      <c r="K119"/>
      <c r="L119"/>
    </row>
    <row r="120" spans="2:13" ht="12.75" customHeight="1" x14ac:dyDescent="0.25">
      <c r="B120"/>
      <c r="C120"/>
      <c r="D120"/>
      <c r="E120"/>
      <c r="F120"/>
      <c r="G120"/>
      <c r="I120"/>
      <c r="J120"/>
      <c r="K120"/>
      <c r="L120"/>
    </row>
    <row r="121" spans="2:13" ht="12.75" customHeight="1" x14ac:dyDescent="0.25">
      <c r="B121"/>
      <c r="C121"/>
      <c r="D121"/>
      <c r="E121"/>
      <c r="F121"/>
      <c r="G121"/>
      <c r="I121"/>
      <c r="J121"/>
      <c r="K121"/>
      <c r="L121"/>
    </row>
    <row r="122" spans="2:13" ht="12.75" customHeight="1" x14ac:dyDescent="0.25">
      <c r="B122" s="52"/>
      <c r="C122" s="52"/>
      <c r="D122" s="52"/>
      <c r="E122" s="52"/>
      <c r="F122" s="52"/>
      <c r="G122" s="52"/>
      <c r="H122" s="52"/>
      <c r="I122"/>
      <c r="J122" s="69"/>
      <c r="K122" s="69"/>
      <c r="L122" s="69"/>
    </row>
    <row r="123" spans="2:13" ht="12.75" customHeight="1" x14ac:dyDescent="0.25">
      <c r="B123" s="54" t="str">
        <f>"Finans Norge / Skadestatistikk"</f>
        <v>Finans Norge / Skadestatistikk</v>
      </c>
      <c r="H123" s="193">
        <v>2</v>
      </c>
      <c r="I123"/>
      <c r="J123" s="69"/>
      <c r="K123" s="69"/>
      <c r="L123" s="69"/>
    </row>
    <row r="124" spans="2:13" ht="12.75" customHeight="1" x14ac:dyDescent="0.25">
      <c r="B124" s="54" t="str">
        <f>"Skadestatistikk for landbasert forsikring 4. kvartal 2016"</f>
        <v>Skadestatistikk for landbasert forsikring 4. kvartal 2016</v>
      </c>
      <c r="H124" s="194"/>
      <c r="I124"/>
      <c r="J124"/>
      <c r="K124"/>
      <c r="L124"/>
    </row>
    <row r="125" spans="2:13" ht="12.75" customHeight="1" x14ac:dyDescent="0.25">
      <c r="B125" s="78"/>
      <c r="C125"/>
      <c r="D125"/>
      <c r="E125"/>
      <c r="F125"/>
      <c r="G125"/>
      <c r="I125"/>
      <c r="J125"/>
      <c r="K125"/>
      <c r="L125"/>
    </row>
    <row r="126" spans="2:13" ht="12.75" customHeight="1" x14ac:dyDescent="0.25">
      <c r="B126"/>
      <c r="C126"/>
      <c r="D126"/>
      <c r="E126"/>
      <c r="F126"/>
      <c r="G126"/>
      <c r="I126"/>
      <c r="J126"/>
      <c r="K126"/>
      <c r="L126"/>
    </row>
    <row r="127" spans="2:13" ht="12.75" customHeight="1" x14ac:dyDescent="0.25">
      <c r="B127"/>
      <c r="C127"/>
      <c r="D127"/>
      <c r="E127"/>
      <c r="F127"/>
      <c r="G127"/>
      <c r="L127"/>
    </row>
    <row r="128" spans="2:13" ht="12.75" customHeight="1" x14ac:dyDescent="0.25">
      <c r="B128"/>
      <c r="C128"/>
      <c r="D128"/>
      <c r="E128"/>
      <c r="F128"/>
      <c r="G128"/>
      <c r="L128"/>
    </row>
    <row r="129" spans="2:12" ht="12.75" customHeight="1" x14ac:dyDescent="0.25">
      <c r="B129"/>
      <c r="C129"/>
      <c r="D129"/>
      <c r="E129"/>
      <c r="F129"/>
      <c r="G129"/>
      <c r="I129" s="68"/>
      <c r="J129"/>
      <c r="K129"/>
      <c r="L129"/>
    </row>
    <row r="130" spans="2:12" ht="12.75" customHeight="1" x14ac:dyDescent="0.25">
      <c r="B130"/>
      <c r="C130"/>
      <c r="D130"/>
      <c r="E130"/>
      <c r="F130"/>
      <c r="G130"/>
      <c r="I130"/>
      <c r="J130"/>
      <c r="K130"/>
      <c r="L130"/>
    </row>
    <row r="131" spans="2:12" ht="12.75" customHeight="1" x14ac:dyDescent="0.25">
      <c r="B131"/>
      <c r="C131"/>
      <c r="D131"/>
      <c r="E131"/>
      <c r="F131"/>
      <c r="G131"/>
      <c r="I131"/>
      <c r="J131"/>
      <c r="K131"/>
      <c r="L131"/>
    </row>
    <row r="132" spans="2:12" ht="12.75" customHeight="1" x14ac:dyDescent="0.25">
      <c r="B132"/>
      <c r="C132"/>
      <c r="D132"/>
      <c r="E132"/>
      <c r="F132"/>
      <c r="G132"/>
      <c r="I132"/>
      <c r="J132"/>
      <c r="K132" s="69"/>
      <c r="L132" s="69"/>
    </row>
    <row r="133" spans="2:12" ht="12.75" customHeight="1" x14ac:dyDescent="0.25">
      <c r="B133"/>
      <c r="C133"/>
      <c r="D133"/>
      <c r="E133"/>
      <c r="F133"/>
      <c r="G133"/>
      <c r="I133"/>
      <c r="J133"/>
      <c r="K133" s="69"/>
      <c r="L133" s="69"/>
    </row>
    <row r="134" spans="2:12" ht="12.75" customHeight="1" x14ac:dyDescent="0.25">
      <c r="B134"/>
      <c r="C134"/>
      <c r="D134"/>
      <c r="E134"/>
      <c r="F134"/>
      <c r="G134"/>
      <c r="I134"/>
      <c r="J134"/>
      <c r="K134" s="69"/>
      <c r="L134" s="69"/>
    </row>
    <row r="135" spans="2:12" ht="12.75" customHeight="1" x14ac:dyDescent="0.25">
      <c r="B135"/>
      <c r="C135"/>
      <c r="D135"/>
      <c r="E135"/>
      <c r="F135"/>
      <c r="G135"/>
      <c r="I135"/>
      <c r="J135"/>
      <c r="K135"/>
      <c r="L135"/>
    </row>
    <row r="136" spans="2:12" ht="12.75" customHeight="1" x14ac:dyDescent="0.25">
      <c r="B136"/>
      <c r="C136"/>
      <c r="D136"/>
      <c r="E136"/>
      <c r="F136"/>
      <c r="G136"/>
      <c r="I136"/>
      <c r="J136"/>
      <c r="K136"/>
      <c r="L136"/>
    </row>
    <row r="137" spans="2:12" ht="12.75" customHeight="1" x14ac:dyDescent="0.25">
      <c r="B137"/>
      <c r="C137"/>
      <c r="D137"/>
      <c r="E137"/>
      <c r="F137"/>
      <c r="G137"/>
      <c r="I137"/>
      <c r="J137"/>
      <c r="K137"/>
      <c r="L137"/>
    </row>
    <row r="138" spans="2:12" ht="12.75" customHeight="1" x14ac:dyDescent="0.25">
      <c r="B138"/>
      <c r="C138"/>
      <c r="D138"/>
      <c r="E138"/>
      <c r="F138"/>
      <c r="G138"/>
    </row>
    <row r="139" spans="2:12" ht="12.75" customHeight="1" x14ac:dyDescent="0.25">
      <c r="B139"/>
      <c r="C139"/>
      <c r="D139"/>
      <c r="E139"/>
      <c r="F139"/>
      <c r="G139"/>
    </row>
    <row r="140" spans="2:12" ht="12.75" customHeight="1" x14ac:dyDescent="0.25">
      <c r="B140"/>
      <c r="C140"/>
      <c r="D140"/>
      <c r="E140"/>
      <c r="F140"/>
      <c r="G140"/>
      <c r="I140" s="68"/>
      <c r="J140"/>
      <c r="K140"/>
      <c r="L140"/>
    </row>
    <row r="141" spans="2:12" ht="12.75" customHeight="1" x14ac:dyDescent="0.25">
      <c r="B141"/>
      <c r="C141"/>
      <c r="D141"/>
      <c r="E141"/>
      <c r="F141"/>
      <c r="G141"/>
      <c r="I141"/>
      <c r="J141"/>
      <c r="K141"/>
      <c r="L141"/>
    </row>
    <row r="142" spans="2:12" ht="12.75" customHeight="1" x14ac:dyDescent="0.25">
      <c r="B142"/>
      <c r="C142"/>
      <c r="D142"/>
      <c r="E142"/>
      <c r="F142"/>
      <c r="G142"/>
      <c r="I142"/>
      <c r="J142"/>
      <c r="K142"/>
      <c r="L142"/>
    </row>
    <row r="143" spans="2:12" ht="12.75" customHeight="1" x14ac:dyDescent="0.25">
      <c r="B143"/>
      <c r="C143"/>
      <c r="D143"/>
      <c r="E143"/>
      <c r="F143"/>
      <c r="G143"/>
      <c r="I143"/>
      <c r="J143"/>
      <c r="K143" s="69"/>
      <c r="L143" s="69"/>
    </row>
    <row r="144" spans="2:12" ht="12.75" customHeight="1" x14ac:dyDescent="0.25">
      <c r="B144"/>
      <c r="C144"/>
      <c r="D144"/>
      <c r="E144"/>
      <c r="F144"/>
      <c r="G144"/>
      <c r="I144"/>
      <c r="J144"/>
      <c r="K144" s="69"/>
      <c r="L144" s="69"/>
    </row>
    <row r="145" spans="2:12" ht="12.75" customHeight="1" x14ac:dyDescent="0.25">
      <c r="B145"/>
      <c r="C145"/>
      <c r="D145"/>
      <c r="E145"/>
      <c r="F145"/>
      <c r="G145"/>
      <c r="I145"/>
      <c r="J145"/>
      <c r="K145" s="69"/>
      <c r="L145" s="69"/>
    </row>
    <row r="146" spans="2:12" ht="12.75" customHeight="1" x14ac:dyDescent="0.25">
      <c r="B146"/>
      <c r="C146"/>
      <c r="D146"/>
      <c r="E146"/>
      <c r="F146"/>
      <c r="G146"/>
      <c r="I146"/>
      <c r="J146"/>
      <c r="K146"/>
      <c r="L146"/>
    </row>
    <row r="147" spans="2:12" ht="12.75" customHeight="1" x14ac:dyDescent="0.25">
      <c r="B147"/>
      <c r="C147"/>
      <c r="D147"/>
      <c r="E147"/>
      <c r="F147"/>
      <c r="G147"/>
      <c r="H147"/>
      <c r="I147"/>
      <c r="J147"/>
      <c r="K147"/>
      <c r="L147"/>
    </row>
    <row r="148" spans="2:12" ht="12.75" customHeight="1" x14ac:dyDescent="0.25">
      <c r="B148"/>
      <c r="C148"/>
      <c r="D148"/>
      <c r="E148"/>
      <c r="F148"/>
      <c r="G148"/>
      <c r="H148"/>
      <c r="I148"/>
      <c r="J148"/>
      <c r="K148"/>
      <c r="L148"/>
    </row>
    <row r="149" spans="2:12" ht="12.75" customHeight="1" x14ac:dyDescent="0.25">
      <c r="B149"/>
      <c r="C149"/>
      <c r="D149"/>
      <c r="E149"/>
      <c r="F149"/>
      <c r="G149"/>
      <c r="H149"/>
      <c r="I149"/>
      <c r="J149" s="69"/>
      <c r="K149" s="69"/>
    </row>
    <row r="150" spans="2:12" ht="12.75" customHeight="1" x14ac:dyDescent="0.25">
      <c r="B150"/>
      <c r="C150" s="69"/>
      <c r="D150" s="69"/>
      <c r="E150"/>
      <c r="F150"/>
      <c r="G150"/>
      <c r="H150"/>
      <c r="I150"/>
      <c r="J150" s="69"/>
      <c r="K150" s="69"/>
    </row>
    <row r="151" spans="2:12" ht="12.75" customHeight="1" x14ac:dyDescent="0.25">
      <c r="B151"/>
      <c r="C151"/>
      <c r="D151"/>
      <c r="E151"/>
      <c r="G151"/>
      <c r="H151"/>
      <c r="I151"/>
      <c r="J151"/>
      <c r="K151"/>
    </row>
    <row r="152" spans="2:12" ht="12.75" customHeight="1" x14ac:dyDescent="0.25">
      <c r="B152"/>
      <c r="C152"/>
      <c r="D152"/>
      <c r="E152"/>
      <c r="G152"/>
      <c r="H152"/>
      <c r="I152"/>
      <c r="J152"/>
      <c r="K152"/>
    </row>
    <row r="153" spans="2:12" ht="12.75" customHeight="1" x14ac:dyDescent="0.25">
      <c r="B153"/>
      <c r="C153"/>
      <c r="D153"/>
      <c r="E153"/>
      <c r="G153"/>
      <c r="H153"/>
      <c r="I153"/>
      <c r="J153"/>
      <c r="K153"/>
    </row>
    <row r="154" spans="2:12" ht="12.75" customHeight="1" x14ac:dyDescent="0.25">
      <c r="B154"/>
      <c r="C154" s="69"/>
      <c r="D154" s="69"/>
      <c r="E154"/>
      <c r="G154"/>
      <c r="H154"/>
      <c r="I154"/>
      <c r="J154"/>
      <c r="K154"/>
    </row>
    <row r="155" spans="2:12" ht="12.75" customHeight="1" x14ac:dyDescent="0.25">
      <c r="B155"/>
      <c r="C155" s="69"/>
      <c r="D155" s="69"/>
      <c r="E155"/>
      <c r="G155"/>
      <c r="H155"/>
      <c r="I155"/>
      <c r="J155"/>
      <c r="K155"/>
    </row>
    <row r="156" spans="2:12" ht="12.75" customHeight="1" x14ac:dyDescent="0.25">
      <c r="B156"/>
      <c r="C156" s="69"/>
      <c r="D156" s="69"/>
      <c r="E156"/>
      <c r="G156"/>
    </row>
    <row r="157" spans="2:12" ht="12.75" customHeight="1" x14ac:dyDescent="0.25">
      <c r="B157"/>
      <c r="C157"/>
      <c r="D157"/>
      <c r="E157"/>
      <c r="G157"/>
    </row>
    <row r="158" spans="2:12" ht="12.75" customHeight="1" x14ac:dyDescent="0.25">
      <c r="B158"/>
      <c r="C158" s="69"/>
      <c r="D158" s="69"/>
      <c r="E158"/>
      <c r="G158"/>
    </row>
    <row r="159" spans="2:12" ht="12.75" customHeight="1" x14ac:dyDescent="0.25">
      <c r="B159"/>
      <c r="C159" s="69"/>
      <c r="D159" s="69"/>
      <c r="E159"/>
      <c r="G159"/>
    </row>
    <row r="160" spans="2:12" ht="12.75" customHeight="1" x14ac:dyDescent="0.25">
      <c r="B160"/>
      <c r="C160" s="69"/>
      <c r="D160" s="69"/>
      <c r="E160"/>
      <c r="G160"/>
    </row>
    <row r="161" spans="2:7" ht="12.75" customHeight="1" x14ac:dyDescent="0.25">
      <c r="B161"/>
      <c r="C161"/>
      <c r="D161"/>
      <c r="E161"/>
      <c r="G161"/>
    </row>
    <row r="162" spans="2:7" ht="12.75" customHeight="1" x14ac:dyDescent="0.25">
      <c r="B162"/>
      <c r="C162" s="69"/>
      <c r="D162" s="69"/>
      <c r="E162"/>
      <c r="G162"/>
    </row>
    <row r="163" spans="2:7" ht="12.75" customHeight="1" x14ac:dyDescent="0.25">
      <c r="B163"/>
      <c r="C163" s="69"/>
      <c r="D163" s="69"/>
      <c r="E163"/>
      <c r="G163"/>
    </row>
  </sheetData>
  <mergeCells count="2">
    <mergeCell ref="H61:H62"/>
    <mergeCell ref="H123:H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73" location="'Tab18'!A2" display="Tab18"/>
    <hyperlink ref="A75" location="'Tab19'!A2" display="Tab19"/>
    <hyperlink ref="A77" location="'Tab20'!A2" display="Tab20"/>
    <hyperlink ref="A47" location="'Tab14'!A2" display="Tab14"/>
    <hyperlink ref="A80" location="'Tab21'!A2" display="Tab21"/>
    <hyperlink ref="A66" location="'Tab15'!A2" display="Tab15"/>
    <hyperlink ref="A68" location="'Tab16'!A2" display="Tab16"/>
    <hyperlink ref="A70" location="'Tab17'!A2" display="Tab17"/>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155</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61</v>
      </c>
      <c r="B7" s="19" t="s">
        <v>3</v>
      </c>
      <c r="C7" s="20">
        <v>306308</v>
      </c>
      <c r="D7" s="20">
        <v>320739</v>
      </c>
      <c r="E7" s="79">
        <v>311962</v>
      </c>
      <c r="F7" s="22" t="s">
        <v>241</v>
      </c>
      <c r="G7" s="23">
        <v>1.8458544993927575</v>
      </c>
      <c r="H7" s="24">
        <v>-2.7364929116820917</v>
      </c>
    </row>
    <row r="8" spans="1:8" x14ac:dyDescent="0.25">
      <c r="A8" s="199"/>
      <c r="B8" s="25" t="s">
        <v>241</v>
      </c>
      <c r="C8" s="26" t="s">
        <v>241</v>
      </c>
      <c r="D8" s="26" t="s">
        <v>241</v>
      </c>
      <c r="E8" s="26" t="s">
        <v>241</v>
      </c>
      <c r="F8" s="27"/>
      <c r="G8" s="28" t="s">
        <v>241</v>
      </c>
      <c r="H8" s="29" t="s">
        <v>241</v>
      </c>
    </row>
    <row r="9" spans="1:8" x14ac:dyDescent="0.25">
      <c r="A9" s="30" t="s">
        <v>62</v>
      </c>
      <c r="B9" s="31" t="s">
        <v>3</v>
      </c>
      <c r="C9" s="20">
        <v>103092</v>
      </c>
      <c r="D9" s="20">
        <v>102789.95</v>
      </c>
      <c r="E9" s="21">
        <v>101646.25</v>
      </c>
      <c r="F9" s="22" t="s">
        <v>241</v>
      </c>
      <c r="G9" s="32">
        <v>-1.4023881581500035</v>
      </c>
      <c r="H9" s="33">
        <v>-1.1126574144651187</v>
      </c>
    </row>
    <row r="10" spans="1:8" x14ac:dyDescent="0.25">
      <c r="A10" s="34"/>
      <c r="B10" s="25" t="s">
        <v>241</v>
      </c>
      <c r="C10" s="26" t="s">
        <v>241</v>
      </c>
      <c r="D10" s="26" t="s">
        <v>241</v>
      </c>
      <c r="E10" s="26" t="s">
        <v>241</v>
      </c>
      <c r="F10" s="27"/>
      <c r="G10" s="35" t="s">
        <v>241</v>
      </c>
      <c r="H10" s="29" t="s">
        <v>241</v>
      </c>
    </row>
    <row r="11" spans="1:8" x14ac:dyDescent="0.25">
      <c r="A11" s="30" t="s">
        <v>47</v>
      </c>
      <c r="B11" s="31" t="s">
        <v>3</v>
      </c>
      <c r="C11" s="20">
        <v>12718</v>
      </c>
      <c r="D11" s="20">
        <v>13876.2</v>
      </c>
      <c r="E11" s="21">
        <v>11526.5</v>
      </c>
      <c r="F11" s="22" t="s">
        <v>241</v>
      </c>
      <c r="G11" s="37">
        <v>-9.3686114168894505</v>
      </c>
      <c r="H11" s="33">
        <v>-16.933310272264748</v>
      </c>
    </row>
    <row r="12" spans="1:8" x14ac:dyDescent="0.25">
      <c r="A12" s="34"/>
      <c r="B12" s="25" t="s">
        <v>241</v>
      </c>
      <c r="C12" s="26" t="s">
        <v>241</v>
      </c>
      <c r="D12" s="26" t="s">
        <v>241</v>
      </c>
      <c r="E12" s="26" t="s">
        <v>241</v>
      </c>
      <c r="F12" s="27"/>
      <c r="G12" s="28" t="s">
        <v>241</v>
      </c>
      <c r="H12" s="29" t="s">
        <v>241</v>
      </c>
    </row>
    <row r="13" spans="1:8" x14ac:dyDescent="0.25">
      <c r="A13" s="30" t="s">
        <v>48</v>
      </c>
      <c r="B13" s="31" t="s">
        <v>3</v>
      </c>
      <c r="C13" s="20">
        <v>96531</v>
      </c>
      <c r="D13" s="20">
        <v>97209.7</v>
      </c>
      <c r="E13" s="21">
        <v>94852.25</v>
      </c>
      <c r="F13" s="22" t="s">
        <v>241</v>
      </c>
      <c r="G13" s="23">
        <v>-1.7390786379504988</v>
      </c>
      <c r="H13" s="24">
        <v>-2.4251180694930667</v>
      </c>
    </row>
    <row r="14" spans="1:8" x14ac:dyDescent="0.25">
      <c r="A14" s="34"/>
      <c r="B14" s="25" t="s">
        <v>241</v>
      </c>
      <c r="C14" s="26" t="s">
        <v>241</v>
      </c>
      <c r="D14" s="26" t="s">
        <v>241</v>
      </c>
      <c r="E14" s="26" t="s">
        <v>241</v>
      </c>
      <c r="F14" s="27"/>
      <c r="G14" s="38" t="s">
        <v>241</v>
      </c>
      <c r="H14" s="24" t="s">
        <v>241</v>
      </c>
    </row>
    <row r="15" spans="1:8" x14ac:dyDescent="0.25">
      <c r="A15" s="30" t="s">
        <v>49</v>
      </c>
      <c r="B15" s="31" t="s">
        <v>3</v>
      </c>
      <c r="C15" s="20">
        <v>63651</v>
      </c>
      <c r="D15" s="20">
        <v>71442.95</v>
      </c>
      <c r="E15" s="21">
        <v>76225.75</v>
      </c>
      <c r="F15" s="22" t="s">
        <v>241</v>
      </c>
      <c r="G15" s="37">
        <v>19.755777599723487</v>
      </c>
      <c r="H15" s="33">
        <v>6.6945723825793948</v>
      </c>
    </row>
    <row r="16" spans="1:8" x14ac:dyDescent="0.25">
      <c r="A16" s="34"/>
      <c r="B16" s="25" t="s">
        <v>241</v>
      </c>
      <c r="C16" s="26" t="s">
        <v>241</v>
      </c>
      <c r="D16" s="26" t="s">
        <v>241</v>
      </c>
      <c r="E16" s="26" t="s">
        <v>241</v>
      </c>
      <c r="F16" s="27"/>
      <c r="G16" s="28" t="s">
        <v>241</v>
      </c>
      <c r="H16" s="29" t="s">
        <v>241</v>
      </c>
    </row>
    <row r="17" spans="1:9" x14ac:dyDescent="0.25">
      <c r="A17" s="30" t="s">
        <v>50</v>
      </c>
      <c r="B17" s="31" t="s">
        <v>3</v>
      </c>
      <c r="C17" s="20">
        <v>46246</v>
      </c>
      <c r="D17" s="20">
        <v>51482.2</v>
      </c>
      <c r="E17" s="21">
        <v>42717.25</v>
      </c>
      <c r="F17" s="22" t="s">
        <v>241</v>
      </c>
      <c r="G17" s="37">
        <v>-7.6303896553215509</v>
      </c>
      <c r="H17" s="33">
        <v>-17.025204828076497</v>
      </c>
    </row>
    <row r="18" spans="1:9" ht="13.8" thickBot="1" x14ac:dyDescent="0.3">
      <c r="A18" s="56"/>
      <c r="B18" s="42" t="s">
        <v>241</v>
      </c>
      <c r="C18" s="43" t="s">
        <v>241</v>
      </c>
      <c r="D18" s="43" t="s">
        <v>241</v>
      </c>
      <c r="E18" s="43" t="s">
        <v>241</v>
      </c>
      <c r="F18" s="44"/>
      <c r="G18" s="57" t="s">
        <v>241</v>
      </c>
      <c r="H18" s="46" t="s">
        <v>241</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71</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61</v>
      </c>
      <c r="B35" s="19" t="s">
        <v>3</v>
      </c>
      <c r="C35" s="80">
        <v>1854.3190241750001</v>
      </c>
      <c r="D35" s="80">
        <v>2002.9648543779999</v>
      </c>
      <c r="E35" s="81">
        <v>2043.508105676</v>
      </c>
      <c r="F35" s="22" t="s">
        <v>241</v>
      </c>
      <c r="G35" s="23">
        <v>10.20261772836912</v>
      </c>
      <c r="H35" s="24">
        <v>2.0241618922759699</v>
      </c>
    </row>
    <row r="36" spans="1:9" ht="12.75" customHeight="1" x14ac:dyDescent="0.25">
      <c r="A36" s="199"/>
      <c r="B36" s="25" t="s">
        <v>241</v>
      </c>
      <c r="C36" s="82" t="s">
        <v>241</v>
      </c>
      <c r="D36" s="82" t="s">
        <v>241</v>
      </c>
      <c r="E36" s="82" t="s">
        <v>241</v>
      </c>
      <c r="F36" s="27"/>
      <c r="G36" s="28" t="s">
        <v>241</v>
      </c>
      <c r="H36" s="29" t="s">
        <v>241</v>
      </c>
    </row>
    <row r="37" spans="1:9" x14ac:dyDescent="0.25">
      <c r="A37" s="30" t="s">
        <v>62</v>
      </c>
      <c r="B37" s="31" t="s">
        <v>3</v>
      </c>
      <c r="C37" s="80">
        <v>340.48661844600002</v>
      </c>
      <c r="D37" s="80">
        <v>331.11124431500002</v>
      </c>
      <c r="E37" s="83">
        <v>329.54042657700001</v>
      </c>
      <c r="F37" s="22" t="s">
        <v>241</v>
      </c>
      <c r="G37" s="32">
        <v>-3.2148669803703456</v>
      </c>
      <c r="H37" s="33">
        <v>-0.47440785082660852</v>
      </c>
    </row>
    <row r="38" spans="1:9" x14ac:dyDescent="0.25">
      <c r="A38" s="34"/>
      <c r="B38" s="25" t="s">
        <v>241</v>
      </c>
      <c r="C38" s="82" t="s">
        <v>241</v>
      </c>
      <c r="D38" s="82" t="s">
        <v>241</v>
      </c>
      <c r="E38" s="82" t="s">
        <v>241</v>
      </c>
      <c r="F38" s="27"/>
      <c r="G38" s="35" t="s">
        <v>241</v>
      </c>
      <c r="H38" s="29" t="s">
        <v>241</v>
      </c>
    </row>
    <row r="39" spans="1:9" x14ac:dyDescent="0.25">
      <c r="A39" s="30" t="s">
        <v>47</v>
      </c>
      <c r="B39" s="31" t="s">
        <v>3</v>
      </c>
      <c r="C39" s="80">
        <v>185.55129931499999</v>
      </c>
      <c r="D39" s="80">
        <v>197.56926303700001</v>
      </c>
      <c r="E39" s="83">
        <v>199.75558718400001</v>
      </c>
      <c r="F39" s="22" t="s">
        <v>241</v>
      </c>
      <c r="G39" s="37">
        <v>7.655181031573477</v>
      </c>
      <c r="H39" s="33">
        <v>1.1066114806484535</v>
      </c>
    </row>
    <row r="40" spans="1:9" x14ac:dyDescent="0.25">
      <c r="A40" s="34"/>
      <c r="B40" s="25" t="s">
        <v>241</v>
      </c>
      <c r="C40" s="82" t="s">
        <v>241</v>
      </c>
      <c r="D40" s="82" t="s">
        <v>241</v>
      </c>
      <c r="E40" s="82" t="s">
        <v>241</v>
      </c>
      <c r="F40" s="27"/>
      <c r="G40" s="28" t="s">
        <v>241</v>
      </c>
      <c r="H40" s="29" t="s">
        <v>241</v>
      </c>
    </row>
    <row r="41" spans="1:9" x14ac:dyDescent="0.25">
      <c r="A41" s="30" t="s">
        <v>48</v>
      </c>
      <c r="B41" s="31" t="s">
        <v>3</v>
      </c>
      <c r="C41" s="80">
        <v>844.96849012899997</v>
      </c>
      <c r="D41" s="80">
        <v>938.769700274</v>
      </c>
      <c r="E41" s="83">
        <v>980.790994071</v>
      </c>
      <c r="F41" s="22" t="s">
        <v>241</v>
      </c>
      <c r="G41" s="23">
        <v>16.074268511629853</v>
      </c>
      <c r="H41" s="24">
        <v>4.4762089983022548</v>
      </c>
    </row>
    <row r="42" spans="1:9" x14ac:dyDescent="0.25">
      <c r="A42" s="34"/>
      <c r="B42" s="25" t="s">
        <v>241</v>
      </c>
      <c r="C42" s="82" t="s">
        <v>241</v>
      </c>
      <c r="D42" s="82" t="s">
        <v>241</v>
      </c>
      <c r="E42" s="82" t="s">
        <v>241</v>
      </c>
      <c r="F42" s="27"/>
      <c r="G42" s="38" t="s">
        <v>241</v>
      </c>
      <c r="H42" s="24" t="s">
        <v>241</v>
      </c>
    </row>
    <row r="43" spans="1:9" x14ac:dyDescent="0.25">
      <c r="A43" s="30" t="s">
        <v>49</v>
      </c>
      <c r="B43" s="31" t="s">
        <v>3</v>
      </c>
      <c r="C43" s="80">
        <v>332.83289911999998</v>
      </c>
      <c r="D43" s="80">
        <v>383.68736754000003</v>
      </c>
      <c r="E43" s="83">
        <v>411.24821371500002</v>
      </c>
      <c r="F43" s="22" t="s">
        <v>241</v>
      </c>
      <c r="G43" s="37">
        <v>23.559965016177102</v>
      </c>
      <c r="H43" s="33">
        <v>7.1831518331462121</v>
      </c>
    </row>
    <row r="44" spans="1:9" x14ac:dyDescent="0.25">
      <c r="A44" s="34"/>
      <c r="B44" s="25" t="s">
        <v>241</v>
      </c>
      <c r="C44" s="82" t="s">
        <v>241</v>
      </c>
      <c r="D44" s="82" t="s">
        <v>241</v>
      </c>
      <c r="E44" s="82" t="s">
        <v>241</v>
      </c>
      <c r="F44" s="27"/>
      <c r="G44" s="28" t="s">
        <v>241</v>
      </c>
      <c r="H44" s="29" t="s">
        <v>241</v>
      </c>
    </row>
    <row r="45" spans="1:9" x14ac:dyDescent="0.25">
      <c r="A45" s="30" t="s">
        <v>50</v>
      </c>
      <c r="B45" s="31" t="s">
        <v>3</v>
      </c>
      <c r="C45" s="80">
        <v>150.47971716500001</v>
      </c>
      <c r="D45" s="80">
        <v>151.82727921200001</v>
      </c>
      <c r="E45" s="83">
        <v>122.172884129</v>
      </c>
      <c r="F45" s="22" t="s">
        <v>241</v>
      </c>
      <c r="G45" s="37">
        <v>-18.811062094808278</v>
      </c>
      <c r="H45" s="33">
        <v>-19.531664689579856</v>
      </c>
    </row>
    <row r="46" spans="1:9" ht="13.8" thickBot="1" x14ac:dyDescent="0.3">
      <c r="A46" s="56"/>
      <c r="B46" s="42" t="s">
        <v>241</v>
      </c>
      <c r="C46" s="86" t="s">
        <v>241</v>
      </c>
      <c r="D46" s="86" t="s">
        <v>241</v>
      </c>
      <c r="E46" s="86" t="s">
        <v>241</v>
      </c>
      <c r="F46" s="44"/>
      <c r="G46" s="57" t="s">
        <v>241</v>
      </c>
      <c r="H46" s="46" t="s">
        <v>241</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242</v>
      </c>
      <c r="G61" s="53"/>
      <c r="H61" s="201">
        <v>24</v>
      </c>
    </row>
    <row r="62" spans="1:9" ht="12.75" customHeight="1" x14ac:dyDescent="0.25">
      <c r="A62" s="54" t="s">
        <v>243</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156</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51</v>
      </c>
      <c r="B7" s="19" t="s">
        <v>3</v>
      </c>
      <c r="C7" s="20">
        <v>10634</v>
      </c>
      <c r="D7" s="20">
        <v>10720.65475</v>
      </c>
      <c r="E7" s="79">
        <v>10018.849101247</v>
      </c>
      <c r="F7" s="22" t="s">
        <v>241</v>
      </c>
      <c r="G7" s="23">
        <v>-5.7847554894959501</v>
      </c>
      <c r="H7" s="24">
        <v>-6.5462946538130069</v>
      </c>
    </row>
    <row r="8" spans="1:8" x14ac:dyDescent="0.25">
      <c r="A8" s="199"/>
      <c r="B8" s="25" t="s">
        <v>241</v>
      </c>
      <c r="C8" s="26" t="s">
        <v>241</v>
      </c>
      <c r="D8" s="26" t="s">
        <v>241</v>
      </c>
      <c r="E8" s="26" t="s">
        <v>241</v>
      </c>
      <c r="F8" s="27"/>
      <c r="G8" s="28" t="s">
        <v>241</v>
      </c>
      <c r="H8" s="29" t="s">
        <v>241</v>
      </c>
    </row>
    <row r="9" spans="1:8" x14ac:dyDescent="0.25">
      <c r="A9" s="30" t="s">
        <v>12</v>
      </c>
      <c r="B9" s="31" t="s">
        <v>3</v>
      </c>
      <c r="C9" s="20">
        <v>238</v>
      </c>
      <c r="D9" s="20">
        <v>306.61500000000001</v>
      </c>
      <c r="E9" s="21">
        <v>236.87614895999999</v>
      </c>
      <c r="F9" s="22" t="s">
        <v>241</v>
      </c>
      <c r="G9" s="32">
        <v>-0.47220631932772505</v>
      </c>
      <c r="H9" s="33">
        <v>-22.744761684849081</v>
      </c>
    </row>
    <row r="10" spans="1:8" x14ac:dyDescent="0.25">
      <c r="A10" s="34"/>
      <c r="B10" s="25" t="s">
        <v>241</v>
      </c>
      <c r="C10" s="26" t="s">
        <v>241</v>
      </c>
      <c r="D10" s="26" t="s">
        <v>241</v>
      </c>
      <c r="E10" s="26" t="s">
        <v>241</v>
      </c>
      <c r="F10" s="27"/>
      <c r="G10" s="35" t="s">
        <v>241</v>
      </c>
      <c r="H10" s="29" t="s">
        <v>241</v>
      </c>
    </row>
    <row r="11" spans="1:8" x14ac:dyDescent="0.25">
      <c r="A11" s="30" t="s">
        <v>18</v>
      </c>
      <c r="B11" s="31" t="s">
        <v>3</v>
      </c>
      <c r="C11" s="20">
        <v>343</v>
      </c>
      <c r="D11" s="20">
        <v>338.64600000000002</v>
      </c>
      <c r="E11" s="21">
        <v>447.35045958400002</v>
      </c>
      <c r="F11" s="22" t="s">
        <v>241</v>
      </c>
      <c r="G11" s="37">
        <v>30.422874514285724</v>
      </c>
      <c r="H11" s="33">
        <v>32.09973234114679</v>
      </c>
    </row>
    <row r="12" spans="1:8" x14ac:dyDescent="0.25">
      <c r="A12" s="34"/>
      <c r="B12" s="25" t="s">
        <v>241</v>
      </c>
      <c r="C12" s="26" t="s">
        <v>241</v>
      </c>
      <c r="D12" s="26" t="s">
        <v>241</v>
      </c>
      <c r="E12" s="26" t="s">
        <v>241</v>
      </c>
      <c r="F12" s="27"/>
      <c r="G12" s="28" t="s">
        <v>241</v>
      </c>
      <c r="H12" s="29" t="s">
        <v>241</v>
      </c>
    </row>
    <row r="13" spans="1:8" x14ac:dyDescent="0.25">
      <c r="A13" s="30" t="s">
        <v>63</v>
      </c>
      <c r="B13" s="31" t="s">
        <v>3</v>
      </c>
      <c r="C13" s="20">
        <v>1667</v>
      </c>
      <c r="D13" s="20">
        <v>1565.0562500000001</v>
      </c>
      <c r="E13" s="21">
        <v>1366.2855586000001</v>
      </c>
      <c r="F13" s="22" t="s">
        <v>241</v>
      </c>
      <c r="G13" s="23">
        <v>-18.039258632273544</v>
      </c>
      <c r="H13" s="24">
        <v>-12.700546156088649</v>
      </c>
    </row>
    <row r="14" spans="1:8" x14ac:dyDescent="0.25">
      <c r="A14" s="34"/>
      <c r="B14" s="25" t="s">
        <v>241</v>
      </c>
      <c r="C14" s="26" t="s">
        <v>241</v>
      </c>
      <c r="D14" s="26" t="s">
        <v>241</v>
      </c>
      <c r="E14" s="26" t="s">
        <v>241</v>
      </c>
      <c r="F14" s="27"/>
      <c r="G14" s="38" t="s">
        <v>241</v>
      </c>
      <c r="H14" s="24" t="s">
        <v>241</v>
      </c>
    </row>
    <row r="15" spans="1:8" x14ac:dyDescent="0.25">
      <c r="A15" s="30" t="s">
        <v>52</v>
      </c>
      <c r="B15" s="31" t="s">
        <v>3</v>
      </c>
      <c r="C15" s="20">
        <v>5252</v>
      </c>
      <c r="D15" s="20">
        <v>5084.2624999999998</v>
      </c>
      <c r="E15" s="21">
        <v>4753.3326067999997</v>
      </c>
      <c r="F15" s="22" t="s">
        <v>241</v>
      </c>
      <c r="G15" s="37">
        <v>-9.4948094668697678</v>
      </c>
      <c r="H15" s="33">
        <v>-6.5089065169235454</v>
      </c>
    </row>
    <row r="16" spans="1:8" x14ac:dyDescent="0.25">
      <c r="A16" s="34"/>
      <c r="B16" s="25" t="s">
        <v>241</v>
      </c>
      <c r="C16" s="26" t="s">
        <v>241</v>
      </c>
      <c r="D16" s="26" t="s">
        <v>241</v>
      </c>
      <c r="E16" s="26" t="s">
        <v>241</v>
      </c>
      <c r="F16" s="27"/>
      <c r="G16" s="28" t="s">
        <v>241</v>
      </c>
      <c r="H16" s="29" t="s">
        <v>241</v>
      </c>
    </row>
    <row r="17" spans="1:9" x14ac:dyDescent="0.25">
      <c r="A17" s="30" t="s">
        <v>50</v>
      </c>
      <c r="B17" s="31" t="s">
        <v>3</v>
      </c>
      <c r="C17" s="20">
        <v>3985</v>
      </c>
      <c r="D17" s="20">
        <v>4204.0749999999998</v>
      </c>
      <c r="E17" s="21">
        <v>3921.3807447999998</v>
      </c>
      <c r="F17" s="22" t="s">
        <v>241</v>
      </c>
      <c r="G17" s="37">
        <v>-1.5964681355081609</v>
      </c>
      <c r="H17" s="33">
        <v>-6.7242914362850286</v>
      </c>
    </row>
    <row r="18" spans="1:9" ht="13.8" thickBot="1" x14ac:dyDescent="0.3">
      <c r="A18" s="56"/>
      <c r="B18" s="42" t="s">
        <v>241</v>
      </c>
      <c r="C18" s="43" t="s">
        <v>241</v>
      </c>
      <c r="D18" s="43" t="s">
        <v>241</v>
      </c>
      <c r="E18" s="43" t="s">
        <v>241</v>
      </c>
      <c r="F18" s="44"/>
      <c r="G18" s="57" t="s">
        <v>241</v>
      </c>
      <c r="H18" s="46" t="s">
        <v>241</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70</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51</v>
      </c>
      <c r="B35" s="19" t="s">
        <v>3</v>
      </c>
      <c r="C35" s="80">
        <v>477.56383193200003</v>
      </c>
      <c r="D35" s="80">
        <v>470.83394949500001</v>
      </c>
      <c r="E35" s="81">
        <v>453.98179332199999</v>
      </c>
      <c r="F35" s="22" t="s">
        <v>241</v>
      </c>
      <c r="G35" s="23">
        <v>-4.9379867220258546</v>
      </c>
      <c r="H35" s="24">
        <v>-3.5792143262131049</v>
      </c>
    </row>
    <row r="36" spans="1:9" ht="12.75" customHeight="1" x14ac:dyDescent="0.25">
      <c r="A36" s="199"/>
      <c r="B36" s="25" t="s">
        <v>241</v>
      </c>
      <c r="C36" s="82" t="s">
        <v>241</v>
      </c>
      <c r="D36" s="82" t="s">
        <v>241</v>
      </c>
      <c r="E36" s="82" t="s">
        <v>241</v>
      </c>
      <c r="F36" s="27"/>
      <c r="G36" s="28" t="s">
        <v>241</v>
      </c>
      <c r="H36" s="29" t="s">
        <v>241</v>
      </c>
    </row>
    <row r="37" spans="1:9" x14ac:dyDescent="0.25">
      <c r="A37" s="30" t="s">
        <v>12</v>
      </c>
      <c r="B37" s="31" t="s">
        <v>3</v>
      </c>
      <c r="C37" s="80">
        <v>2.4255834279999999</v>
      </c>
      <c r="D37" s="80">
        <v>4.2717729960000002</v>
      </c>
      <c r="E37" s="83">
        <v>2.505784298</v>
      </c>
      <c r="F37" s="22" t="s">
        <v>241</v>
      </c>
      <c r="G37" s="32">
        <v>3.3064568744241853</v>
      </c>
      <c r="H37" s="33">
        <v>-41.340883507940042</v>
      </c>
    </row>
    <row r="38" spans="1:9" x14ac:dyDescent="0.25">
      <c r="A38" s="34"/>
      <c r="B38" s="25" t="s">
        <v>241</v>
      </c>
      <c r="C38" s="82" t="s">
        <v>241</v>
      </c>
      <c r="D38" s="82" t="s">
        <v>241</v>
      </c>
      <c r="E38" s="82" t="s">
        <v>241</v>
      </c>
      <c r="F38" s="27"/>
      <c r="G38" s="35" t="s">
        <v>241</v>
      </c>
      <c r="H38" s="29" t="s">
        <v>241</v>
      </c>
    </row>
    <row r="39" spans="1:9" x14ac:dyDescent="0.25">
      <c r="A39" s="30" t="s">
        <v>18</v>
      </c>
      <c r="B39" s="31" t="s">
        <v>3</v>
      </c>
      <c r="C39" s="80">
        <v>40.554687244999997</v>
      </c>
      <c r="D39" s="80">
        <v>40.623181451999997</v>
      </c>
      <c r="E39" s="83">
        <v>29.545403823000001</v>
      </c>
      <c r="F39" s="22" t="s">
        <v>241</v>
      </c>
      <c r="G39" s="37">
        <v>-27.146759523727638</v>
      </c>
      <c r="H39" s="33">
        <v>-27.26959640541547</v>
      </c>
    </row>
    <row r="40" spans="1:9" x14ac:dyDescent="0.25">
      <c r="A40" s="34"/>
      <c r="B40" s="25" t="s">
        <v>241</v>
      </c>
      <c r="C40" s="82" t="s">
        <v>241</v>
      </c>
      <c r="D40" s="82" t="s">
        <v>241</v>
      </c>
      <c r="E40" s="82" t="s">
        <v>241</v>
      </c>
      <c r="F40" s="27"/>
      <c r="G40" s="28" t="s">
        <v>241</v>
      </c>
      <c r="H40" s="29" t="s">
        <v>241</v>
      </c>
    </row>
    <row r="41" spans="1:9" x14ac:dyDescent="0.25">
      <c r="A41" s="30" t="s">
        <v>63</v>
      </c>
      <c r="B41" s="31" t="s">
        <v>3</v>
      </c>
      <c r="C41" s="80">
        <v>72.536989778000006</v>
      </c>
      <c r="D41" s="80">
        <v>66.485574937999999</v>
      </c>
      <c r="E41" s="83">
        <v>60.209540357999998</v>
      </c>
      <c r="F41" s="22" t="s">
        <v>241</v>
      </c>
      <c r="G41" s="23">
        <v>-16.994707745287272</v>
      </c>
      <c r="H41" s="24">
        <v>-9.4396936265537477</v>
      </c>
    </row>
    <row r="42" spans="1:9" x14ac:dyDescent="0.25">
      <c r="A42" s="34"/>
      <c r="B42" s="25" t="s">
        <v>241</v>
      </c>
      <c r="C42" s="82" t="s">
        <v>241</v>
      </c>
      <c r="D42" s="82" t="s">
        <v>241</v>
      </c>
      <c r="E42" s="82" t="s">
        <v>241</v>
      </c>
      <c r="F42" s="27"/>
      <c r="G42" s="38" t="s">
        <v>241</v>
      </c>
      <c r="H42" s="24" t="s">
        <v>241</v>
      </c>
    </row>
    <row r="43" spans="1:9" x14ac:dyDescent="0.25">
      <c r="A43" s="30" t="s">
        <v>52</v>
      </c>
      <c r="B43" s="31" t="s">
        <v>3</v>
      </c>
      <c r="C43" s="80">
        <v>241.55026013400001</v>
      </c>
      <c r="D43" s="80">
        <v>229.37284227699999</v>
      </c>
      <c r="E43" s="83">
        <v>222.122603161</v>
      </c>
      <c r="F43" s="22" t="s">
        <v>241</v>
      </c>
      <c r="G43" s="37">
        <v>-8.0429045955994809</v>
      </c>
      <c r="H43" s="33">
        <v>-3.1608969239890712</v>
      </c>
    </row>
    <row r="44" spans="1:9" x14ac:dyDescent="0.25">
      <c r="A44" s="34"/>
      <c r="B44" s="25" t="s">
        <v>241</v>
      </c>
      <c r="C44" s="82" t="s">
        <v>241</v>
      </c>
      <c r="D44" s="82" t="s">
        <v>241</v>
      </c>
      <c r="E44" s="82" t="s">
        <v>241</v>
      </c>
      <c r="F44" s="27"/>
      <c r="G44" s="28" t="s">
        <v>241</v>
      </c>
      <c r="H44" s="29" t="s">
        <v>241</v>
      </c>
    </row>
    <row r="45" spans="1:9" x14ac:dyDescent="0.25">
      <c r="A45" s="30" t="s">
        <v>50</v>
      </c>
      <c r="B45" s="31" t="s">
        <v>3</v>
      </c>
      <c r="C45" s="80">
        <v>120.496311346</v>
      </c>
      <c r="D45" s="80">
        <v>130.080577831</v>
      </c>
      <c r="E45" s="83">
        <v>139.59846168199999</v>
      </c>
      <c r="F45" s="22" t="s">
        <v>241</v>
      </c>
      <c r="G45" s="37">
        <v>15.85289219447472</v>
      </c>
      <c r="H45" s="33">
        <v>7.3169138773088633</v>
      </c>
    </row>
    <row r="46" spans="1:9" ht="13.8" thickBot="1" x14ac:dyDescent="0.3">
      <c r="A46" s="56"/>
      <c r="B46" s="42" t="s">
        <v>241</v>
      </c>
      <c r="C46" s="86" t="s">
        <v>241</v>
      </c>
      <c r="D46" s="86" t="s">
        <v>241</v>
      </c>
      <c r="E46" s="86" t="s">
        <v>241</v>
      </c>
      <c r="F46" s="44"/>
      <c r="G46" s="57" t="s">
        <v>241</v>
      </c>
      <c r="H46" s="46" t="s">
        <v>241</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242</v>
      </c>
      <c r="H61" s="193">
        <v>25</v>
      </c>
    </row>
    <row r="62" spans="1:9" ht="12.75" customHeight="1" x14ac:dyDescent="0.25">
      <c r="A62" s="54" t="s">
        <v>243</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157</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ht="12.75" customHeight="1" x14ac:dyDescent="0.25">
      <c r="A7" s="198" t="s">
        <v>64</v>
      </c>
      <c r="B7" s="19" t="s">
        <v>3</v>
      </c>
      <c r="C7" s="20">
        <v>8890</v>
      </c>
      <c r="D7" s="20">
        <v>9026</v>
      </c>
      <c r="E7" s="79">
        <v>8825.3934933599994</v>
      </c>
      <c r="F7" s="22" t="s">
        <v>241</v>
      </c>
      <c r="G7" s="23">
        <v>-0.72673235815523185</v>
      </c>
      <c r="H7" s="24">
        <v>-2.2225405122978117</v>
      </c>
    </row>
    <row r="8" spans="1:8" ht="12.75" customHeight="1" x14ac:dyDescent="0.25">
      <c r="A8" s="199"/>
      <c r="B8" s="25" t="s">
        <v>241</v>
      </c>
      <c r="C8" s="26" t="s">
        <v>241</v>
      </c>
      <c r="D8" s="26" t="s">
        <v>241</v>
      </c>
      <c r="E8" s="26" t="s">
        <v>241</v>
      </c>
      <c r="F8" s="27"/>
      <c r="G8" s="28" t="s">
        <v>241</v>
      </c>
      <c r="H8" s="29" t="s">
        <v>241</v>
      </c>
    </row>
    <row r="9" spans="1:8" x14ac:dyDescent="0.25">
      <c r="A9" s="30" t="s">
        <v>53</v>
      </c>
      <c r="B9" s="31" t="s">
        <v>3</v>
      </c>
      <c r="C9" s="20">
        <v>3</v>
      </c>
      <c r="D9" s="20">
        <v>1.22</v>
      </c>
      <c r="E9" s="21">
        <v>2.1039349340000002</v>
      </c>
      <c r="F9" s="22" t="s">
        <v>241</v>
      </c>
      <c r="G9" s="32">
        <v>-29.868835533333325</v>
      </c>
      <c r="H9" s="33">
        <v>72.453683114754114</v>
      </c>
    </row>
    <row r="10" spans="1:8" x14ac:dyDescent="0.25">
      <c r="A10" s="34"/>
      <c r="B10" s="25" t="s">
        <v>241</v>
      </c>
      <c r="C10" s="26" t="s">
        <v>241</v>
      </c>
      <c r="D10" s="26" t="s">
        <v>241</v>
      </c>
      <c r="E10" s="26" t="s">
        <v>241</v>
      </c>
      <c r="F10" s="27"/>
      <c r="G10" s="35" t="s">
        <v>241</v>
      </c>
      <c r="H10" s="29" t="s">
        <v>241</v>
      </c>
    </row>
    <row r="11" spans="1:8" x14ac:dyDescent="0.25">
      <c r="A11" s="30" t="s">
        <v>54</v>
      </c>
      <c r="B11" s="31" t="s">
        <v>3</v>
      </c>
      <c r="C11" s="20">
        <v>805</v>
      </c>
      <c r="D11" s="20">
        <v>841.1</v>
      </c>
      <c r="E11" s="21">
        <v>697.51967466799999</v>
      </c>
      <c r="F11" s="22" t="s">
        <v>241</v>
      </c>
      <c r="G11" s="37">
        <v>-13.351593208944095</v>
      </c>
      <c r="H11" s="33">
        <v>-17.070541592200698</v>
      </c>
    </row>
    <row r="12" spans="1:8" x14ac:dyDescent="0.25">
      <c r="A12" s="34"/>
      <c r="B12" s="25" t="s">
        <v>241</v>
      </c>
      <c r="C12" s="26" t="s">
        <v>241</v>
      </c>
      <c r="D12" s="26" t="s">
        <v>241</v>
      </c>
      <c r="E12" s="26" t="s">
        <v>241</v>
      </c>
      <c r="F12" s="27"/>
      <c r="G12" s="28" t="s">
        <v>241</v>
      </c>
      <c r="H12" s="29" t="s">
        <v>241</v>
      </c>
    </row>
    <row r="13" spans="1:8" x14ac:dyDescent="0.25">
      <c r="A13" s="30" t="s">
        <v>66</v>
      </c>
      <c r="B13" s="31" t="s">
        <v>3</v>
      </c>
      <c r="C13" s="20">
        <v>65</v>
      </c>
      <c r="D13" s="20">
        <v>82.44</v>
      </c>
      <c r="E13" s="21">
        <v>108.207869867</v>
      </c>
      <c r="F13" s="22" t="s">
        <v>241</v>
      </c>
      <c r="G13" s="23">
        <v>66.473645949230786</v>
      </c>
      <c r="H13" s="24">
        <v>31.256513666909257</v>
      </c>
    </row>
    <row r="14" spans="1:8" x14ac:dyDescent="0.25">
      <c r="A14" s="34"/>
      <c r="B14" s="25" t="s">
        <v>241</v>
      </c>
      <c r="C14" s="26" t="s">
        <v>241</v>
      </c>
      <c r="D14" s="26" t="s">
        <v>241</v>
      </c>
      <c r="E14" s="26" t="s">
        <v>241</v>
      </c>
      <c r="F14" s="27"/>
      <c r="G14" s="38" t="s">
        <v>241</v>
      </c>
      <c r="H14" s="24" t="s">
        <v>241</v>
      </c>
    </row>
    <row r="15" spans="1:8" x14ac:dyDescent="0.25">
      <c r="A15" s="30" t="s">
        <v>55</v>
      </c>
      <c r="B15" s="31" t="s">
        <v>3</v>
      </c>
      <c r="C15" s="20">
        <v>6204</v>
      </c>
      <c r="D15" s="20">
        <v>5947.6</v>
      </c>
      <c r="E15" s="21">
        <v>6271.3147946879999</v>
      </c>
      <c r="F15" s="22" t="s">
        <v>241</v>
      </c>
      <c r="G15" s="37">
        <v>1.0850224804642039</v>
      </c>
      <c r="H15" s="33">
        <v>5.4427801918084668</v>
      </c>
    </row>
    <row r="16" spans="1:8" x14ac:dyDescent="0.25">
      <c r="A16" s="34"/>
      <c r="B16" s="25" t="s">
        <v>241</v>
      </c>
      <c r="C16" s="26" t="s">
        <v>241</v>
      </c>
      <c r="D16" s="26" t="s">
        <v>241</v>
      </c>
      <c r="E16" s="26" t="s">
        <v>241</v>
      </c>
      <c r="F16" s="27"/>
      <c r="G16" s="28" t="s">
        <v>241</v>
      </c>
      <c r="H16" s="29" t="s">
        <v>241</v>
      </c>
    </row>
    <row r="17" spans="1:9" x14ac:dyDescent="0.25">
      <c r="A17" s="30" t="s">
        <v>67</v>
      </c>
      <c r="B17" s="31" t="s">
        <v>3</v>
      </c>
      <c r="C17" s="20">
        <v>884</v>
      </c>
      <c r="D17" s="20">
        <v>956.1</v>
      </c>
      <c r="E17" s="21">
        <v>424.51967466799999</v>
      </c>
      <c r="F17" s="22" t="s">
        <v>241</v>
      </c>
      <c r="G17" s="37">
        <v>-51.977412367873306</v>
      </c>
      <c r="H17" s="33">
        <v>-55.598820764773563</v>
      </c>
    </row>
    <row r="18" spans="1:9" x14ac:dyDescent="0.25">
      <c r="A18" s="30"/>
      <c r="B18" s="25" t="s">
        <v>241</v>
      </c>
      <c r="C18" s="26" t="s">
        <v>241</v>
      </c>
      <c r="D18" s="26" t="s">
        <v>241</v>
      </c>
      <c r="E18" s="26" t="s">
        <v>241</v>
      </c>
      <c r="F18" s="27"/>
      <c r="G18" s="28" t="s">
        <v>241</v>
      </c>
      <c r="H18" s="29" t="s">
        <v>241</v>
      </c>
    </row>
    <row r="19" spans="1:9" x14ac:dyDescent="0.25">
      <c r="A19" s="39" t="s">
        <v>56</v>
      </c>
      <c r="B19" s="31" t="s">
        <v>3</v>
      </c>
      <c r="C19" s="20">
        <v>24</v>
      </c>
      <c r="D19" s="20">
        <v>13.22</v>
      </c>
      <c r="E19" s="21">
        <v>14.103934934</v>
      </c>
      <c r="F19" s="22" t="s">
        <v>241</v>
      </c>
      <c r="G19" s="23">
        <v>-41.233604441666671</v>
      </c>
      <c r="H19" s="24">
        <v>6.686345945537056</v>
      </c>
    </row>
    <row r="20" spans="1:9" x14ac:dyDescent="0.25">
      <c r="A20" s="34"/>
      <c r="B20" s="25" t="s">
        <v>241</v>
      </c>
      <c r="C20" s="26" t="s">
        <v>241</v>
      </c>
      <c r="D20" s="26" t="s">
        <v>241</v>
      </c>
      <c r="E20" s="26" t="s">
        <v>241</v>
      </c>
      <c r="F20" s="27"/>
      <c r="G20" s="38" t="s">
        <v>241</v>
      </c>
      <c r="H20" s="24" t="s">
        <v>241</v>
      </c>
    </row>
    <row r="21" spans="1:9" x14ac:dyDescent="0.25">
      <c r="A21" s="39" t="s">
        <v>68</v>
      </c>
      <c r="B21" s="31" t="s">
        <v>3</v>
      </c>
      <c r="C21" s="20">
        <v>44</v>
      </c>
      <c r="D21" s="20">
        <v>60.22</v>
      </c>
      <c r="E21" s="21">
        <v>82.103934933999994</v>
      </c>
      <c r="F21" s="22" t="s">
        <v>241</v>
      </c>
      <c r="G21" s="37">
        <v>86.599852122727242</v>
      </c>
      <c r="H21" s="33">
        <v>36.339978302889392</v>
      </c>
    </row>
    <row r="22" spans="1:9" x14ac:dyDescent="0.25">
      <c r="A22" s="34"/>
      <c r="B22" s="25" t="s">
        <v>241</v>
      </c>
      <c r="C22" s="26" t="s">
        <v>241</v>
      </c>
      <c r="D22" s="26" t="s">
        <v>241</v>
      </c>
      <c r="E22" s="26" t="s">
        <v>241</v>
      </c>
      <c r="F22" s="27"/>
      <c r="G22" s="28" t="s">
        <v>241</v>
      </c>
      <c r="H22" s="29" t="s">
        <v>241</v>
      </c>
    </row>
    <row r="23" spans="1:9" x14ac:dyDescent="0.25">
      <c r="A23" s="30" t="s">
        <v>69</v>
      </c>
      <c r="B23" s="31" t="s">
        <v>3</v>
      </c>
      <c r="C23" s="20">
        <v>906</v>
      </c>
      <c r="D23" s="20">
        <v>1173.0999999999999</v>
      </c>
      <c r="E23" s="21">
        <v>1299.5196746680001</v>
      </c>
      <c r="F23" s="22" t="s">
        <v>241</v>
      </c>
      <c r="G23" s="23">
        <v>43.434842678587216</v>
      </c>
      <c r="H23" s="24">
        <v>10.776547154377297</v>
      </c>
    </row>
    <row r="24" spans="1:9" ht="13.8" thickBot="1" x14ac:dyDescent="0.3">
      <c r="A24" s="56"/>
      <c r="B24" s="42" t="s">
        <v>241</v>
      </c>
      <c r="C24" s="43" t="s">
        <v>241</v>
      </c>
      <c r="D24" s="43" t="s">
        <v>241</v>
      </c>
      <c r="E24" s="43" t="s">
        <v>241</v>
      </c>
      <c r="F24" s="44"/>
      <c r="G24" s="57" t="s">
        <v>241</v>
      </c>
      <c r="H24" s="46" t="s">
        <v>241</v>
      </c>
    </row>
    <row r="25" spans="1:9" x14ac:dyDescent="0.25">
      <c r="A25" s="58"/>
      <c r="B25" s="58"/>
      <c r="C25" s="64"/>
      <c r="D25" s="64"/>
      <c r="E25" s="21"/>
      <c r="F25" s="59"/>
      <c r="G25" s="38"/>
      <c r="H25" s="60"/>
      <c r="I25" s="61"/>
    </row>
    <row r="26" spans="1:9" x14ac:dyDescent="0.25">
      <c r="A26" s="58"/>
      <c r="B26" s="58"/>
      <c r="C26" s="64"/>
      <c r="D26" s="64"/>
      <c r="E26" s="21"/>
      <c r="F26" s="59"/>
      <c r="G26" s="38"/>
      <c r="H26" s="60"/>
      <c r="I26" s="61"/>
    </row>
    <row r="27" spans="1:9" x14ac:dyDescent="0.25">
      <c r="A27" s="58"/>
      <c r="B27" s="58"/>
      <c r="C27" s="64"/>
      <c r="D27" s="64"/>
      <c r="E27" s="21"/>
      <c r="F27" s="59"/>
      <c r="G27" s="38"/>
      <c r="H27" s="60"/>
      <c r="I27" s="61"/>
    </row>
    <row r="28" spans="1:9" x14ac:dyDescent="0.25">
      <c r="A28" s="58"/>
      <c r="B28" s="58"/>
      <c r="C28" s="64"/>
      <c r="D28" s="64"/>
      <c r="E28" s="21"/>
      <c r="F28" s="59"/>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65</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64</v>
      </c>
      <c r="B35" s="19" t="s">
        <v>3</v>
      </c>
      <c r="C35" s="80">
        <v>1175.4142453750001</v>
      </c>
      <c r="D35" s="80">
        <v>1175.9397378880001</v>
      </c>
      <c r="E35" s="81">
        <v>1026.4393155570001</v>
      </c>
      <c r="F35" s="22" t="s">
        <v>241</v>
      </c>
      <c r="G35" s="23">
        <v>-12.67424913422515</v>
      </c>
      <c r="H35" s="24">
        <v>-12.713272416450877</v>
      </c>
    </row>
    <row r="36" spans="1:8" ht="12.75" customHeight="1" x14ac:dyDescent="0.25">
      <c r="A36" s="199"/>
      <c r="B36" s="25" t="s">
        <v>241</v>
      </c>
      <c r="C36" s="82" t="s">
        <v>241</v>
      </c>
      <c r="D36" s="82" t="s">
        <v>241</v>
      </c>
      <c r="E36" s="82" t="s">
        <v>241</v>
      </c>
      <c r="F36" s="27"/>
      <c r="G36" s="28" t="s">
        <v>241</v>
      </c>
      <c r="H36" s="29" t="s">
        <v>241</v>
      </c>
    </row>
    <row r="37" spans="1:8" x14ac:dyDescent="0.25">
      <c r="A37" s="30" t="s">
        <v>53</v>
      </c>
      <c r="B37" s="31" t="s">
        <v>3</v>
      </c>
      <c r="C37" s="80">
        <v>0.46925536499999998</v>
      </c>
      <c r="D37" s="80">
        <v>0.33735193099999999</v>
      </c>
      <c r="E37" s="83">
        <v>0.16332212600000001</v>
      </c>
      <c r="F37" s="22" t="s">
        <v>241</v>
      </c>
      <c r="G37" s="32">
        <v>-65.195469635174021</v>
      </c>
      <c r="H37" s="33">
        <v>-51.587019076526339</v>
      </c>
    </row>
    <row r="38" spans="1:8" x14ac:dyDescent="0.25">
      <c r="A38" s="34"/>
      <c r="B38" s="25" t="s">
        <v>241</v>
      </c>
      <c r="C38" s="82" t="s">
        <v>241</v>
      </c>
      <c r="D38" s="82" t="s">
        <v>241</v>
      </c>
      <c r="E38" s="82" t="s">
        <v>241</v>
      </c>
      <c r="F38" s="27"/>
      <c r="G38" s="35" t="s">
        <v>241</v>
      </c>
      <c r="H38" s="29" t="s">
        <v>241</v>
      </c>
    </row>
    <row r="39" spans="1:8" x14ac:dyDescent="0.25">
      <c r="A39" s="30" t="s">
        <v>54</v>
      </c>
      <c r="B39" s="31" t="s">
        <v>3</v>
      </c>
      <c r="C39" s="80">
        <v>48.248863612999997</v>
      </c>
      <c r="D39" s="80">
        <v>59.222880240999999</v>
      </c>
      <c r="E39" s="83">
        <v>52.123447636999998</v>
      </c>
      <c r="F39" s="22" t="s">
        <v>241</v>
      </c>
      <c r="G39" s="37">
        <v>8.0304150893121715</v>
      </c>
      <c r="H39" s="33">
        <v>-11.98765168987012</v>
      </c>
    </row>
    <row r="40" spans="1:8" x14ac:dyDescent="0.25">
      <c r="A40" s="34"/>
      <c r="B40" s="25" t="s">
        <v>241</v>
      </c>
      <c r="C40" s="82" t="s">
        <v>241</v>
      </c>
      <c r="D40" s="82" t="s">
        <v>241</v>
      </c>
      <c r="E40" s="82" t="s">
        <v>241</v>
      </c>
      <c r="F40" s="27"/>
      <c r="G40" s="28" t="s">
        <v>241</v>
      </c>
      <c r="H40" s="29" t="s">
        <v>241</v>
      </c>
    </row>
    <row r="41" spans="1:8" x14ac:dyDescent="0.25">
      <c r="A41" s="30" t="s">
        <v>66</v>
      </c>
      <c r="B41" s="31" t="s">
        <v>3</v>
      </c>
      <c r="C41" s="80">
        <v>21.665793470000001</v>
      </c>
      <c r="D41" s="80">
        <v>14.584549574</v>
      </c>
      <c r="E41" s="83">
        <v>9.8222711030000003</v>
      </c>
      <c r="F41" s="22" t="s">
        <v>241</v>
      </c>
      <c r="G41" s="23">
        <v>-54.664613984248419</v>
      </c>
      <c r="H41" s="24">
        <v>-32.65290057013317</v>
      </c>
    </row>
    <row r="42" spans="1:8" x14ac:dyDescent="0.25">
      <c r="A42" s="34"/>
      <c r="B42" s="25" t="s">
        <v>241</v>
      </c>
      <c r="C42" s="82" t="s">
        <v>241</v>
      </c>
      <c r="D42" s="82" t="s">
        <v>241</v>
      </c>
      <c r="E42" s="82" t="s">
        <v>241</v>
      </c>
      <c r="F42" s="27"/>
      <c r="G42" s="38" t="s">
        <v>241</v>
      </c>
      <c r="H42" s="24" t="s">
        <v>241</v>
      </c>
    </row>
    <row r="43" spans="1:8" x14ac:dyDescent="0.25">
      <c r="A43" s="30" t="s">
        <v>55</v>
      </c>
      <c r="B43" s="31" t="s">
        <v>3</v>
      </c>
      <c r="C43" s="80">
        <v>680.03790342100001</v>
      </c>
      <c r="D43" s="80">
        <v>690.11834206499998</v>
      </c>
      <c r="E43" s="83">
        <v>660.72391437900001</v>
      </c>
      <c r="F43" s="22" t="s">
        <v>241</v>
      </c>
      <c r="G43" s="37">
        <v>-2.8401341961733237</v>
      </c>
      <c r="H43" s="33">
        <v>-4.259331464520244</v>
      </c>
    </row>
    <row r="44" spans="1:8" x14ac:dyDescent="0.25">
      <c r="A44" s="34"/>
      <c r="B44" s="25" t="s">
        <v>241</v>
      </c>
      <c r="C44" s="82" t="s">
        <v>241</v>
      </c>
      <c r="D44" s="82" t="s">
        <v>241</v>
      </c>
      <c r="E44" s="82" t="s">
        <v>241</v>
      </c>
      <c r="F44" s="27"/>
      <c r="G44" s="28" t="s">
        <v>241</v>
      </c>
      <c r="H44" s="29" t="s">
        <v>241</v>
      </c>
    </row>
    <row r="45" spans="1:8" x14ac:dyDescent="0.25">
      <c r="A45" s="30" t="s">
        <v>67</v>
      </c>
      <c r="B45" s="31" t="s">
        <v>3</v>
      </c>
      <c r="C45" s="80">
        <v>264.16744988300002</v>
      </c>
      <c r="D45" s="80">
        <v>286.13702647999997</v>
      </c>
      <c r="E45" s="83">
        <v>162.56982649700001</v>
      </c>
      <c r="F45" s="22" t="s">
        <v>241</v>
      </c>
      <c r="G45" s="37">
        <v>-38.459554131668263</v>
      </c>
      <c r="H45" s="33">
        <v>-43.184624339987998</v>
      </c>
    </row>
    <row r="46" spans="1:8" x14ac:dyDescent="0.25">
      <c r="A46" s="30"/>
      <c r="B46" s="25" t="s">
        <v>241</v>
      </c>
      <c r="C46" s="82" t="s">
        <v>241</v>
      </c>
      <c r="D46" s="82" t="s">
        <v>241</v>
      </c>
      <c r="E46" s="82" t="s">
        <v>241</v>
      </c>
      <c r="F46" s="27"/>
      <c r="G46" s="28" t="s">
        <v>241</v>
      </c>
      <c r="H46" s="29" t="s">
        <v>241</v>
      </c>
    </row>
    <row r="47" spans="1:8" x14ac:dyDescent="0.25">
      <c r="A47" s="39" t="s">
        <v>56</v>
      </c>
      <c r="B47" s="31" t="s">
        <v>3</v>
      </c>
      <c r="C47" s="80">
        <v>75.035461150000003</v>
      </c>
      <c r="D47" s="80">
        <v>2.0047760829999999</v>
      </c>
      <c r="E47" s="83">
        <v>11.886587322</v>
      </c>
      <c r="F47" s="22" t="s">
        <v>241</v>
      </c>
      <c r="G47" s="23">
        <v>-84.158706910272656</v>
      </c>
      <c r="H47" s="24">
        <v>492.91346414172085</v>
      </c>
    </row>
    <row r="48" spans="1:8" x14ac:dyDescent="0.25">
      <c r="A48" s="34"/>
      <c r="B48" s="25" t="s">
        <v>241</v>
      </c>
      <c r="C48" s="82" t="s">
        <v>241</v>
      </c>
      <c r="D48" s="82" t="s">
        <v>241</v>
      </c>
      <c r="E48" s="82" t="s">
        <v>241</v>
      </c>
      <c r="F48" s="27"/>
      <c r="G48" s="38" t="s">
        <v>241</v>
      </c>
      <c r="H48" s="24" t="s">
        <v>241</v>
      </c>
    </row>
    <row r="49" spans="1:9" x14ac:dyDescent="0.25">
      <c r="A49" s="39" t="s">
        <v>68</v>
      </c>
      <c r="B49" s="31" t="s">
        <v>3</v>
      </c>
      <c r="C49" s="80">
        <v>6.3143628200000004</v>
      </c>
      <c r="D49" s="80">
        <v>16.149329355999999</v>
      </c>
      <c r="E49" s="83">
        <v>12.626289169</v>
      </c>
      <c r="F49" s="22" t="s">
        <v>241</v>
      </c>
      <c r="G49" s="37">
        <v>99.961413826391407</v>
      </c>
      <c r="H49" s="33">
        <v>-21.815396226909428</v>
      </c>
    </row>
    <row r="50" spans="1:9" x14ac:dyDescent="0.25">
      <c r="A50" s="34"/>
      <c r="B50" s="25" t="s">
        <v>241</v>
      </c>
      <c r="C50" s="82" t="s">
        <v>241</v>
      </c>
      <c r="D50" s="82" t="s">
        <v>241</v>
      </c>
      <c r="E50" s="82" t="s">
        <v>241</v>
      </c>
      <c r="F50" s="27"/>
      <c r="G50" s="28" t="s">
        <v>241</v>
      </c>
      <c r="H50" s="29" t="s">
        <v>241</v>
      </c>
    </row>
    <row r="51" spans="1:9" x14ac:dyDescent="0.25">
      <c r="A51" s="30" t="s">
        <v>69</v>
      </c>
      <c r="B51" s="31" t="s">
        <v>3</v>
      </c>
      <c r="C51" s="80">
        <v>79.475155653000002</v>
      </c>
      <c r="D51" s="80">
        <v>107.38548215900001</v>
      </c>
      <c r="E51" s="83">
        <v>116.523657324</v>
      </c>
      <c r="F51" s="22" t="s">
        <v>241</v>
      </c>
      <c r="G51" s="23">
        <v>46.61645688718005</v>
      </c>
      <c r="H51" s="24">
        <v>8.509693285605934</v>
      </c>
    </row>
    <row r="52" spans="1:9" ht="13.8" thickBot="1" x14ac:dyDescent="0.3">
      <c r="A52" s="56"/>
      <c r="B52" s="42" t="s">
        <v>241</v>
      </c>
      <c r="C52" s="86" t="s">
        <v>241</v>
      </c>
      <c r="D52" s="86" t="s">
        <v>241</v>
      </c>
      <c r="E52" s="86" t="s">
        <v>241</v>
      </c>
      <c r="F52" s="44"/>
      <c r="G52" s="57" t="s">
        <v>241</v>
      </c>
      <c r="H52" s="46" t="s">
        <v>241</v>
      </c>
    </row>
    <row r="53" spans="1:9" x14ac:dyDescent="0.25">
      <c r="A53" s="65"/>
      <c r="B53" s="62"/>
      <c r="C53" s="21"/>
      <c r="D53" s="21"/>
      <c r="E53" s="21"/>
      <c r="F53" s="63"/>
      <c r="G53" s="38"/>
      <c r="H53" s="60"/>
      <c r="I53" s="61"/>
    </row>
    <row r="54" spans="1:9" x14ac:dyDescent="0.25">
      <c r="A54" s="65"/>
      <c r="B54" s="62"/>
      <c r="C54" s="21"/>
      <c r="D54" s="21"/>
      <c r="E54" s="21"/>
      <c r="F54" s="63"/>
      <c r="G54" s="38"/>
      <c r="H54" s="60"/>
      <c r="I54" s="61"/>
    </row>
    <row r="55" spans="1:9" x14ac:dyDescent="0.25">
      <c r="A55" s="65"/>
      <c r="B55" s="62"/>
      <c r="C55" s="21"/>
      <c r="D55" s="21"/>
      <c r="E55" s="21"/>
      <c r="F55" s="63"/>
      <c r="G55" s="38"/>
      <c r="H55" s="60"/>
      <c r="I55" s="61"/>
    </row>
    <row r="56" spans="1:9" x14ac:dyDescent="0.25">
      <c r="A56" s="65"/>
      <c r="B56" s="62"/>
      <c r="C56" s="21"/>
      <c r="D56" s="21"/>
      <c r="E56" s="21"/>
      <c r="F56" s="63"/>
      <c r="G56" s="38"/>
      <c r="H56" s="60"/>
      <c r="I56" s="61"/>
    </row>
    <row r="57" spans="1:9" x14ac:dyDescent="0.25">
      <c r="A57" s="65"/>
      <c r="B57" s="62"/>
      <c r="C57" s="21"/>
      <c r="D57" s="21"/>
      <c r="E57" s="21"/>
      <c r="F57" s="63"/>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
        <v>242</v>
      </c>
      <c r="G61" s="53"/>
      <c r="H61" s="201">
        <v>26</v>
      </c>
    </row>
    <row r="62" spans="1:9" ht="12.75" customHeight="1" x14ac:dyDescent="0.25">
      <c r="A62" s="54" t="s">
        <v>243</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showRowColHeaders="0" topLeftCell="A2" zoomScale="80" zoomScaleNormal="80" workbookViewId="0"/>
  </sheetViews>
  <sheetFormatPr defaultColWidth="11.44140625" defaultRowHeight="13.2" x14ac:dyDescent="0.25"/>
  <cols>
    <col min="1" max="1" width="27.109375" style="1" customWidth="1"/>
    <col min="2" max="4" width="10.6640625" style="1" customWidth="1"/>
    <col min="5" max="6" width="7.6640625" style="1" customWidth="1"/>
    <col min="7" max="7" width="8.109375" style="1" customWidth="1"/>
    <col min="8" max="16384" width="11.44140625" style="1"/>
  </cols>
  <sheetData>
    <row r="1" spans="1:7" ht="5.25" customHeight="1" x14ac:dyDescent="0.25"/>
    <row r="2" spans="1:7" x14ac:dyDescent="0.25">
      <c r="A2" s="92" t="s">
        <v>0</v>
      </c>
      <c r="B2" s="2"/>
      <c r="C2" s="2"/>
      <c r="D2" s="2"/>
      <c r="E2" s="2"/>
      <c r="F2" s="2"/>
    </row>
    <row r="3" spans="1:7" ht="6" customHeight="1" x14ac:dyDescent="0.25">
      <c r="A3" s="2"/>
      <c r="B3" s="2"/>
      <c r="C3" s="2"/>
      <c r="D3" s="2"/>
      <c r="E3" s="2"/>
      <c r="F3" s="2"/>
    </row>
    <row r="4" spans="1:7" ht="15.75" customHeight="1" x14ac:dyDescent="0.3">
      <c r="A4" s="88" t="s">
        <v>109</v>
      </c>
      <c r="B4" s="74"/>
      <c r="C4" s="74"/>
      <c r="D4" s="74"/>
      <c r="E4" s="74"/>
      <c r="F4" s="74"/>
      <c r="G4" s="74"/>
    </row>
    <row r="5" spans="1:7" ht="15.75" customHeight="1" x14ac:dyDescent="0.3">
      <c r="A5" s="75"/>
      <c r="B5" s="74"/>
      <c r="C5" s="74"/>
      <c r="D5" s="74"/>
      <c r="E5" s="74"/>
      <c r="F5" s="74"/>
      <c r="G5" s="74"/>
    </row>
    <row r="6" spans="1:7" ht="15.75" customHeight="1" x14ac:dyDescent="0.3">
      <c r="A6" s="73"/>
      <c r="B6" s="73"/>
      <c r="C6" s="73"/>
      <c r="D6" s="73"/>
      <c r="E6" s="73"/>
      <c r="F6" s="73"/>
      <c r="G6" s="73"/>
    </row>
    <row r="7" spans="1:7" ht="15.75" customHeight="1" x14ac:dyDescent="0.3">
      <c r="A7" s="73"/>
      <c r="B7" s="73"/>
      <c r="C7" s="73"/>
      <c r="D7" s="73"/>
      <c r="E7" s="73"/>
      <c r="F7" s="73"/>
      <c r="G7" s="73"/>
    </row>
    <row r="8" spans="1:7" ht="15.75" customHeight="1" x14ac:dyDescent="0.3">
      <c r="A8" s="73"/>
      <c r="B8" s="73"/>
      <c r="C8" s="73"/>
      <c r="D8" s="73"/>
      <c r="E8" s="73"/>
      <c r="F8" s="73"/>
      <c r="G8" s="73"/>
    </row>
    <row r="9" spans="1:7" ht="15.75" customHeight="1" x14ac:dyDescent="0.3">
      <c r="A9" s="73"/>
      <c r="B9" s="73"/>
      <c r="C9" s="73"/>
      <c r="D9" s="73"/>
      <c r="E9" s="73"/>
      <c r="F9" s="73"/>
      <c r="G9" s="73"/>
    </row>
    <row r="10" spans="1:7" ht="15.75" customHeight="1" x14ac:dyDescent="0.3">
      <c r="A10" s="73"/>
      <c r="B10" s="73"/>
      <c r="C10" s="73"/>
      <c r="D10" s="73"/>
      <c r="E10" s="73"/>
      <c r="F10" s="73"/>
      <c r="G10" s="73"/>
    </row>
    <row r="11" spans="1:7" ht="15.75" customHeight="1" x14ac:dyDescent="0.3">
      <c r="A11" s="73"/>
      <c r="B11" s="73"/>
      <c r="C11" s="73"/>
      <c r="D11" s="73"/>
      <c r="E11" s="73"/>
      <c r="F11" s="73"/>
      <c r="G11" s="73"/>
    </row>
    <row r="12" spans="1:7" ht="15.75" customHeight="1" x14ac:dyDescent="0.3">
      <c r="A12" s="73"/>
      <c r="B12" s="73"/>
      <c r="C12" s="73"/>
      <c r="D12" s="73"/>
      <c r="E12" s="73"/>
      <c r="F12" s="73"/>
      <c r="G12" s="73"/>
    </row>
    <row r="13" spans="1:7" ht="15.75" customHeight="1" x14ac:dyDescent="0.3">
      <c r="A13" s="73"/>
      <c r="B13" s="73"/>
      <c r="C13" s="73"/>
      <c r="D13" s="73"/>
      <c r="E13" s="73"/>
      <c r="F13" s="73"/>
      <c r="G13" s="73"/>
    </row>
    <row r="14" spans="1:7" ht="15.75" customHeight="1" x14ac:dyDescent="0.3">
      <c r="A14" s="73"/>
      <c r="B14" s="73"/>
      <c r="C14" s="73"/>
      <c r="D14" s="73"/>
      <c r="E14" s="73"/>
      <c r="F14" s="73"/>
      <c r="G14" s="73"/>
    </row>
    <row r="15" spans="1:7" ht="15.75" customHeight="1" x14ac:dyDescent="0.3">
      <c r="A15" s="73"/>
      <c r="B15" s="73"/>
      <c r="C15" s="73"/>
      <c r="D15" s="73"/>
      <c r="E15" s="73"/>
      <c r="F15" s="73"/>
      <c r="G15" s="73"/>
    </row>
    <row r="16" spans="1:7" ht="15.75" customHeight="1" x14ac:dyDescent="0.3">
      <c r="A16" s="73"/>
      <c r="B16" s="73"/>
      <c r="C16" s="73"/>
      <c r="D16" s="73"/>
      <c r="E16" s="73"/>
      <c r="F16" s="73"/>
      <c r="G16" s="73"/>
    </row>
    <row r="17" spans="1:13" ht="15.75" customHeight="1" x14ac:dyDescent="0.3">
      <c r="A17" s="73"/>
      <c r="B17" s="73"/>
      <c r="C17" s="73"/>
      <c r="D17" s="73"/>
      <c r="E17" s="73"/>
      <c r="F17" s="73"/>
      <c r="G17" s="73"/>
    </row>
    <row r="18" spans="1:13" ht="15.75" customHeight="1" x14ac:dyDescent="0.3">
      <c r="A18" s="73"/>
      <c r="B18" s="73"/>
      <c r="C18" s="73"/>
      <c r="D18" s="73"/>
      <c r="E18" s="73"/>
      <c r="F18" s="73"/>
      <c r="G18" s="73"/>
    </row>
    <row r="19" spans="1:13" ht="15.75" customHeight="1" x14ac:dyDescent="0.3">
      <c r="A19" s="73"/>
      <c r="B19" s="73"/>
      <c r="C19" s="73"/>
      <c r="D19" s="73"/>
      <c r="E19" s="73"/>
      <c r="F19" s="73"/>
      <c r="G19" s="73"/>
    </row>
    <row r="20" spans="1:13" ht="15.75" customHeight="1" x14ac:dyDescent="0.3">
      <c r="A20" s="73"/>
      <c r="B20" s="73"/>
      <c r="C20" s="73"/>
      <c r="D20" s="73"/>
      <c r="E20" s="73"/>
      <c r="F20" s="73"/>
      <c r="G20" s="73"/>
    </row>
    <row r="21" spans="1:13" ht="15.75" customHeight="1" x14ac:dyDescent="0.3">
      <c r="A21" s="73"/>
      <c r="B21" s="73"/>
      <c r="C21" s="73"/>
      <c r="D21" s="73"/>
      <c r="E21" s="73"/>
      <c r="F21" s="73"/>
      <c r="G21" s="73"/>
    </row>
    <row r="22" spans="1:13" ht="15.75" customHeight="1" x14ac:dyDescent="0.3">
      <c r="A22" s="73"/>
      <c r="B22" s="73"/>
      <c r="C22" s="73"/>
      <c r="D22" s="73"/>
      <c r="E22" s="73"/>
      <c r="F22" s="73"/>
      <c r="G22" s="73"/>
    </row>
    <row r="23" spans="1:13" ht="15.75" customHeight="1" x14ac:dyDescent="0.3">
      <c r="A23" s="73"/>
      <c r="B23" s="73"/>
      <c r="C23" s="73"/>
      <c r="D23" s="73"/>
      <c r="E23" s="73"/>
      <c r="F23" s="73"/>
      <c r="G23" s="73"/>
    </row>
    <row r="24" spans="1:13" ht="15.75" customHeight="1" x14ac:dyDescent="0.3">
      <c r="A24" s="73"/>
      <c r="B24" s="73"/>
      <c r="C24" s="73"/>
      <c r="D24" s="73"/>
      <c r="E24" s="73"/>
      <c r="F24" s="73"/>
      <c r="G24" s="73"/>
    </row>
    <row r="25" spans="1:13" ht="15.75" customHeight="1" x14ac:dyDescent="0.3">
      <c r="A25" s="73"/>
      <c r="B25" s="73"/>
      <c r="C25" s="73"/>
      <c r="D25" s="73"/>
      <c r="E25" s="73"/>
      <c r="F25" s="73"/>
      <c r="G25" s="73"/>
    </row>
    <row r="26" spans="1:13" ht="15.75" customHeight="1" x14ac:dyDescent="0.3">
      <c r="A26" s="73"/>
      <c r="B26" s="73"/>
      <c r="C26" s="73"/>
      <c r="D26" s="73"/>
      <c r="E26" s="73"/>
      <c r="F26" s="73"/>
      <c r="G26" s="73"/>
    </row>
    <row r="27" spans="1:13" ht="15.75" customHeight="1" x14ac:dyDescent="0.3">
      <c r="A27" s="73"/>
      <c r="B27" s="73"/>
      <c r="C27" s="73"/>
      <c r="D27" s="73"/>
      <c r="E27" s="73"/>
      <c r="F27" s="73"/>
      <c r="G27" s="73"/>
      <c r="M27" s="77"/>
    </row>
    <row r="28" spans="1:13" ht="15.75" customHeight="1" x14ac:dyDescent="0.3">
      <c r="A28" s="73"/>
      <c r="B28" s="73"/>
      <c r="C28" s="73"/>
      <c r="D28" s="73"/>
      <c r="E28" s="73"/>
      <c r="F28" s="73"/>
      <c r="G28" s="73"/>
      <c r="M28" s="77"/>
    </row>
    <row r="29" spans="1:13" ht="15.75" customHeight="1" x14ac:dyDescent="0.3">
      <c r="A29" s="73"/>
      <c r="B29" s="73"/>
      <c r="C29" s="73"/>
      <c r="D29" s="73"/>
      <c r="E29" s="73"/>
      <c r="F29" s="73"/>
      <c r="G29" s="73"/>
      <c r="M29" s="77"/>
    </row>
    <row r="30" spans="1:13" ht="15.75" customHeight="1" x14ac:dyDescent="0.3">
      <c r="A30" s="73"/>
      <c r="B30" s="73"/>
      <c r="C30" s="73"/>
      <c r="D30" s="73"/>
      <c r="E30" s="73"/>
      <c r="F30" s="73"/>
      <c r="G30" s="73"/>
      <c r="M30" s="77"/>
    </row>
    <row r="31" spans="1:13" ht="15.75" customHeight="1" x14ac:dyDescent="0.3">
      <c r="A31" s="73"/>
      <c r="B31" s="73"/>
      <c r="C31" s="73"/>
      <c r="D31" s="73"/>
      <c r="E31" s="73"/>
      <c r="F31" s="73"/>
      <c r="G31" s="73"/>
      <c r="M31" s="77"/>
    </row>
    <row r="32" spans="1:13" ht="15.75" customHeight="1" x14ac:dyDescent="0.3">
      <c r="A32" s="73"/>
      <c r="B32" s="73"/>
      <c r="C32" s="73"/>
      <c r="D32" s="73"/>
      <c r="E32" s="73"/>
      <c r="F32" s="73"/>
      <c r="G32" s="73"/>
      <c r="M32" s="77"/>
    </row>
    <row r="33" spans="1:13" ht="15.75" customHeight="1" x14ac:dyDescent="0.3">
      <c r="A33" s="73"/>
      <c r="B33" s="73"/>
      <c r="C33" s="73"/>
      <c r="D33" s="73"/>
      <c r="E33" s="73"/>
      <c r="F33" s="73"/>
      <c r="G33" s="73"/>
      <c r="M33" s="77"/>
    </row>
    <row r="34" spans="1:13" ht="15.75" customHeight="1" x14ac:dyDescent="0.3">
      <c r="A34" s="73"/>
      <c r="B34" s="73"/>
      <c r="C34" s="73"/>
      <c r="D34" s="73"/>
      <c r="E34" s="73"/>
      <c r="F34" s="73"/>
      <c r="G34" s="73"/>
      <c r="M34" s="77"/>
    </row>
    <row r="35" spans="1:13" ht="15.75" customHeight="1" x14ac:dyDescent="0.3">
      <c r="A35" s="73"/>
      <c r="B35" s="73"/>
      <c r="C35" s="73"/>
      <c r="D35" s="73"/>
      <c r="E35" s="73"/>
      <c r="F35" s="73"/>
      <c r="G35" s="73"/>
      <c r="M35" s="77"/>
    </row>
    <row r="36" spans="1:13" ht="15.75" customHeight="1" x14ac:dyDescent="0.3">
      <c r="A36" s="73"/>
      <c r="B36" s="73"/>
      <c r="C36" s="73"/>
      <c r="D36" s="73"/>
      <c r="E36" s="73"/>
      <c r="F36" s="73"/>
      <c r="G36" s="73"/>
      <c r="M36" s="77"/>
    </row>
    <row r="37" spans="1:13" ht="15.75" customHeight="1" x14ac:dyDescent="0.3">
      <c r="A37" s="73"/>
      <c r="B37" s="73"/>
      <c r="C37" s="73"/>
      <c r="D37" s="73"/>
      <c r="E37" s="73"/>
      <c r="F37" s="73"/>
      <c r="G37" s="73"/>
      <c r="M37" s="77"/>
    </row>
    <row r="38" spans="1:13" ht="15.75" customHeight="1" x14ac:dyDescent="0.3">
      <c r="A38" s="73"/>
      <c r="B38" s="73"/>
      <c r="C38" s="73"/>
      <c r="D38" s="73"/>
      <c r="E38" s="73"/>
      <c r="F38" s="73"/>
      <c r="G38" s="73"/>
      <c r="M38" s="77"/>
    </row>
    <row r="39" spans="1:13" ht="15.75" customHeight="1" x14ac:dyDescent="0.3">
      <c r="A39" s="73"/>
      <c r="B39" s="73"/>
      <c r="C39" s="73"/>
      <c r="D39" s="73"/>
      <c r="E39" s="73"/>
      <c r="F39" s="73"/>
      <c r="G39" s="73"/>
      <c r="M39" s="77"/>
    </row>
    <row r="40" spans="1:13" ht="15.75" customHeight="1" x14ac:dyDescent="0.3">
      <c r="A40" s="73"/>
      <c r="B40" s="73"/>
      <c r="C40" s="73"/>
      <c r="D40" s="73"/>
      <c r="E40" s="73"/>
      <c r="F40" s="73"/>
      <c r="G40" s="73"/>
      <c r="M40" s="77"/>
    </row>
    <row r="41" spans="1:13" ht="15.75" customHeight="1" x14ac:dyDescent="0.3">
      <c r="A41" s="73"/>
      <c r="B41" s="73"/>
      <c r="C41" s="73"/>
      <c r="D41" s="73"/>
      <c r="E41" s="73"/>
      <c r="F41" s="73"/>
      <c r="G41" s="73"/>
      <c r="M41" s="77"/>
    </row>
    <row r="42" spans="1:13" ht="15.75" customHeight="1" x14ac:dyDescent="0.3">
      <c r="A42" s="73"/>
      <c r="B42" s="73"/>
      <c r="C42" s="73"/>
      <c r="D42" s="73"/>
      <c r="E42" s="73"/>
      <c r="F42" s="73"/>
      <c r="G42" s="73"/>
      <c r="M42" s="77"/>
    </row>
    <row r="43" spans="1:13" ht="15.75" customHeight="1" x14ac:dyDescent="0.3">
      <c r="A43" s="73"/>
      <c r="B43" s="73"/>
      <c r="C43" s="73"/>
      <c r="D43" s="73"/>
      <c r="E43" s="73"/>
      <c r="F43" s="73"/>
      <c r="G43" s="73"/>
      <c r="M43" s="77"/>
    </row>
    <row r="44" spans="1:13" ht="15.75" customHeight="1" x14ac:dyDescent="0.3">
      <c r="A44" s="73"/>
      <c r="B44" s="73"/>
      <c r="C44" s="73"/>
      <c r="D44" s="73"/>
      <c r="E44" s="73"/>
      <c r="F44" s="73"/>
      <c r="G44" s="73"/>
      <c r="M44" s="77"/>
    </row>
    <row r="45" spans="1:13" ht="15.75" customHeight="1" x14ac:dyDescent="0.3">
      <c r="A45" s="73"/>
      <c r="B45" s="73"/>
      <c r="C45" s="73"/>
      <c r="D45" s="73"/>
      <c r="E45" s="73"/>
      <c r="F45" s="73"/>
      <c r="G45" s="73"/>
      <c r="M45" s="77"/>
    </row>
    <row r="46" spans="1:13" ht="15.75" customHeight="1" x14ac:dyDescent="0.3">
      <c r="A46" s="73"/>
      <c r="B46" s="73"/>
      <c r="C46" s="73"/>
      <c r="D46" s="73"/>
      <c r="E46" s="73"/>
      <c r="F46" s="73"/>
      <c r="G46" s="73"/>
      <c r="M46" s="77"/>
    </row>
    <row r="47" spans="1:13" ht="15.75" customHeight="1" x14ac:dyDescent="0.3">
      <c r="A47" s="73"/>
      <c r="B47" s="73"/>
      <c r="C47" s="73"/>
      <c r="D47" s="73"/>
      <c r="E47" s="73"/>
      <c r="F47" s="73"/>
      <c r="G47" s="73"/>
      <c r="M47" s="77"/>
    </row>
    <row r="48" spans="1:13" ht="15.75" customHeight="1" x14ac:dyDescent="0.3">
      <c r="A48" s="73"/>
      <c r="B48" s="73"/>
      <c r="C48" s="73"/>
      <c r="D48" s="73"/>
      <c r="E48" s="73"/>
      <c r="F48" s="73"/>
      <c r="G48" s="73"/>
      <c r="M48" s="77"/>
    </row>
    <row r="49" spans="1:14" ht="15.75" customHeight="1" x14ac:dyDescent="0.3">
      <c r="A49" s="73"/>
      <c r="B49" s="73"/>
      <c r="C49" s="73"/>
      <c r="D49" s="73"/>
      <c r="E49" s="96"/>
      <c r="F49" s="73"/>
      <c r="G49" s="73"/>
      <c r="M49" s="77"/>
    </row>
    <row r="50" spans="1:14" ht="15.75" customHeight="1" x14ac:dyDescent="0.3">
      <c r="A50" s="73"/>
      <c r="B50" s="73"/>
      <c r="C50" s="73"/>
      <c r="D50" s="73"/>
      <c r="E50" s="73"/>
      <c r="F50" s="73"/>
      <c r="G50" s="73"/>
      <c r="M50" s="77"/>
    </row>
    <row r="51" spans="1:14" ht="12.75" customHeight="1" x14ac:dyDescent="0.25">
      <c r="A51" s="52"/>
      <c r="B51" s="52"/>
      <c r="C51" s="52"/>
      <c r="D51" s="52"/>
      <c r="E51" s="52"/>
      <c r="F51" s="52"/>
      <c r="G51" s="52"/>
      <c r="H51" s="52"/>
      <c r="I51" s="52"/>
      <c r="J51" s="52"/>
      <c r="K51" s="52"/>
      <c r="L51" s="52"/>
      <c r="M51" s="52"/>
      <c r="N51" s="52"/>
    </row>
    <row r="52" spans="1:14" ht="12.75" customHeight="1" x14ac:dyDescent="0.25">
      <c r="A52" s="54" t="str">
        <f>+Innhold!B123</f>
        <v>Finans Norge / Skadestatistikk</v>
      </c>
      <c r="G52" s="193">
        <v>27</v>
      </c>
      <c r="H52" s="54" t="str">
        <f>+Innhold!B123</f>
        <v>Finans Norge / Skadestatistikk</v>
      </c>
      <c r="N52" s="193">
        <v>28</v>
      </c>
    </row>
    <row r="53" spans="1:14" ht="12.75" customHeight="1" x14ac:dyDescent="0.25">
      <c r="A53" s="54" t="str">
        <f>+Innhold!B124</f>
        <v>Skadestatistikk for landbasert forsikring 4. kvartal 2016</v>
      </c>
      <c r="G53" s="194"/>
      <c r="H53" s="54" t="str">
        <f>+Innhold!B124</f>
        <v>Skadestatistikk for landbasert forsikring 4. kvartal 2016</v>
      </c>
      <c r="N53" s="194"/>
    </row>
    <row r="54" spans="1:14" ht="15.75" customHeight="1" x14ac:dyDescent="0.25"/>
    <row r="55" spans="1:14" ht="15.75" customHeight="1" x14ac:dyDescent="0.25"/>
    <row r="56" spans="1:14" ht="15.75" customHeight="1" x14ac:dyDescent="0.25"/>
    <row r="57" spans="1:14" ht="15.75" customHeight="1" x14ac:dyDescent="0.25"/>
    <row r="58" spans="1:14" ht="15.75" customHeight="1" x14ac:dyDescent="0.25"/>
    <row r="59" spans="1:14" ht="15.75" customHeight="1" x14ac:dyDescent="0.25"/>
    <row r="60" spans="1:14" ht="15.75" customHeight="1" x14ac:dyDescent="0.25">
      <c r="J60"/>
      <c r="K60"/>
      <c r="L60"/>
    </row>
    <row r="61" spans="1:14" ht="15.75" customHeight="1" x14ac:dyDescent="0.25">
      <c r="J61" s="71"/>
      <c r="K61" s="72"/>
      <c r="L61" s="72"/>
    </row>
    <row r="62" spans="1:14" ht="15.75" customHeight="1" x14ac:dyDescent="0.25">
      <c r="J62" s="70"/>
      <c r="K62"/>
      <c r="L62"/>
    </row>
    <row r="63" spans="1:14" ht="15.75" customHeight="1" x14ac:dyDescent="0.25">
      <c r="J63" s="69"/>
      <c r="K63" s="69"/>
      <c r="L63" s="69"/>
    </row>
    <row r="64" spans="1:14" ht="15.75" customHeight="1" x14ac:dyDescent="0.25">
      <c r="J64" s="69"/>
      <c r="K64" s="69"/>
      <c r="L64" s="69"/>
    </row>
    <row r="65" spans="1:12" ht="15.75" customHeight="1" x14ac:dyDescent="0.25">
      <c r="J65" s="69"/>
      <c r="K65" s="69"/>
      <c r="L65" s="69"/>
    </row>
    <row r="66" spans="1:12" ht="15.75" customHeight="1" x14ac:dyDescent="0.25">
      <c r="J66" s="69"/>
      <c r="K66" s="69"/>
      <c r="L66" s="69"/>
    </row>
    <row r="67" spans="1:12" ht="15.75" customHeight="1" x14ac:dyDescent="0.25">
      <c r="J67" s="69"/>
      <c r="K67" s="69"/>
      <c r="L67" s="69"/>
    </row>
    <row r="68" spans="1:12" ht="15.75" customHeight="1" x14ac:dyDescent="0.25">
      <c r="J68" s="69"/>
      <c r="K68" s="69"/>
      <c r="L68" s="69"/>
    </row>
    <row r="69" spans="1:12" ht="15.75" customHeight="1" x14ac:dyDescent="0.25">
      <c r="J69" s="69"/>
      <c r="K69" s="69"/>
      <c r="L69" s="69"/>
    </row>
    <row r="70" spans="1:12" ht="15.75" customHeight="1" x14ac:dyDescent="0.25">
      <c r="J70"/>
      <c r="K70"/>
      <c r="L70"/>
    </row>
    <row r="71" spans="1:12" x14ac:dyDescent="0.25">
      <c r="J71"/>
      <c r="K71"/>
      <c r="L71"/>
    </row>
    <row r="72" spans="1:12" x14ac:dyDescent="0.25">
      <c r="J72"/>
      <c r="K72"/>
      <c r="L72"/>
    </row>
    <row r="73" spans="1:12" x14ac:dyDescent="0.25">
      <c r="A73"/>
      <c r="B73"/>
      <c r="C73"/>
      <c r="D73"/>
      <c r="E73"/>
      <c r="F73"/>
      <c r="H73"/>
      <c r="I73"/>
      <c r="J73"/>
      <c r="K73"/>
      <c r="L73"/>
    </row>
    <row r="74" spans="1:12" x14ac:dyDescent="0.25">
      <c r="A74"/>
      <c r="B74"/>
      <c r="C74"/>
      <c r="D74"/>
      <c r="E74"/>
      <c r="F74"/>
      <c r="H74"/>
      <c r="I74"/>
      <c r="J74"/>
      <c r="K74"/>
      <c r="L74"/>
    </row>
    <row r="75" spans="1:12" x14ac:dyDescent="0.25">
      <c r="A75"/>
      <c r="B75"/>
      <c r="C75"/>
      <c r="D75"/>
      <c r="E75"/>
      <c r="F75"/>
      <c r="H75"/>
      <c r="I75"/>
      <c r="J75"/>
      <c r="K75"/>
      <c r="L75"/>
    </row>
    <row r="76" spans="1:12" x14ac:dyDescent="0.25">
      <c r="A76"/>
      <c r="B76"/>
      <c r="C76"/>
      <c r="D76"/>
      <c r="E76"/>
      <c r="F76"/>
      <c r="H76"/>
      <c r="I76"/>
      <c r="J76"/>
      <c r="K76"/>
      <c r="L76"/>
    </row>
    <row r="77" spans="1:12" x14ac:dyDescent="0.25">
      <c r="A77"/>
      <c r="B77"/>
      <c r="C77"/>
      <c r="D77"/>
      <c r="E77"/>
      <c r="F77"/>
      <c r="H77"/>
      <c r="I77"/>
      <c r="J77"/>
      <c r="K77"/>
      <c r="L77"/>
    </row>
    <row r="78" spans="1:12" x14ac:dyDescent="0.25">
      <c r="A78"/>
      <c r="B78"/>
      <c r="C78"/>
      <c r="D78"/>
      <c r="E78"/>
      <c r="F78"/>
      <c r="H78"/>
      <c r="I78"/>
      <c r="J78"/>
      <c r="K78"/>
      <c r="L78"/>
    </row>
    <row r="79" spans="1:12" x14ac:dyDescent="0.25">
      <c r="A79"/>
      <c r="B79"/>
      <c r="C79"/>
      <c r="D79"/>
      <c r="E79"/>
      <c r="F79"/>
      <c r="H79"/>
      <c r="I79"/>
      <c r="J79"/>
      <c r="K79"/>
      <c r="L79"/>
    </row>
    <row r="80" spans="1:12" x14ac:dyDescent="0.25">
      <c r="A80"/>
      <c r="B80"/>
      <c r="C80"/>
      <c r="D80"/>
      <c r="E80"/>
      <c r="F80"/>
      <c r="H80"/>
      <c r="I80"/>
      <c r="J80"/>
      <c r="K80"/>
      <c r="L80"/>
    </row>
    <row r="81" spans="1:12" x14ac:dyDescent="0.25">
      <c r="A81"/>
      <c r="B81"/>
      <c r="C81"/>
      <c r="D81"/>
      <c r="E81"/>
      <c r="F81"/>
      <c r="H81"/>
      <c r="I81"/>
      <c r="J81"/>
      <c r="K81"/>
      <c r="L81"/>
    </row>
    <row r="82" spans="1:12" x14ac:dyDescent="0.25">
      <c r="A82"/>
      <c r="B82"/>
      <c r="C82"/>
      <c r="D82"/>
      <c r="E82"/>
      <c r="F82"/>
      <c r="H82"/>
      <c r="I82"/>
      <c r="J82"/>
      <c r="K82"/>
      <c r="L82"/>
    </row>
    <row r="83" spans="1:12" x14ac:dyDescent="0.25">
      <c r="A83"/>
      <c r="B83"/>
      <c r="C83"/>
      <c r="D83"/>
      <c r="E83"/>
      <c r="F83"/>
      <c r="H83"/>
      <c r="I83"/>
      <c r="J83"/>
      <c r="K83"/>
      <c r="L83"/>
    </row>
    <row r="84" spans="1:12" x14ac:dyDescent="0.25">
      <c r="A84"/>
      <c r="B84"/>
      <c r="C84"/>
      <c r="D84"/>
      <c r="E84"/>
      <c r="F84"/>
      <c r="H84"/>
      <c r="I84"/>
      <c r="J84"/>
      <c r="K84"/>
      <c r="L84"/>
    </row>
    <row r="85" spans="1:12" x14ac:dyDescent="0.25">
      <c r="A85"/>
      <c r="B85"/>
      <c r="C85"/>
      <c r="D85"/>
      <c r="E85"/>
      <c r="F85"/>
      <c r="H85"/>
      <c r="I85"/>
      <c r="J85"/>
      <c r="K85"/>
      <c r="L85"/>
    </row>
    <row r="86" spans="1:12" x14ac:dyDescent="0.25">
      <c r="A86"/>
      <c r="B86"/>
      <c r="C86"/>
      <c r="D86"/>
      <c r="E86"/>
      <c r="F86"/>
      <c r="H86"/>
      <c r="I86"/>
      <c r="J86"/>
      <c r="K86"/>
      <c r="L86"/>
    </row>
    <row r="87" spans="1:12" x14ac:dyDescent="0.25">
      <c r="A87"/>
      <c r="B87"/>
      <c r="C87"/>
      <c r="D87"/>
      <c r="E87"/>
      <c r="F87"/>
      <c r="H87"/>
      <c r="I87"/>
      <c r="J87"/>
      <c r="K87"/>
      <c r="L87"/>
    </row>
    <row r="88" spans="1:12" x14ac:dyDescent="0.25">
      <c r="A88"/>
      <c r="B88"/>
      <c r="C88"/>
      <c r="D88"/>
      <c r="E88"/>
      <c r="F88"/>
      <c r="H88"/>
      <c r="I88"/>
      <c r="J88"/>
      <c r="K88"/>
      <c r="L88"/>
    </row>
    <row r="89" spans="1:12" x14ac:dyDescent="0.25">
      <c r="A89"/>
      <c r="B89"/>
      <c r="C89"/>
      <c r="D89"/>
      <c r="E89"/>
      <c r="F89"/>
      <c r="H89"/>
      <c r="I89"/>
      <c r="J89"/>
      <c r="K89"/>
      <c r="L89"/>
    </row>
    <row r="90" spans="1:12" x14ac:dyDescent="0.25">
      <c r="A90"/>
      <c r="B90"/>
      <c r="C90"/>
      <c r="D90"/>
      <c r="E90"/>
      <c r="F90"/>
      <c r="H90"/>
      <c r="I90"/>
      <c r="J90"/>
      <c r="K90"/>
      <c r="L90"/>
    </row>
    <row r="91" spans="1:12" x14ac:dyDescent="0.25">
      <c r="A91"/>
      <c r="B91"/>
      <c r="C91"/>
      <c r="D91"/>
      <c r="E91"/>
      <c r="F91"/>
      <c r="H91"/>
      <c r="I91"/>
      <c r="J91"/>
      <c r="K91"/>
      <c r="L91"/>
    </row>
    <row r="92" spans="1:12" x14ac:dyDescent="0.25">
      <c r="A92"/>
      <c r="B92"/>
      <c r="C92"/>
      <c r="D92"/>
      <c r="E92"/>
      <c r="F92"/>
      <c r="H92"/>
      <c r="I92"/>
      <c r="J92"/>
      <c r="K92"/>
      <c r="L92"/>
    </row>
    <row r="93" spans="1:12" x14ac:dyDescent="0.25">
      <c r="A93"/>
      <c r="B93"/>
      <c r="C93"/>
      <c r="D93"/>
      <c r="E93"/>
      <c r="F93"/>
      <c r="H93"/>
      <c r="I93"/>
      <c r="J93"/>
      <c r="K93"/>
      <c r="L93"/>
    </row>
    <row r="94" spans="1:12" x14ac:dyDescent="0.25">
      <c r="A94"/>
      <c r="B94"/>
      <c r="C94"/>
      <c r="D94"/>
      <c r="E94"/>
      <c r="F94"/>
      <c r="H94"/>
      <c r="I94"/>
      <c r="J94"/>
      <c r="K94"/>
      <c r="L94"/>
    </row>
    <row r="95" spans="1:12" x14ac:dyDescent="0.25">
      <c r="A95"/>
      <c r="B95"/>
      <c r="C95"/>
      <c r="D95"/>
      <c r="E95"/>
      <c r="F95"/>
      <c r="H95"/>
      <c r="I95"/>
      <c r="J95"/>
      <c r="K95"/>
      <c r="L95"/>
    </row>
    <row r="96" spans="1:12" x14ac:dyDescent="0.25">
      <c r="A96"/>
      <c r="B96"/>
      <c r="C96"/>
      <c r="D96"/>
      <c r="E96"/>
      <c r="F96"/>
      <c r="H96"/>
      <c r="I96"/>
      <c r="J96"/>
      <c r="K96"/>
      <c r="L96"/>
    </row>
    <row r="97" spans="1:12" x14ac:dyDescent="0.25">
      <c r="A97"/>
      <c r="B97"/>
      <c r="C97"/>
      <c r="D97"/>
      <c r="E97"/>
      <c r="F97"/>
      <c r="H97"/>
      <c r="I97"/>
      <c r="J97"/>
      <c r="K97"/>
      <c r="L97"/>
    </row>
    <row r="98" spans="1:12" x14ac:dyDescent="0.25">
      <c r="A98"/>
      <c r="B98"/>
      <c r="C98"/>
      <c r="D98"/>
      <c r="E98"/>
      <c r="F98"/>
      <c r="H98"/>
      <c r="I98"/>
      <c r="J98"/>
      <c r="K98"/>
      <c r="L98"/>
    </row>
    <row r="99" spans="1:12" x14ac:dyDescent="0.25">
      <c r="A99"/>
      <c r="B99"/>
      <c r="C99"/>
      <c r="D99"/>
      <c r="E99"/>
      <c r="F99"/>
      <c r="K99"/>
    </row>
    <row r="100" spans="1:12" x14ac:dyDescent="0.25">
      <c r="A100"/>
      <c r="B100"/>
      <c r="C100"/>
      <c r="D100"/>
      <c r="E100"/>
      <c r="F100"/>
      <c r="K100"/>
    </row>
    <row r="101" spans="1:12" x14ac:dyDescent="0.25">
      <c r="A101"/>
      <c r="B101"/>
      <c r="C101"/>
      <c r="D101"/>
      <c r="E101"/>
      <c r="F101"/>
      <c r="H101" s="68"/>
      <c r="I101"/>
      <c r="J101"/>
      <c r="K101"/>
    </row>
    <row r="102" spans="1:12" x14ac:dyDescent="0.25">
      <c r="A102"/>
      <c r="B102"/>
      <c r="C102"/>
      <c r="D102"/>
      <c r="E102"/>
      <c r="F102"/>
      <c r="H102"/>
      <c r="I102"/>
      <c r="J102"/>
      <c r="K102"/>
    </row>
    <row r="103" spans="1:12" x14ac:dyDescent="0.25">
      <c r="A103"/>
      <c r="B103"/>
      <c r="C103"/>
      <c r="D103"/>
      <c r="E103"/>
      <c r="F103"/>
      <c r="H103"/>
      <c r="I103"/>
      <c r="J103"/>
      <c r="K103"/>
    </row>
    <row r="104" spans="1:12" x14ac:dyDescent="0.25">
      <c r="A104"/>
      <c r="B104"/>
      <c r="C104"/>
      <c r="D104"/>
      <c r="E104"/>
      <c r="F104"/>
      <c r="H104"/>
      <c r="I104"/>
      <c r="J104"/>
      <c r="K104"/>
    </row>
    <row r="105" spans="1:12" x14ac:dyDescent="0.25">
      <c r="A105"/>
      <c r="B105"/>
      <c r="C105"/>
      <c r="D105"/>
      <c r="E105"/>
      <c r="F105"/>
      <c r="H105"/>
      <c r="I105" s="69"/>
      <c r="J105" s="69"/>
      <c r="K105" s="69"/>
    </row>
    <row r="106" spans="1:12" x14ac:dyDescent="0.25">
      <c r="A106"/>
      <c r="B106"/>
      <c r="C106"/>
      <c r="D106"/>
      <c r="E106"/>
      <c r="F106"/>
      <c r="H106"/>
      <c r="I106" s="69"/>
      <c r="J106" s="69"/>
      <c r="K106" s="69"/>
    </row>
    <row r="107" spans="1:12" x14ac:dyDescent="0.25">
      <c r="D107"/>
      <c r="E107"/>
      <c r="F107"/>
      <c r="H107"/>
      <c r="I107" s="69"/>
      <c r="J107" s="69"/>
      <c r="K107" s="69"/>
    </row>
    <row r="108" spans="1:12" x14ac:dyDescent="0.25">
      <c r="D108"/>
      <c r="E108"/>
      <c r="F108"/>
      <c r="H108"/>
      <c r="I108"/>
      <c r="J108"/>
      <c r="K108"/>
    </row>
    <row r="109" spans="1:12" x14ac:dyDescent="0.25">
      <c r="A109" s="78"/>
      <c r="B109"/>
      <c r="C109"/>
      <c r="D109"/>
      <c r="E109"/>
      <c r="F109"/>
      <c r="H109"/>
      <c r="I109"/>
      <c r="J109"/>
      <c r="K109"/>
    </row>
    <row r="110" spans="1:12" x14ac:dyDescent="0.25">
      <c r="A110"/>
      <c r="B110"/>
      <c r="C110"/>
      <c r="D110"/>
      <c r="E110"/>
      <c r="F110"/>
      <c r="H110"/>
      <c r="I110"/>
      <c r="J110"/>
      <c r="K110"/>
    </row>
    <row r="111" spans="1:12" x14ac:dyDescent="0.25">
      <c r="A111"/>
      <c r="B111"/>
      <c r="C111"/>
      <c r="D111"/>
      <c r="E111"/>
      <c r="F111"/>
      <c r="H111"/>
      <c r="I111"/>
      <c r="J111"/>
      <c r="K111"/>
    </row>
    <row r="112" spans="1:12" x14ac:dyDescent="0.25">
      <c r="A112"/>
      <c r="B112"/>
      <c r="C112"/>
      <c r="D112"/>
      <c r="E112"/>
      <c r="F112"/>
      <c r="H112"/>
      <c r="I112"/>
      <c r="J112"/>
      <c r="K112"/>
    </row>
    <row r="113" spans="1:11" x14ac:dyDescent="0.25">
      <c r="A113"/>
      <c r="B113"/>
      <c r="C113"/>
      <c r="D113"/>
      <c r="E113"/>
      <c r="F113"/>
    </row>
    <row r="114" spans="1:11" x14ac:dyDescent="0.25">
      <c r="A114"/>
      <c r="B114"/>
      <c r="C114"/>
      <c r="D114"/>
      <c r="E114"/>
      <c r="F114"/>
    </row>
    <row r="115" spans="1:11" x14ac:dyDescent="0.25">
      <c r="A115"/>
      <c r="B115"/>
      <c r="C115"/>
      <c r="D115"/>
      <c r="E115"/>
      <c r="F115"/>
      <c r="H115" s="68"/>
      <c r="I115"/>
      <c r="J115"/>
      <c r="K115"/>
    </row>
    <row r="116" spans="1:11" x14ac:dyDescent="0.25">
      <c r="A116"/>
      <c r="B116"/>
      <c r="C116"/>
      <c r="D116"/>
      <c r="E116"/>
      <c r="F116"/>
      <c r="H116"/>
      <c r="I116"/>
      <c r="J116"/>
      <c r="K116"/>
    </row>
    <row r="117" spans="1:11" x14ac:dyDescent="0.25">
      <c r="A117"/>
      <c r="B117"/>
      <c r="C117"/>
      <c r="D117"/>
      <c r="E117"/>
      <c r="F117"/>
      <c r="H117"/>
      <c r="I117"/>
      <c r="J117"/>
      <c r="K117"/>
    </row>
    <row r="118" spans="1:11" x14ac:dyDescent="0.25">
      <c r="A118"/>
      <c r="B118"/>
      <c r="C118"/>
      <c r="D118"/>
      <c r="E118"/>
      <c r="F118"/>
      <c r="H118"/>
      <c r="I118"/>
      <c r="J118" s="69"/>
      <c r="K118" s="69"/>
    </row>
    <row r="119" spans="1:11" x14ac:dyDescent="0.25">
      <c r="A119"/>
      <c r="B119"/>
      <c r="C119"/>
      <c r="D119"/>
      <c r="E119"/>
      <c r="F119"/>
      <c r="H119"/>
      <c r="I119"/>
      <c r="J119" s="69"/>
      <c r="K119" s="69"/>
    </row>
    <row r="120" spans="1:11" x14ac:dyDescent="0.25">
      <c r="A120"/>
      <c r="B120"/>
      <c r="C120"/>
      <c r="D120"/>
      <c r="E120"/>
      <c r="F120"/>
      <c r="H120"/>
      <c r="I120"/>
      <c r="J120" s="69"/>
      <c r="K120" s="69"/>
    </row>
    <row r="121" spans="1:11" x14ac:dyDescent="0.25">
      <c r="A121"/>
      <c r="B121"/>
      <c r="C121"/>
      <c r="D121"/>
      <c r="E121"/>
      <c r="F121"/>
      <c r="H121"/>
      <c r="I121"/>
      <c r="J121"/>
      <c r="K121"/>
    </row>
    <row r="122" spans="1:11" x14ac:dyDescent="0.25">
      <c r="A122"/>
      <c r="B122"/>
      <c r="C122"/>
      <c r="D122"/>
      <c r="E122"/>
      <c r="F122"/>
      <c r="G122"/>
      <c r="H122"/>
      <c r="I122"/>
      <c r="J122"/>
      <c r="K122"/>
    </row>
    <row r="123" spans="1:11" x14ac:dyDescent="0.25">
      <c r="A123"/>
      <c r="B123"/>
      <c r="C123"/>
      <c r="D123"/>
      <c r="E123"/>
      <c r="F123"/>
      <c r="G123"/>
      <c r="H123"/>
      <c r="I123"/>
      <c r="J123"/>
      <c r="K123"/>
    </row>
    <row r="124" spans="1:11" x14ac:dyDescent="0.25">
      <c r="A124"/>
      <c r="B124"/>
      <c r="C124"/>
      <c r="D124"/>
      <c r="E124"/>
      <c r="F124"/>
      <c r="G124"/>
      <c r="H124"/>
      <c r="I124" s="69"/>
      <c r="J124" s="69"/>
    </row>
    <row r="125" spans="1:11" x14ac:dyDescent="0.25">
      <c r="A125"/>
      <c r="B125" s="69"/>
      <c r="C125" s="69"/>
      <c r="D125"/>
      <c r="E125"/>
      <c r="F125"/>
      <c r="G125"/>
      <c r="H125"/>
      <c r="I125" s="69"/>
      <c r="J125" s="69"/>
    </row>
    <row r="126" spans="1:11" x14ac:dyDescent="0.25">
      <c r="A126"/>
      <c r="B126"/>
      <c r="C126"/>
      <c r="D126"/>
      <c r="F126"/>
      <c r="G126"/>
      <c r="H126"/>
      <c r="I126"/>
      <c r="J126"/>
    </row>
    <row r="127" spans="1:11" x14ac:dyDescent="0.25">
      <c r="A127"/>
      <c r="B127"/>
      <c r="C127"/>
      <c r="D127"/>
      <c r="F127"/>
      <c r="G127"/>
      <c r="H127"/>
      <c r="I127"/>
      <c r="J127"/>
    </row>
    <row r="128" spans="1:11" x14ac:dyDescent="0.25">
      <c r="A128"/>
      <c r="B128"/>
      <c r="C128"/>
      <c r="D128"/>
      <c r="F128"/>
      <c r="G128"/>
      <c r="H128"/>
      <c r="I128"/>
      <c r="J128"/>
    </row>
    <row r="129" spans="1:10" x14ac:dyDescent="0.25">
      <c r="A129"/>
      <c r="B129" s="69"/>
      <c r="C129" s="69"/>
      <c r="D129"/>
      <c r="F129"/>
      <c r="G129"/>
      <c r="H129"/>
      <c r="I129"/>
      <c r="J129"/>
    </row>
    <row r="130" spans="1:10" x14ac:dyDescent="0.25">
      <c r="A130"/>
      <c r="B130" s="69"/>
      <c r="C130" s="69"/>
      <c r="D130"/>
      <c r="F130"/>
      <c r="G130"/>
      <c r="H130"/>
      <c r="I130"/>
      <c r="J130"/>
    </row>
    <row r="131" spans="1:10" x14ac:dyDescent="0.25">
      <c r="A131"/>
      <c r="B131" s="69"/>
      <c r="C131" s="69"/>
      <c r="D131"/>
      <c r="F131"/>
    </row>
    <row r="132" spans="1:10" x14ac:dyDescent="0.25">
      <c r="A132"/>
      <c r="B132"/>
      <c r="C132"/>
      <c r="D132"/>
      <c r="F132"/>
    </row>
    <row r="133" spans="1:10" x14ac:dyDescent="0.25">
      <c r="A133"/>
      <c r="B133" s="69"/>
      <c r="C133" s="69"/>
      <c r="D133"/>
      <c r="F133"/>
    </row>
    <row r="134" spans="1:10" x14ac:dyDescent="0.25">
      <c r="A134"/>
      <c r="B134" s="69"/>
      <c r="C134" s="69"/>
      <c r="D134"/>
      <c r="F134"/>
    </row>
    <row r="135" spans="1:10" x14ac:dyDescent="0.25">
      <c r="A135"/>
      <c r="B135" s="69"/>
      <c r="C135" s="69"/>
      <c r="D135"/>
      <c r="F135"/>
    </row>
    <row r="136" spans="1:10" x14ac:dyDescent="0.25">
      <c r="A136"/>
      <c r="B136"/>
      <c r="C136"/>
      <c r="D136"/>
      <c r="F136"/>
    </row>
    <row r="137" spans="1:10" x14ac:dyDescent="0.25">
      <c r="A137"/>
      <c r="B137" s="69"/>
      <c r="C137" s="69"/>
      <c r="D137"/>
      <c r="F137"/>
    </row>
    <row r="138" spans="1:10" x14ac:dyDescent="0.25">
      <c r="A138"/>
      <c r="B138" s="69"/>
      <c r="C138" s="69"/>
      <c r="D138"/>
      <c r="F138"/>
    </row>
  </sheetData>
  <mergeCells count="2">
    <mergeCell ref="N52:N53"/>
    <mergeCell ref="G52:G53"/>
  </mergeCells>
  <phoneticPr fontId="0" type="noConversion"/>
  <hyperlinks>
    <hyperlink ref="A2" location="Innhold!A80"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showRowColHeaders="0" topLeftCell="A2" zoomScale="80" zoomScaleNormal="80" workbookViewId="0"/>
  </sheetViews>
  <sheetFormatPr defaultColWidth="11.44140625" defaultRowHeight="15.6" customHeight="1" x14ac:dyDescent="0.25"/>
  <cols>
    <col min="1" max="1" width="27.109375" style="1" customWidth="1"/>
    <col min="2" max="4" width="10.6640625" style="1" customWidth="1"/>
    <col min="5" max="7" width="7.6640625" style="1" customWidth="1"/>
    <col min="8" max="16384" width="11.44140625" style="1"/>
  </cols>
  <sheetData>
    <row r="1" spans="1:7" ht="6" customHeight="1" x14ac:dyDescent="0.25"/>
    <row r="2" spans="1:7" ht="15.6" customHeight="1" x14ac:dyDescent="0.25">
      <c r="A2" s="92" t="s">
        <v>0</v>
      </c>
      <c r="B2" s="2"/>
      <c r="C2" s="2"/>
      <c r="D2" s="2"/>
      <c r="E2" s="2"/>
      <c r="F2" s="2"/>
    </row>
    <row r="3" spans="1:7" ht="6" customHeight="1" x14ac:dyDescent="0.25"/>
    <row r="4" spans="1:7" ht="15.6" customHeight="1" x14ac:dyDescent="0.25">
      <c r="A4" s="2"/>
      <c r="B4" s="2"/>
      <c r="C4" s="2"/>
      <c r="D4" s="2"/>
      <c r="E4" s="2"/>
      <c r="F4" s="2"/>
    </row>
    <row r="5" spans="1:7" ht="15.6" customHeight="1" x14ac:dyDescent="0.3">
      <c r="A5" s="88"/>
      <c r="B5" s="74"/>
      <c r="C5" s="74"/>
      <c r="D5" s="74"/>
      <c r="E5" s="74"/>
      <c r="F5" s="74"/>
      <c r="G5" s="74"/>
    </row>
    <row r="6" spans="1:7" ht="15.6" customHeight="1" x14ac:dyDescent="0.3">
      <c r="A6" s="88"/>
      <c r="B6" s="74"/>
      <c r="C6" s="74"/>
      <c r="D6" s="74"/>
      <c r="E6" s="74"/>
      <c r="F6" s="74"/>
      <c r="G6" s="74"/>
    </row>
    <row r="7" spans="1:7" ht="15.6" customHeight="1" x14ac:dyDescent="0.3">
      <c r="A7" s="73"/>
      <c r="B7" s="73"/>
      <c r="C7" s="73"/>
      <c r="D7" s="73"/>
      <c r="E7" s="73"/>
      <c r="F7" s="73"/>
      <c r="G7" s="73"/>
    </row>
    <row r="8" spans="1:7" ht="15.6" customHeight="1" x14ac:dyDescent="0.3">
      <c r="A8" s="73"/>
      <c r="B8" s="73"/>
      <c r="C8" s="73"/>
      <c r="D8" s="73"/>
      <c r="E8" s="73"/>
      <c r="F8" s="73"/>
      <c r="G8" s="73"/>
    </row>
    <row r="9" spans="1:7" ht="15.6" customHeight="1" x14ac:dyDescent="0.3">
      <c r="A9" s="73"/>
      <c r="B9" s="73"/>
      <c r="C9" s="73"/>
      <c r="D9" s="73"/>
      <c r="E9" s="73"/>
      <c r="F9" s="73"/>
      <c r="G9" s="73"/>
    </row>
    <row r="10" spans="1:7" ht="15.6" customHeight="1" x14ac:dyDescent="0.3">
      <c r="A10" s="73"/>
      <c r="B10" s="73"/>
      <c r="C10" s="73"/>
      <c r="D10" s="73"/>
      <c r="E10" s="73"/>
      <c r="F10" s="73"/>
      <c r="G10" s="73"/>
    </row>
    <row r="11" spans="1:7" ht="15.6" customHeight="1" x14ac:dyDescent="0.3">
      <c r="A11" s="73"/>
      <c r="B11" s="73"/>
      <c r="C11" s="73"/>
      <c r="D11" s="73"/>
      <c r="E11" s="73"/>
      <c r="F11" s="73"/>
      <c r="G11" s="73"/>
    </row>
    <row r="12" spans="1:7" ht="15.6" customHeight="1" x14ac:dyDescent="0.3">
      <c r="A12" s="73"/>
      <c r="B12" s="73"/>
      <c r="C12" s="73"/>
      <c r="D12" s="73"/>
      <c r="E12" s="73"/>
      <c r="F12" s="73"/>
      <c r="G12" s="73"/>
    </row>
    <row r="13" spans="1:7" ht="15.6" customHeight="1" x14ac:dyDescent="0.3">
      <c r="A13" s="73"/>
      <c r="B13" s="73"/>
      <c r="C13" s="73"/>
      <c r="D13" s="73"/>
      <c r="E13" s="73"/>
      <c r="F13" s="73"/>
      <c r="G13" s="73"/>
    </row>
    <row r="14" spans="1:7" ht="15.6" customHeight="1" x14ac:dyDescent="0.3">
      <c r="A14" s="73"/>
      <c r="B14" s="73"/>
      <c r="C14" s="73"/>
      <c r="D14" s="73"/>
      <c r="E14" s="73"/>
      <c r="F14" s="73"/>
      <c r="G14" s="73"/>
    </row>
    <row r="15" spans="1:7" ht="15.6" customHeight="1" x14ac:dyDescent="0.3">
      <c r="A15" s="73"/>
      <c r="B15" s="73"/>
      <c r="C15" s="73"/>
      <c r="D15" s="73"/>
      <c r="E15" s="73"/>
      <c r="F15" s="73"/>
      <c r="G15" s="73"/>
    </row>
    <row r="16" spans="1:7" ht="15.6" customHeight="1" x14ac:dyDescent="0.3">
      <c r="A16" s="73"/>
      <c r="B16" s="73"/>
      <c r="C16" s="73"/>
      <c r="D16" s="73"/>
      <c r="E16" s="73"/>
      <c r="F16" s="73"/>
      <c r="G16" s="73"/>
    </row>
    <row r="17" spans="1:13" ht="15.6" customHeight="1" x14ac:dyDescent="0.3">
      <c r="A17" s="73"/>
      <c r="B17" s="73"/>
      <c r="C17" s="73"/>
      <c r="D17" s="73"/>
      <c r="E17" s="73"/>
      <c r="F17" s="73"/>
      <c r="G17" s="73"/>
    </row>
    <row r="18" spans="1:13" ht="15.6" customHeight="1" x14ac:dyDescent="0.3">
      <c r="A18" s="73"/>
      <c r="B18" s="73"/>
      <c r="C18" s="73"/>
      <c r="D18" s="73"/>
      <c r="E18" s="73"/>
      <c r="F18" s="73"/>
      <c r="G18" s="73"/>
    </row>
    <row r="19" spans="1:13" ht="15.6" customHeight="1" x14ac:dyDescent="0.3">
      <c r="A19" s="73"/>
      <c r="B19" s="73"/>
      <c r="C19" s="73"/>
      <c r="D19" s="73"/>
      <c r="E19" s="73"/>
      <c r="F19" s="73"/>
      <c r="G19" s="73"/>
    </row>
    <row r="20" spans="1:13" ht="15.6" customHeight="1" x14ac:dyDescent="0.3">
      <c r="A20" s="73"/>
      <c r="B20" s="73"/>
      <c r="C20" s="73"/>
      <c r="D20" s="73"/>
      <c r="E20" s="73"/>
      <c r="F20" s="73"/>
      <c r="G20" s="73"/>
    </row>
    <row r="21" spans="1:13" ht="15.6" customHeight="1" x14ac:dyDescent="0.3">
      <c r="A21" s="73"/>
      <c r="B21" s="73"/>
      <c r="C21" s="73"/>
      <c r="D21" s="73"/>
      <c r="E21" s="73"/>
      <c r="F21" s="73"/>
      <c r="G21" s="73"/>
    </row>
    <row r="22" spans="1:13" ht="15.6" customHeight="1" x14ac:dyDescent="0.3">
      <c r="A22" s="73"/>
      <c r="B22" s="73"/>
      <c r="C22" s="73"/>
      <c r="D22" s="73"/>
      <c r="E22" s="73"/>
      <c r="F22" s="73"/>
      <c r="G22" s="73"/>
    </row>
    <row r="23" spans="1:13" ht="15.6" customHeight="1" x14ac:dyDescent="0.3">
      <c r="A23" s="73"/>
      <c r="B23" s="73"/>
      <c r="C23" s="73"/>
      <c r="D23" s="73"/>
      <c r="E23" s="73"/>
      <c r="F23" s="73"/>
      <c r="G23" s="73"/>
    </row>
    <row r="24" spans="1:13" ht="15.6" customHeight="1" x14ac:dyDescent="0.3">
      <c r="A24" s="73"/>
      <c r="B24" s="73"/>
      <c r="C24" s="73"/>
      <c r="D24" s="73"/>
      <c r="E24" s="73"/>
      <c r="F24" s="73"/>
      <c r="G24" s="73"/>
    </row>
    <row r="25" spans="1:13" ht="15.6" customHeight="1" x14ac:dyDescent="0.3">
      <c r="A25" s="73"/>
      <c r="B25" s="73"/>
      <c r="C25" s="73"/>
      <c r="D25" s="73"/>
      <c r="E25" s="73"/>
      <c r="F25" s="73"/>
      <c r="G25" s="73"/>
    </row>
    <row r="26" spans="1:13" ht="15.6" customHeight="1" x14ac:dyDescent="0.3">
      <c r="A26" s="73"/>
      <c r="B26" s="73"/>
      <c r="C26" s="73"/>
      <c r="D26" s="73"/>
      <c r="E26" s="73"/>
      <c r="F26" s="73"/>
      <c r="G26" s="73"/>
    </row>
    <row r="27" spans="1:13" ht="15.6" customHeight="1" x14ac:dyDescent="0.3">
      <c r="A27" s="73"/>
      <c r="B27" s="73"/>
      <c r="C27" s="73"/>
      <c r="D27" s="73"/>
      <c r="E27" s="73"/>
      <c r="F27" s="73"/>
      <c r="G27" s="73"/>
    </row>
    <row r="28" spans="1:13" ht="15.6" customHeight="1" x14ac:dyDescent="0.3">
      <c r="A28" s="73"/>
      <c r="B28" s="73"/>
      <c r="C28" s="73"/>
      <c r="D28" s="73"/>
      <c r="E28" s="73"/>
      <c r="F28" s="73"/>
      <c r="G28" s="73"/>
      <c r="M28" s="77"/>
    </row>
    <row r="29" spans="1:13" ht="15.6" customHeight="1" x14ac:dyDescent="0.3">
      <c r="A29" s="73"/>
      <c r="B29" s="73"/>
      <c r="C29" s="73"/>
      <c r="D29" s="73"/>
      <c r="E29" s="73"/>
      <c r="F29" s="73"/>
      <c r="G29" s="73"/>
      <c r="M29" s="77"/>
    </row>
    <row r="30" spans="1:13" ht="15.6" customHeight="1" x14ac:dyDescent="0.3">
      <c r="A30" s="73"/>
      <c r="B30" s="73"/>
      <c r="C30" s="73"/>
      <c r="D30" s="73"/>
      <c r="E30" s="73"/>
      <c r="F30" s="73"/>
      <c r="G30" s="73"/>
      <c r="M30" s="77"/>
    </row>
    <row r="31" spans="1:13" ht="15.6" customHeight="1" x14ac:dyDescent="0.3">
      <c r="A31" s="73"/>
      <c r="B31" s="73"/>
      <c r="C31" s="73"/>
      <c r="D31" s="73"/>
      <c r="E31" s="73"/>
      <c r="F31" s="73"/>
      <c r="G31" s="73"/>
      <c r="M31" s="77"/>
    </row>
    <row r="32" spans="1:13" ht="15.6" customHeight="1" x14ac:dyDescent="0.3">
      <c r="A32" s="73"/>
      <c r="B32" s="73"/>
      <c r="C32" s="73"/>
      <c r="D32" s="73"/>
      <c r="E32" s="73"/>
      <c r="F32" s="73"/>
      <c r="G32" s="73"/>
      <c r="M32" s="77"/>
    </row>
    <row r="33" spans="1:13" ht="15.6" customHeight="1" x14ac:dyDescent="0.3">
      <c r="A33" s="73"/>
      <c r="B33" s="73"/>
      <c r="C33" s="73"/>
      <c r="D33" s="73"/>
      <c r="E33" s="73"/>
      <c r="F33" s="73"/>
      <c r="G33" s="73"/>
      <c r="M33" s="77"/>
    </row>
    <row r="34" spans="1:13" ht="15.6" customHeight="1" x14ac:dyDescent="0.3">
      <c r="A34" s="73"/>
      <c r="B34" s="73"/>
      <c r="C34" s="73"/>
      <c r="D34" s="73"/>
      <c r="E34" s="73"/>
      <c r="F34" s="73"/>
      <c r="G34" s="73"/>
      <c r="M34" s="77"/>
    </row>
    <row r="35" spans="1:13" ht="15.6" customHeight="1" x14ac:dyDescent="0.3">
      <c r="A35" s="73"/>
      <c r="B35" s="73"/>
      <c r="C35" s="73"/>
      <c r="D35" s="73"/>
      <c r="E35" s="73"/>
      <c r="F35" s="73"/>
      <c r="G35" s="73"/>
      <c r="M35" s="77"/>
    </row>
    <row r="36" spans="1:13" ht="15.6" customHeight="1" x14ac:dyDescent="0.3">
      <c r="A36" s="73"/>
      <c r="B36" s="73"/>
      <c r="C36" s="73"/>
      <c r="D36" s="73"/>
      <c r="E36" s="73"/>
      <c r="F36" s="73"/>
      <c r="G36" s="73"/>
      <c r="M36" s="77"/>
    </row>
    <row r="37" spans="1:13" ht="15.6" customHeight="1" x14ac:dyDescent="0.3">
      <c r="A37" s="73"/>
      <c r="B37" s="73"/>
      <c r="C37" s="73"/>
      <c r="D37" s="73"/>
      <c r="E37" s="73"/>
      <c r="F37" s="73"/>
      <c r="G37" s="73"/>
      <c r="M37" s="77"/>
    </row>
    <row r="38" spans="1:13" ht="15.6" customHeight="1" x14ac:dyDescent="0.3">
      <c r="A38" s="73"/>
      <c r="B38" s="73"/>
      <c r="C38" s="73"/>
      <c r="D38" s="73"/>
      <c r="E38" s="73"/>
      <c r="F38" s="73"/>
      <c r="G38" s="73"/>
      <c r="M38" s="77"/>
    </row>
    <row r="39" spans="1:13" ht="15.6" customHeight="1" x14ac:dyDescent="0.3">
      <c r="A39" s="73"/>
      <c r="B39" s="73"/>
      <c r="C39" s="73"/>
      <c r="D39" s="73"/>
      <c r="E39" s="73"/>
      <c r="F39" s="73"/>
      <c r="G39" s="73"/>
      <c r="M39" s="77"/>
    </row>
    <row r="40" spans="1:13" ht="15.6" customHeight="1" x14ac:dyDescent="0.3">
      <c r="A40" s="73"/>
      <c r="B40" s="73"/>
      <c r="C40" s="73"/>
      <c r="D40" s="73"/>
      <c r="E40" s="73"/>
      <c r="F40" s="73"/>
      <c r="G40" s="73"/>
      <c r="M40" s="77"/>
    </row>
    <row r="41" spans="1:13" ht="15.6" customHeight="1" x14ac:dyDescent="0.3">
      <c r="A41" s="73"/>
      <c r="B41" s="73"/>
      <c r="C41" s="73"/>
      <c r="D41" s="73"/>
      <c r="E41" s="73"/>
      <c r="F41" s="73"/>
      <c r="G41" s="73"/>
      <c r="M41" s="77"/>
    </row>
    <row r="42" spans="1:13" ht="15.6" customHeight="1" x14ac:dyDescent="0.3">
      <c r="A42" s="73"/>
      <c r="B42" s="73"/>
      <c r="C42" s="73"/>
      <c r="D42" s="73"/>
      <c r="E42" s="73"/>
      <c r="F42" s="73"/>
      <c r="G42" s="73"/>
      <c r="M42" s="77"/>
    </row>
    <row r="43" spans="1:13" ht="15.6" customHeight="1" x14ac:dyDescent="0.3">
      <c r="A43" s="73"/>
      <c r="B43" s="73"/>
      <c r="C43" s="73"/>
      <c r="D43" s="73"/>
      <c r="E43" s="73"/>
      <c r="F43" s="73"/>
      <c r="G43" s="73"/>
      <c r="M43" s="77"/>
    </row>
    <row r="44" spans="1:13" ht="15.6" customHeight="1" x14ac:dyDescent="0.3">
      <c r="A44" s="73"/>
      <c r="B44" s="73"/>
      <c r="C44" s="73"/>
      <c r="D44" s="73"/>
      <c r="E44" s="73"/>
      <c r="F44" s="73"/>
      <c r="G44" s="73"/>
      <c r="M44" s="77"/>
    </row>
    <row r="45" spans="1:13" ht="15.6" customHeight="1" x14ac:dyDescent="0.3">
      <c r="A45" s="73"/>
      <c r="B45" s="73"/>
      <c r="C45" s="73"/>
      <c r="D45" s="73"/>
      <c r="E45" s="73"/>
      <c r="F45" s="73"/>
      <c r="G45" s="73"/>
      <c r="M45" s="77"/>
    </row>
    <row r="46" spans="1:13" ht="15.6" customHeight="1" x14ac:dyDescent="0.3">
      <c r="A46" s="93" t="s">
        <v>192</v>
      </c>
      <c r="B46" s="73"/>
      <c r="C46" s="73"/>
      <c r="D46" s="73"/>
      <c r="E46" s="73"/>
      <c r="F46" s="73"/>
      <c r="G46" s="73"/>
      <c r="M46" s="77"/>
    </row>
    <row r="47" spans="1:13" ht="15.6" customHeight="1" x14ac:dyDescent="0.3">
      <c r="A47" s="93" t="s">
        <v>193</v>
      </c>
      <c r="B47" s="73"/>
      <c r="C47" s="73"/>
      <c r="D47" s="73"/>
      <c r="E47" s="73"/>
      <c r="F47" s="73"/>
      <c r="G47" s="73"/>
      <c r="M47" s="77"/>
    </row>
    <row r="48" spans="1:13" ht="15.6" customHeight="1" x14ac:dyDescent="0.3">
      <c r="A48" s="93" t="s">
        <v>131</v>
      </c>
      <c r="B48" s="73"/>
      <c r="C48" s="73"/>
      <c r="D48" s="73"/>
      <c r="E48" s="73"/>
      <c r="F48" s="73"/>
      <c r="G48" s="73"/>
      <c r="M48" s="77"/>
    </row>
    <row r="49" spans="1:13" ht="15.6" customHeight="1" x14ac:dyDescent="0.3">
      <c r="A49" s="93" t="s">
        <v>191</v>
      </c>
      <c r="B49" s="73"/>
      <c r="C49" s="73"/>
      <c r="D49" s="73"/>
      <c r="E49" s="73"/>
      <c r="F49" s="73"/>
      <c r="G49" s="73"/>
      <c r="M49" s="77"/>
    </row>
    <row r="50" spans="1:13" ht="15.6" customHeight="1" x14ac:dyDescent="0.25">
      <c r="A50" s="52"/>
      <c r="B50" s="52"/>
      <c r="C50" s="52"/>
      <c r="D50" s="52"/>
      <c r="E50" s="52"/>
      <c r="F50" s="52"/>
      <c r="G50" s="52"/>
      <c r="H50" s="77"/>
    </row>
    <row r="51" spans="1:13" ht="15.6" customHeight="1" x14ac:dyDescent="0.25">
      <c r="A51" s="54" t="str">
        <f>+Innhold!B123</f>
        <v>Finans Norge / Skadestatistikk</v>
      </c>
      <c r="G51" s="193">
        <v>3</v>
      </c>
      <c r="H51" s="77"/>
    </row>
    <row r="52" spans="1:13" ht="15.6" customHeight="1" x14ac:dyDescent="0.25">
      <c r="A52" s="54" t="str">
        <f>+Innhold!B124</f>
        <v>Skadestatistikk for landbasert forsikring 4. kvartal 2016</v>
      </c>
      <c r="G52" s="194"/>
      <c r="H52" s="77"/>
    </row>
    <row r="53" spans="1:13" ht="15.6" customHeight="1" x14ac:dyDescent="0.25">
      <c r="H53" s="77"/>
    </row>
    <row r="59" spans="1:13" ht="15.6" customHeight="1" x14ac:dyDescent="0.25">
      <c r="J59"/>
      <c r="K59"/>
      <c r="L59"/>
    </row>
    <row r="60" spans="1:13" ht="15.6" customHeight="1" x14ac:dyDescent="0.25">
      <c r="J60" s="71"/>
      <c r="K60" s="72"/>
      <c r="L60" s="72"/>
    </row>
    <row r="61" spans="1:13" ht="15.6" customHeight="1" x14ac:dyDescent="0.25">
      <c r="J61" s="70"/>
      <c r="K61"/>
      <c r="L61"/>
    </row>
    <row r="62" spans="1:13" ht="15.6" customHeight="1" x14ac:dyDescent="0.25">
      <c r="J62" s="69"/>
      <c r="K62" s="69"/>
      <c r="L62" s="69"/>
    </row>
    <row r="63" spans="1:13" ht="15.6" customHeight="1" x14ac:dyDescent="0.25">
      <c r="J63" s="69"/>
      <c r="K63" s="69"/>
      <c r="L63" s="69"/>
    </row>
    <row r="64" spans="1:13" ht="15.6" customHeight="1" x14ac:dyDescent="0.25">
      <c r="J64" s="69"/>
      <c r="K64" s="69"/>
      <c r="L64" s="69"/>
    </row>
    <row r="65" spans="1:12" ht="15.6" customHeight="1" x14ac:dyDescent="0.25">
      <c r="J65" s="69"/>
      <c r="K65" s="69"/>
      <c r="L65" s="69"/>
    </row>
    <row r="66" spans="1:12" ht="15.6" customHeight="1" x14ac:dyDescent="0.25">
      <c r="J66" s="69"/>
      <c r="K66" s="69"/>
      <c r="L66" s="69"/>
    </row>
    <row r="67" spans="1:12" ht="15.6" customHeight="1" x14ac:dyDescent="0.25">
      <c r="J67" s="69"/>
      <c r="K67" s="69"/>
      <c r="L67" s="69"/>
    </row>
    <row r="68" spans="1:12" ht="15.6" customHeight="1" x14ac:dyDescent="0.25">
      <c r="J68" s="69"/>
      <c r="K68" s="69"/>
      <c r="L68" s="69"/>
    </row>
    <row r="69" spans="1:12" ht="15.6" customHeight="1" x14ac:dyDescent="0.25">
      <c r="J69"/>
      <c r="K69"/>
      <c r="L69"/>
    </row>
    <row r="70" spans="1:12" ht="15.6" customHeight="1" x14ac:dyDescent="0.25">
      <c r="J70"/>
      <c r="K70"/>
      <c r="L70"/>
    </row>
    <row r="71" spans="1:12" ht="15.6" customHeight="1" x14ac:dyDescent="0.25">
      <c r="J71"/>
      <c r="K71"/>
      <c r="L71"/>
    </row>
    <row r="72" spans="1:12" ht="15.6" customHeight="1" x14ac:dyDescent="0.25">
      <c r="A72"/>
      <c r="B72"/>
      <c r="C72"/>
      <c r="D72"/>
      <c r="E72"/>
      <c r="F72"/>
      <c r="H72"/>
      <c r="I72"/>
      <c r="J72"/>
      <c r="K72"/>
      <c r="L72"/>
    </row>
    <row r="73" spans="1:12" ht="15.6" customHeight="1" x14ac:dyDescent="0.25">
      <c r="A73"/>
      <c r="B73"/>
      <c r="C73"/>
      <c r="D73"/>
      <c r="E73"/>
      <c r="F73"/>
      <c r="H73"/>
      <c r="I73"/>
      <c r="J73"/>
      <c r="K73"/>
      <c r="L73"/>
    </row>
    <row r="74" spans="1:12" ht="15.6" customHeight="1" x14ac:dyDescent="0.25">
      <c r="A74"/>
      <c r="B74"/>
      <c r="C74"/>
      <c r="D74"/>
      <c r="E74"/>
      <c r="F74"/>
      <c r="H74"/>
      <c r="I74"/>
      <c r="J74"/>
      <c r="K74"/>
      <c r="L74"/>
    </row>
    <row r="75" spans="1:12" ht="15.6" customHeight="1" x14ac:dyDescent="0.25">
      <c r="A75"/>
      <c r="B75"/>
      <c r="C75"/>
      <c r="D75"/>
      <c r="E75"/>
      <c r="F75"/>
      <c r="H75"/>
      <c r="I75"/>
      <c r="J75"/>
      <c r="K75"/>
      <c r="L75"/>
    </row>
    <row r="76" spans="1:12" ht="15.6" customHeight="1" x14ac:dyDescent="0.25">
      <c r="A76"/>
      <c r="B76"/>
      <c r="C76"/>
      <c r="D76"/>
      <c r="E76"/>
      <c r="F76"/>
      <c r="H76"/>
      <c r="I76"/>
      <c r="J76"/>
      <c r="K76"/>
      <c r="L76"/>
    </row>
    <row r="77" spans="1:12" ht="15.6" customHeight="1" x14ac:dyDescent="0.25">
      <c r="A77"/>
      <c r="B77"/>
      <c r="C77"/>
      <c r="D77"/>
      <c r="E77"/>
      <c r="F77"/>
      <c r="H77"/>
      <c r="I77"/>
      <c r="J77"/>
      <c r="K77"/>
      <c r="L77"/>
    </row>
    <row r="78" spans="1:12" ht="15.6" customHeight="1" x14ac:dyDescent="0.25">
      <c r="A78"/>
      <c r="B78"/>
      <c r="C78"/>
      <c r="D78"/>
      <c r="E78"/>
      <c r="F78"/>
      <c r="H78"/>
      <c r="I78"/>
      <c r="J78"/>
      <c r="K78"/>
      <c r="L78"/>
    </row>
    <row r="79" spans="1:12" ht="15.6" customHeight="1" x14ac:dyDescent="0.25">
      <c r="A79"/>
      <c r="B79"/>
      <c r="C79"/>
      <c r="D79"/>
      <c r="E79"/>
      <c r="F79"/>
      <c r="H79"/>
      <c r="I79"/>
      <c r="J79"/>
      <c r="K79"/>
      <c r="L79"/>
    </row>
    <row r="80" spans="1:12" ht="15.6" customHeight="1" x14ac:dyDescent="0.25">
      <c r="A80"/>
      <c r="B80"/>
      <c r="C80"/>
      <c r="D80"/>
      <c r="E80"/>
      <c r="F80"/>
      <c r="H80"/>
      <c r="I80"/>
      <c r="J80"/>
      <c r="K80"/>
      <c r="L80"/>
    </row>
    <row r="81" spans="1:12" ht="15.6" customHeight="1" x14ac:dyDescent="0.25">
      <c r="A81"/>
      <c r="B81"/>
      <c r="C81"/>
      <c r="D81"/>
      <c r="E81"/>
      <c r="F81"/>
      <c r="H81"/>
      <c r="I81"/>
      <c r="J81"/>
      <c r="K81"/>
      <c r="L81"/>
    </row>
    <row r="82" spans="1:12" ht="15.6" customHeight="1" x14ac:dyDescent="0.25">
      <c r="A82"/>
      <c r="B82"/>
      <c r="C82"/>
      <c r="D82"/>
      <c r="E82"/>
      <c r="F82"/>
      <c r="H82"/>
      <c r="I82"/>
      <c r="J82"/>
      <c r="K82"/>
      <c r="L82"/>
    </row>
    <row r="83" spans="1:12" ht="15.6" customHeight="1" x14ac:dyDescent="0.25">
      <c r="A83"/>
      <c r="B83"/>
      <c r="C83"/>
      <c r="D83"/>
      <c r="E83"/>
      <c r="F83"/>
      <c r="H83"/>
      <c r="I83"/>
      <c r="J83"/>
      <c r="K83"/>
      <c r="L83"/>
    </row>
    <row r="84" spans="1:12" ht="15.6" customHeight="1" x14ac:dyDescent="0.25">
      <c r="A84"/>
      <c r="B84"/>
      <c r="C84"/>
      <c r="D84"/>
      <c r="E84"/>
      <c r="F84"/>
      <c r="H84"/>
      <c r="I84"/>
      <c r="J84"/>
      <c r="K84"/>
      <c r="L84"/>
    </row>
    <row r="85" spans="1:12" ht="15.6" customHeight="1" x14ac:dyDescent="0.25">
      <c r="A85"/>
      <c r="B85"/>
      <c r="C85"/>
      <c r="D85"/>
      <c r="E85"/>
      <c r="F85"/>
      <c r="H85"/>
      <c r="I85"/>
      <c r="J85"/>
      <c r="K85"/>
      <c r="L85"/>
    </row>
    <row r="86" spans="1:12" ht="15.6" customHeight="1" x14ac:dyDescent="0.25">
      <c r="A86"/>
      <c r="B86"/>
      <c r="C86"/>
      <c r="D86"/>
      <c r="E86"/>
      <c r="F86"/>
      <c r="H86"/>
      <c r="I86"/>
      <c r="J86"/>
      <c r="K86"/>
      <c r="L86"/>
    </row>
    <row r="87" spans="1:12" ht="15.6" customHeight="1" x14ac:dyDescent="0.25">
      <c r="A87"/>
      <c r="B87"/>
      <c r="C87"/>
      <c r="D87"/>
      <c r="E87"/>
      <c r="F87"/>
      <c r="H87"/>
      <c r="I87"/>
      <c r="J87"/>
      <c r="K87"/>
      <c r="L87"/>
    </row>
    <row r="88" spans="1:12" ht="15.6" customHeight="1" x14ac:dyDescent="0.25">
      <c r="A88"/>
      <c r="B88"/>
      <c r="C88"/>
      <c r="D88"/>
      <c r="E88"/>
      <c r="F88"/>
      <c r="H88"/>
      <c r="I88"/>
      <c r="J88"/>
      <c r="K88"/>
      <c r="L88"/>
    </row>
    <row r="89" spans="1:12" ht="15.6" customHeight="1" x14ac:dyDescent="0.25">
      <c r="A89"/>
      <c r="B89"/>
      <c r="C89"/>
      <c r="D89"/>
      <c r="E89"/>
      <c r="F89"/>
      <c r="H89"/>
      <c r="I89"/>
      <c r="J89"/>
      <c r="K89"/>
      <c r="L89"/>
    </row>
    <row r="90" spans="1:12" ht="15.6" customHeight="1" x14ac:dyDescent="0.25">
      <c r="A90"/>
      <c r="B90"/>
      <c r="C90"/>
      <c r="D90"/>
      <c r="E90"/>
      <c r="F90"/>
      <c r="H90"/>
      <c r="I90"/>
      <c r="J90"/>
      <c r="K90"/>
      <c r="L90"/>
    </row>
    <row r="91" spans="1:12" ht="15.6" customHeight="1" x14ac:dyDescent="0.25">
      <c r="A91"/>
      <c r="B91"/>
      <c r="C91"/>
      <c r="D91"/>
      <c r="E91"/>
      <c r="F91"/>
      <c r="H91"/>
      <c r="I91"/>
      <c r="J91"/>
      <c r="K91"/>
      <c r="L91"/>
    </row>
    <row r="92" spans="1:12" ht="15.6" customHeight="1" x14ac:dyDescent="0.25">
      <c r="A92"/>
      <c r="B92"/>
      <c r="C92"/>
      <c r="D92"/>
      <c r="E92"/>
      <c r="F92"/>
      <c r="H92"/>
      <c r="I92"/>
      <c r="J92"/>
      <c r="K92"/>
      <c r="L92"/>
    </row>
    <row r="93" spans="1:12" ht="15.6" customHeight="1" x14ac:dyDescent="0.25">
      <c r="A93"/>
      <c r="B93"/>
      <c r="C93"/>
      <c r="D93"/>
      <c r="E93"/>
      <c r="F93"/>
      <c r="H93"/>
      <c r="I93"/>
      <c r="J93"/>
      <c r="K93"/>
      <c r="L93"/>
    </row>
    <row r="94" spans="1:12" ht="15.6" customHeight="1" x14ac:dyDescent="0.25">
      <c r="A94"/>
      <c r="B94"/>
      <c r="C94"/>
      <c r="D94"/>
      <c r="E94"/>
      <c r="F94"/>
      <c r="H94"/>
      <c r="I94"/>
      <c r="J94"/>
      <c r="K94"/>
      <c r="L94"/>
    </row>
    <row r="95" spans="1:12" ht="15.6" customHeight="1" x14ac:dyDescent="0.25">
      <c r="A95"/>
      <c r="B95"/>
      <c r="C95"/>
      <c r="D95"/>
      <c r="E95"/>
      <c r="F95"/>
      <c r="H95"/>
      <c r="I95"/>
      <c r="J95"/>
      <c r="K95"/>
      <c r="L95"/>
    </row>
    <row r="96" spans="1:12" ht="15.6" customHeight="1" x14ac:dyDescent="0.25">
      <c r="A96"/>
      <c r="B96"/>
      <c r="C96"/>
      <c r="D96"/>
      <c r="E96"/>
      <c r="F96"/>
      <c r="H96"/>
      <c r="I96"/>
      <c r="J96"/>
      <c r="K96"/>
      <c r="L96"/>
    </row>
    <row r="97" spans="1:12" ht="15.6" customHeight="1" x14ac:dyDescent="0.25">
      <c r="A97"/>
      <c r="B97"/>
      <c r="C97"/>
      <c r="D97"/>
      <c r="E97"/>
      <c r="F97"/>
      <c r="H97"/>
      <c r="I97"/>
      <c r="J97"/>
      <c r="K97"/>
      <c r="L97"/>
    </row>
    <row r="98" spans="1:12" ht="15.6" customHeight="1" x14ac:dyDescent="0.25">
      <c r="A98"/>
      <c r="B98"/>
      <c r="C98"/>
      <c r="D98"/>
      <c r="E98"/>
      <c r="F98"/>
      <c r="K98"/>
    </row>
    <row r="99" spans="1:12" ht="15.6" customHeight="1" x14ac:dyDescent="0.25">
      <c r="A99"/>
      <c r="B99"/>
      <c r="C99"/>
      <c r="D99"/>
      <c r="E99"/>
      <c r="F99"/>
      <c r="K99"/>
    </row>
    <row r="100" spans="1:12" ht="15.6" customHeight="1" x14ac:dyDescent="0.25">
      <c r="A100"/>
      <c r="B100"/>
      <c r="C100"/>
      <c r="D100"/>
      <c r="E100"/>
      <c r="F100"/>
      <c r="H100" s="68"/>
      <c r="I100"/>
      <c r="J100"/>
      <c r="K100"/>
    </row>
    <row r="101" spans="1:12" ht="15.6" customHeight="1" x14ac:dyDescent="0.25">
      <c r="A101"/>
      <c r="B101"/>
      <c r="C101"/>
      <c r="D101"/>
      <c r="E101"/>
      <c r="F101"/>
      <c r="H101"/>
      <c r="I101"/>
      <c r="J101"/>
      <c r="K101"/>
    </row>
    <row r="102" spans="1:12" ht="15.6" customHeight="1" x14ac:dyDescent="0.25">
      <c r="A102"/>
      <c r="B102"/>
      <c r="C102"/>
      <c r="D102"/>
      <c r="E102"/>
      <c r="F102"/>
      <c r="H102"/>
      <c r="I102"/>
      <c r="J102"/>
      <c r="K102"/>
    </row>
    <row r="103" spans="1:12" ht="15.6" customHeight="1" x14ac:dyDescent="0.25">
      <c r="A103"/>
      <c r="B103"/>
      <c r="C103"/>
      <c r="D103"/>
      <c r="E103"/>
      <c r="F103"/>
      <c r="H103"/>
      <c r="I103"/>
      <c r="J103"/>
      <c r="K103"/>
    </row>
    <row r="104" spans="1:12" ht="15.6" customHeight="1" x14ac:dyDescent="0.25">
      <c r="A104"/>
      <c r="B104"/>
      <c r="C104"/>
      <c r="D104"/>
      <c r="E104"/>
      <c r="F104"/>
      <c r="H104"/>
      <c r="I104" s="69"/>
      <c r="J104" s="69"/>
      <c r="K104" s="69"/>
    </row>
    <row r="105" spans="1:12" ht="15.6" customHeight="1" x14ac:dyDescent="0.25">
      <c r="A105"/>
      <c r="B105"/>
      <c r="C105"/>
      <c r="D105"/>
      <c r="E105"/>
      <c r="F105"/>
      <c r="H105"/>
      <c r="I105" s="69"/>
      <c r="J105" s="69"/>
      <c r="K105" s="69"/>
    </row>
    <row r="106" spans="1:12" ht="15.6" customHeight="1" x14ac:dyDescent="0.25">
      <c r="D106"/>
      <c r="E106"/>
      <c r="F106"/>
      <c r="H106"/>
      <c r="I106" s="69"/>
      <c r="J106" s="69"/>
      <c r="K106" s="69"/>
    </row>
    <row r="107" spans="1:12" ht="15.6" customHeight="1" x14ac:dyDescent="0.25">
      <c r="D107"/>
      <c r="E107"/>
      <c r="F107"/>
      <c r="H107"/>
      <c r="I107"/>
      <c r="J107"/>
      <c r="K107"/>
    </row>
    <row r="108" spans="1:12" ht="15.6" customHeight="1" x14ac:dyDescent="0.25">
      <c r="A108" s="78"/>
      <c r="B108"/>
      <c r="C108"/>
      <c r="D108"/>
      <c r="E108"/>
      <c r="F108"/>
      <c r="H108"/>
      <c r="I108"/>
      <c r="J108"/>
      <c r="K108"/>
    </row>
    <row r="109" spans="1:12" ht="15.6" customHeight="1" x14ac:dyDescent="0.25">
      <c r="A109"/>
      <c r="B109"/>
      <c r="C109"/>
      <c r="D109"/>
      <c r="E109"/>
      <c r="F109"/>
      <c r="H109"/>
      <c r="I109"/>
      <c r="J109"/>
      <c r="K109"/>
    </row>
    <row r="110" spans="1:12" ht="15.6" customHeight="1" x14ac:dyDescent="0.25">
      <c r="A110"/>
      <c r="B110"/>
      <c r="C110"/>
      <c r="D110"/>
      <c r="E110"/>
      <c r="F110"/>
      <c r="H110"/>
      <c r="I110"/>
      <c r="J110"/>
      <c r="K110"/>
    </row>
    <row r="111" spans="1:12" ht="15.6" customHeight="1" x14ac:dyDescent="0.25">
      <c r="A111"/>
      <c r="B111"/>
      <c r="C111"/>
      <c r="D111"/>
      <c r="E111"/>
      <c r="F111"/>
      <c r="H111"/>
      <c r="I111"/>
      <c r="J111"/>
      <c r="K111"/>
    </row>
    <row r="112" spans="1:12" ht="15.6" customHeight="1" x14ac:dyDescent="0.25">
      <c r="A112"/>
      <c r="B112"/>
      <c r="C112"/>
      <c r="D112"/>
      <c r="E112"/>
      <c r="F112"/>
    </row>
    <row r="113" spans="1:11" ht="15.6" customHeight="1" x14ac:dyDescent="0.25">
      <c r="A113"/>
      <c r="B113"/>
      <c r="C113"/>
      <c r="D113"/>
      <c r="E113"/>
      <c r="F113"/>
    </row>
    <row r="114" spans="1:11" ht="15.6" customHeight="1" x14ac:dyDescent="0.25">
      <c r="A114"/>
      <c r="B114"/>
      <c r="C114"/>
      <c r="D114"/>
      <c r="E114"/>
      <c r="F114"/>
      <c r="H114" s="68"/>
      <c r="I114"/>
      <c r="J114"/>
      <c r="K114"/>
    </row>
    <row r="115" spans="1:11" ht="15.6" customHeight="1" x14ac:dyDescent="0.25">
      <c r="A115"/>
      <c r="B115"/>
      <c r="C115"/>
      <c r="D115"/>
      <c r="E115"/>
      <c r="F115"/>
      <c r="H115"/>
      <c r="I115"/>
      <c r="J115"/>
      <c r="K115"/>
    </row>
    <row r="116" spans="1:11" ht="15.6" customHeight="1" x14ac:dyDescent="0.25">
      <c r="A116"/>
      <c r="B116"/>
      <c r="C116"/>
      <c r="D116"/>
      <c r="E116"/>
      <c r="F116"/>
      <c r="H116"/>
      <c r="I116"/>
      <c r="J116"/>
      <c r="K116"/>
    </row>
    <row r="117" spans="1:11" ht="15.6" customHeight="1" x14ac:dyDescent="0.25">
      <c r="A117"/>
      <c r="B117"/>
      <c r="C117"/>
      <c r="D117"/>
      <c r="E117"/>
      <c r="F117"/>
      <c r="H117"/>
      <c r="I117"/>
      <c r="J117" s="69"/>
      <c r="K117" s="69"/>
    </row>
    <row r="118" spans="1:11" ht="15.6" customHeight="1" x14ac:dyDescent="0.25">
      <c r="A118"/>
      <c r="B118"/>
      <c r="C118"/>
      <c r="D118"/>
      <c r="E118"/>
      <c r="F118"/>
      <c r="H118"/>
      <c r="I118"/>
      <c r="J118" s="69"/>
      <c r="K118" s="69"/>
    </row>
    <row r="119" spans="1:11" ht="15.6" customHeight="1" x14ac:dyDescent="0.25">
      <c r="A119"/>
      <c r="B119"/>
      <c r="C119"/>
      <c r="D119"/>
      <c r="E119"/>
      <c r="F119"/>
      <c r="H119"/>
      <c r="I119"/>
      <c r="J119" s="69"/>
      <c r="K119" s="69"/>
    </row>
    <row r="120" spans="1:11" ht="15.6" customHeight="1" x14ac:dyDescent="0.25">
      <c r="A120"/>
      <c r="B120"/>
      <c r="C120"/>
      <c r="D120"/>
      <c r="E120"/>
      <c r="F120"/>
      <c r="H120"/>
      <c r="I120"/>
      <c r="J120"/>
      <c r="K120"/>
    </row>
    <row r="121" spans="1:11" ht="15.6" customHeight="1" x14ac:dyDescent="0.25">
      <c r="A121"/>
      <c r="B121"/>
      <c r="C121"/>
      <c r="D121"/>
      <c r="E121"/>
      <c r="F121"/>
      <c r="G121"/>
      <c r="H121"/>
      <c r="I121"/>
      <c r="J121"/>
      <c r="K121"/>
    </row>
    <row r="122" spans="1:11" ht="15.6" customHeight="1" x14ac:dyDescent="0.25">
      <c r="A122"/>
      <c r="B122"/>
      <c r="C122"/>
      <c r="D122"/>
      <c r="E122"/>
      <c r="F122"/>
      <c r="G122"/>
      <c r="H122"/>
      <c r="I122"/>
      <c r="J122"/>
      <c r="K122"/>
    </row>
    <row r="123" spans="1:11" ht="15.6" customHeight="1" x14ac:dyDescent="0.25">
      <c r="A123"/>
      <c r="B123"/>
      <c r="C123"/>
      <c r="D123"/>
      <c r="E123"/>
      <c r="F123"/>
      <c r="G123"/>
      <c r="H123"/>
      <c r="I123" s="69"/>
      <c r="J123" s="69"/>
    </row>
    <row r="124" spans="1:11" ht="15.6" customHeight="1" x14ac:dyDescent="0.25">
      <c r="A124"/>
      <c r="B124" s="69"/>
      <c r="C124" s="69"/>
      <c r="D124"/>
      <c r="E124"/>
      <c r="F124"/>
      <c r="G124"/>
      <c r="H124"/>
      <c r="I124" s="69"/>
      <c r="J124" s="69"/>
    </row>
    <row r="125" spans="1:11" ht="15.6" customHeight="1" x14ac:dyDescent="0.25">
      <c r="A125"/>
      <c r="B125"/>
      <c r="C125"/>
      <c r="D125"/>
      <c r="F125"/>
      <c r="G125"/>
      <c r="H125"/>
      <c r="I125"/>
      <c r="J125"/>
    </row>
    <row r="126" spans="1:11" ht="15.6" customHeight="1" x14ac:dyDescent="0.25">
      <c r="A126"/>
      <c r="B126"/>
      <c r="C126"/>
      <c r="D126"/>
      <c r="F126"/>
      <c r="G126"/>
      <c r="H126"/>
      <c r="I126"/>
      <c r="J126"/>
    </row>
    <row r="127" spans="1:11" ht="15.6" customHeight="1" x14ac:dyDescent="0.25">
      <c r="A127"/>
      <c r="B127"/>
      <c r="C127"/>
      <c r="D127"/>
      <c r="F127"/>
      <c r="G127"/>
      <c r="H127"/>
      <c r="I127"/>
      <c r="J127"/>
    </row>
    <row r="128" spans="1:11" ht="15.6" customHeight="1" x14ac:dyDescent="0.25">
      <c r="A128"/>
      <c r="B128" s="69"/>
      <c r="C128" s="69"/>
      <c r="D128"/>
      <c r="F128"/>
      <c r="G128"/>
      <c r="H128"/>
      <c r="I128"/>
      <c r="J128"/>
    </row>
    <row r="129" spans="1:10" ht="15.6" customHeight="1" x14ac:dyDescent="0.25">
      <c r="A129"/>
      <c r="B129" s="69"/>
      <c r="C129" s="69"/>
      <c r="D129"/>
      <c r="F129"/>
      <c r="G129"/>
      <c r="H129"/>
      <c r="I129"/>
      <c r="J129"/>
    </row>
    <row r="130" spans="1:10" ht="15.6" customHeight="1" x14ac:dyDescent="0.25">
      <c r="A130"/>
      <c r="B130" s="69"/>
      <c r="C130" s="69"/>
      <c r="D130"/>
      <c r="F130"/>
    </row>
    <row r="131" spans="1:10" ht="15.6" customHeight="1" x14ac:dyDescent="0.25">
      <c r="A131"/>
      <c r="B131"/>
      <c r="C131"/>
      <c r="D131"/>
      <c r="F131"/>
    </row>
    <row r="132" spans="1:10" ht="15.6" customHeight="1" x14ac:dyDescent="0.25">
      <c r="A132"/>
      <c r="B132" s="69"/>
      <c r="C132" s="69"/>
      <c r="D132"/>
      <c r="F132"/>
    </row>
    <row r="133" spans="1:10" ht="15.6" customHeight="1" x14ac:dyDescent="0.25">
      <c r="A133"/>
      <c r="B133" s="69"/>
      <c r="C133" s="69"/>
      <c r="D133"/>
      <c r="F133"/>
    </row>
    <row r="134" spans="1:10" ht="15.6" customHeight="1" x14ac:dyDescent="0.25">
      <c r="A134"/>
      <c r="B134" s="69"/>
      <c r="C134" s="69"/>
      <c r="D134"/>
      <c r="F134"/>
    </row>
    <row r="135" spans="1:10" ht="15.6" customHeight="1" x14ac:dyDescent="0.25">
      <c r="A135"/>
      <c r="B135"/>
      <c r="C135"/>
      <c r="D135"/>
      <c r="F135"/>
    </row>
    <row r="136" spans="1:10" ht="15.6" customHeight="1" x14ac:dyDescent="0.25">
      <c r="A136"/>
      <c r="B136" s="69"/>
      <c r="C136" s="69"/>
      <c r="D136"/>
      <c r="F136"/>
    </row>
    <row r="137" spans="1:10" ht="15.6" customHeight="1" x14ac:dyDescent="0.25">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8"/>
  <sheetViews>
    <sheetView showGridLines="0" showRowColHeaders="0" topLeftCell="A2" zoomScale="50" zoomScaleNormal="5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21" width="11.44140625" style="1" customWidth="1"/>
    <col min="22" max="22" width="15.44140625" style="1" customWidth="1"/>
    <col min="23" max="16384" width="11.44140625" style="1"/>
  </cols>
  <sheetData>
    <row r="1" spans="1:36" ht="5.25" customHeight="1" x14ac:dyDescent="0.25"/>
    <row r="2" spans="1:36" x14ac:dyDescent="0.25">
      <c r="A2" s="92" t="s">
        <v>0</v>
      </c>
      <c r="B2" s="2"/>
      <c r="C2" s="2"/>
      <c r="D2" s="2"/>
      <c r="E2" s="2"/>
      <c r="F2" s="2"/>
      <c r="G2" s="2"/>
    </row>
    <row r="3" spans="1:36" ht="6" customHeight="1" x14ac:dyDescent="0.25">
      <c r="A3" s="3"/>
      <c r="B3" s="2"/>
      <c r="C3" s="2"/>
      <c r="D3" s="2"/>
      <c r="E3" s="2"/>
      <c r="F3" s="2"/>
      <c r="G3" s="2"/>
    </row>
    <row r="4" spans="1:36" ht="12.75" customHeight="1" x14ac:dyDescent="0.25">
      <c r="A4" s="195" t="s">
        <v>90</v>
      </c>
      <c r="B4" s="2"/>
      <c r="C4" s="2"/>
      <c r="D4" s="2"/>
      <c r="E4" s="2"/>
      <c r="F4" s="2"/>
      <c r="G4" s="2"/>
      <c r="H4" s="67"/>
    </row>
    <row r="5" spans="1:36" ht="12.75" customHeight="1" x14ac:dyDescent="0.25">
      <c r="A5" s="195"/>
      <c r="B5" s="2"/>
      <c r="C5" s="2"/>
      <c r="D5" s="2"/>
      <c r="E5" s="2"/>
      <c r="F5" s="2"/>
      <c r="G5" s="2"/>
      <c r="H5" s="67"/>
    </row>
    <row r="6" spans="1:36" ht="15.6" x14ac:dyDescent="0.3">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6" x14ac:dyDescent="0.3">
      <c r="A7" s="3"/>
      <c r="B7" s="2"/>
      <c r="C7" s="2"/>
      <c r="D7" s="2"/>
      <c r="E7" s="2"/>
      <c r="F7" s="2"/>
      <c r="G7" s="2"/>
      <c r="H7" s="67"/>
      <c r="V7" s="88"/>
      <c r="AJ7" s="88"/>
    </row>
    <row r="8" spans="1:36" x14ac:dyDescent="0.25">
      <c r="A8" s="3"/>
      <c r="B8" s="2"/>
      <c r="C8" s="2"/>
      <c r="D8" s="2"/>
      <c r="E8" s="2"/>
      <c r="F8" s="2"/>
      <c r="G8" s="2"/>
      <c r="H8" s="67"/>
    </row>
    <row r="9" spans="1:36" x14ac:dyDescent="0.25">
      <c r="A9" s="3"/>
      <c r="B9" s="2"/>
      <c r="C9" s="2"/>
      <c r="D9" s="2"/>
      <c r="E9" s="2"/>
      <c r="F9" s="2"/>
      <c r="G9" s="2"/>
      <c r="H9" s="67"/>
    </row>
    <row r="10" spans="1:36" x14ac:dyDescent="0.25">
      <c r="A10" s="3"/>
      <c r="B10" s="2"/>
      <c r="C10" s="2"/>
      <c r="D10" s="2"/>
      <c r="E10" s="2"/>
      <c r="F10" s="2"/>
      <c r="G10" s="2"/>
      <c r="H10" s="67"/>
    </row>
    <row r="11" spans="1:36" x14ac:dyDescent="0.25">
      <c r="A11" s="3"/>
      <c r="B11" s="2"/>
      <c r="C11" s="2"/>
      <c r="D11" s="2"/>
      <c r="E11" s="2"/>
      <c r="F11" s="2"/>
      <c r="G11" s="2"/>
      <c r="H11" s="67"/>
    </row>
    <row r="12" spans="1:36" x14ac:dyDescent="0.25">
      <c r="A12" s="3"/>
      <c r="B12" s="2"/>
      <c r="C12" s="2"/>
      <c r="D12" s="2"/>
      <c r="E12" s="2"/>
      <c r="F12" s="2"/>
      <c r="G12" s="2"/>
      <c r="H12" s="67"/>
    </row>
    <row r="13" spans="1:36" x14ac:dyDescent="0.25">
      <c r="A13" s="3"/>
      <c r="B13" s="2"/>
      <c r="C13" s="2"/>
      <c r="D13" s="2"/>
      <c r="E13" s="2"/>
      <c r="F13" s="2"/>
      <c r="G13" s="2"/>
      <c r="H13" s="67"/>
    </row>
    <row r="14" spans="1:36" x14ac:dyDescent="0.25">
      <c r="A14" s="3"/>
      <c r="B14" s="2"/>
      <c r="C14" s="2"/>
      <c r="D14" s="2"/>
      <c r="E14" s="2"/>
      <c r="F14" s="2"/>
      <c r="G14" s="2"/>
      <c r="H14" s="67"/>
    </row>
    <row r="15" spans="1:36" x14ac:dyDescent="0.25">
      <c r="A15" s="3"/>
      <c r="B15" s="2"/>
      <c r="C15" s="2"/>
      <c r="D15" s="2"/>
      <c r="E15" s="2"/>
      <c r="F15" s="2"/>
      <c r="G15" s="2"/>
      <c r="H15" s="67"/>
    </row>
    <row r="16" spans="1:36" x14ac:dyDescent="0.25">
      <c r="A16" s="3"/>
      <c r="B16" s="2"/>
      <c r="C16" s="2"/>
      <c r="D16" s="2"/>
      <c r="E16" s="2"/>
      <c r="F16" s="2"/>
      <c r="G16" s="2"/>
      <c r="H16" s="67"/>
    </row>
    <row r="17" spans="1:30" x14ac:dyDescent="0.25">
      <c r="A17" s="3"/>
      <c r="B17" s="2"/>
      <c r="C17" s="2"/>
      <c r="D17" s="2"/>
      <c r="E17" s="2"/>
      <c r="F17" s="2"/>
      <c r="G17" s="2"/>
      <c r="H17" s="67"/>
    </row>
    <row r="18" spans="1:30" x14ac:dyDescent="0.25">
      <c r="A18" s="3"/>
      <c r="B18" s="2"/>
      <c r="C18" s="2"/>
      <c r="D18" s="2"/>
      <c r="E18" s="2"/>
      <c r="F18" s="2"/>
      <c r="G18" s="2"/>
      <c r="H18" s="67"/>
    </row>
    <row r="19" spans="1:30" x14ac:dyDescent="0.25">
      <c r="A19" s="3"/>
      <c r="B19" s="2"/>
      <c r="C19" s="2"/>
      <c r="D19" s="2"/>
      <c r="E19" s="2"/>
      <c r="F19" s="2"/>
      <c r="G19" s="2"/>
      <c r="H19" s="67"/>
    </row>
    <row r="20" spans="1:30" x14ac:dyDescent="0.25">
      <c r="A20" s="3"/>
      <c r="B20" s="2"/>
      <c r="C20" s="2"/>
      <c r="D20" s="2"/>
      <c r="E20" s="2"/>
      <c r="F20" s="2"/>
      <c r="G20" s="2"/>
      <c r="H20" s="67"/>
    </row>
    <row r="21" spans="1:30" x14ac:dyDescent="0.25">
      <c r="A21" s="3"/>
      <c r="B21" s="2"/>
      <c r="C21" s="2"/>
      <c r="D21" s="2"/>
      <c r="E21" s="2"/>
      <c r="F21" s="2"/>
      <c r="G21" s="2"/>
      <c r="H21" s="67"/>
    </row>
    <row r="22" spans="1:30" x14ac:dyDescent="0.25">
      <c r="A22" s="3"/>
      <c r="B22" s="2"/>
      <c r="C22" s="2"/>
      <c r="D22" s="2"/>
      <c r="E22" s="2"/>
      <c r="F22" s="2"/>
      <c r="G22" s="2"/>
      <c r="H22" s="67"/>
    </row>
    <row r="23" spans="1:30" x14ac:dyDescent="0.25">
      <c r="A23" s="3"/>
      <c r="B23" s="2"/>
      <c r="C23" s="2"/>
      <c r="D23" s="2"/>
      <c r="E23" s="2"/>
      <c r="F23" s="2"/>
      <c r="G23" s="2"/>
      <c r="H23" s="67"/>
    </row>
    <row r="24" spans="1:30" x14ac:dyDescent="0.25">
      <c r="A24" s="3"/>
      <c r="B24" s="2"/>
      <c r="C24" s="2"/>
      <c r="D24" s="2"/>
      <c r="E24" s="2"/>
      <c r="F24" s="2"/>
      <c r="G24" s="2"/>
      <c r="H24" s="67"/>
    </row>
    <row r="25" spans="1:30" x14ac:dyDescent="0.25">
      <c r="A25" s="3"/>
      <c r="B25" s="2"/>
      <c r="C25" s="2"/>
      <c r="D25" s="2"/>
      <c r="E25" s="2"/>
      <c r="F25" s="2"/>
      <c r="G25" s="2"/>
      <c r="H25" s="67"/>
    </row>
    <row r="26" spans="1:30" x14ac:dyDescent="0.25">
      <c r="A26" s="3"/>
      <c r="B26" s="2"/>
      <c r="C26" s="2"/>
      <c r="D26" s="2"/>
      <c r="E26" s="2"/>
      <c r="F26" s="2"/>
      <c r="G26" s="2"/>
      <c r="H26" s="67"/>
    </row>
    <row r="27" spans="1:30" x14ac:dyDescent="0.25">
      <c r="A27" s="3"/>
      <c r="B27" s="2"/>
      <c r="C27" s="2"/>
      <c r="D27" s="2"/>
      <c r="E27" s="2"/>
      <c r="F27" s="2"/>
      <c r="G27" s="2"/>
      <c r="H27" s="67"/>
    </row>
    <row r="28" spans="1:30" x14ac:dyDescent="0.25">
      <c r="A28" s="3"/>
      <c r="B28" s="2"/>
      <c r="C28" s="2"/>
      <c r="D28" s="2"/>
      <c r="E28" s="2"/>
      <c r="F28" s="2"/>
      <c r="G28" s="2"/>
      <c r="H28" s="67"/>
    </row>
    <row r="29" spans="1:30" x14ac:dyDescent="0.25">
      <c r="A29" s="3"/>
      <c r="B29" s="2"/>
      <c r="C29" s="2"/>
      <c r="D29" s="2"/>
      <c r="E29" s="2"/>
      <c r="F29" s="2"/>
      <c r="G29" s="2"/>
      <c r="H29" s="67"/>
    </row>
    <row r="30" spans="1:30" x14ac:dyDescent="0.25">
      <c r="A30" s="3"/>
      <c r="B30" s="2"/>
      <c r="C30" s="2"/>
      <c r="D30" s="2"/>
      <c r="E30" s="2"/>
      <c r="F30" s="2"/>
      <c r="G30" s="2"/>
      <c r="H30" s="67"/>
    </row>
    <row r="31" spans="1:30" x14ac:dyDescent="0.25">
      <c r="A31" s="3"/>
      <c r="B31" s="2"/>
      <c r="C31" s="2"/>
      <c r="D31" s="2"/>
      <c r="E31" s="2"/>
      <c r="F31" s="2"/>
      <c r="G31" s="2"/>
      <c r="H31" s="67"/>
    </row>
    <row r="32" spans="1:30" ht="15.6" x14ac:dyDescent="0.3">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2016</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x14ac:dyDescent="0.25">
      <c r="A33" s="3"/>
      <c r="B33" s="2"/>
      <c r="C33" s="2"/>
      <c r="D33" s="2"/>
      <c r="E33" s="2"/>
      <c r="F33" s="2"/>
      <c r="G33" s="2"/>
      <c r="H33" s="67"/>
    </row>
    <row r="34" spans="1:8" x14ac:dyDescent="0.25">
      <c r="A34" s="3"/>
      <c r="B34" s="2"/>
      <c r="C34" s="2"/>
      <c r="D34" s="2"/>
      <c r="E34" s="2"/>
      <c r="F34" s="2"/>
      <c r="G34" s="2"/>
      <c r="H34" s="67"/>
    </row>
    <row r="35" spans="1:8" x14ac:dyDescent="0.25">
      <c r="A35" s="3"/>
      <c r="B35" s="2"/>
      <c r="C35" s="2"/>
      <c r="D35" s="2"/>
      <c r="E35" s="2"/>
      <c r="F35" s="2"/>
      <c r="G35" s="2"/>
      <c r="H35" s="67"/>
    </row>
    <row r="36" spans="1:8" x14ac:dyDescent="0.25">
      <c r="A36" s="3"/>
      <c r="B36" s="2"/>
      <c r="C36" s="2"/>
      <c r="D36" s="2"/>
      <c r="E36" s="2"/>
      <c r="F36" s="2"/>
      <c r="G36" s="2"/>
      <c r="H36" s="67"/>
    </row>
    <row r="37" spans="1:8" x14ac:dyDescent="0.25">
      <c r="A37" s="47"/>
      <c r="B37" s="48"/>
      <c r="C37" s="49"/>
      <c r="D37" s="49"/>
      <c r="E37" s="49"/>
      <c r="F37" s="49"/>
      <c r="G37" s="50"/>
      <c r="H37" s="51"/>
    </row>
    <row r="38" spans="1:8" x14ac:dyDescent="0.25">
      <c r="A38" s="47"/>
      <c r="B38" s="48"/>
      <c r="C38" s="49"/>
      <c r="D38" s="49"/>
      <c r="E38" s="49"/>
      <c r="F38" s="49"/>
      <c r="G38" s="50"/>
      <c r="H38" s="51"/>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36" x14ac:dyDescent="0.25">
      <c r="A49" s="47"/>
      <c r="B49" s="48"/>
      <c r="C49" s="49"/>
      <c r="D49" s="49"/>
      <c r="E49" s="98"/>
      <c r="F49" s="49"/>
      <c r="G49" s="50"/>
      <c r="H49" s="51"/>
    </row>
    <row r="50" spans="1:36" x14ac:dyDescent="0.25">
      <c r="A50" s="47"/>
      <c r="B50" s="48"/>
      <c r="C50" s="49"/>
      <c r="D50" s="49"/>
      <c r="E50" s="49"/>
      <c r="F50" s="49"/>
      <c r="G50" s="50"/>
      <c r="H50" s="51"/>
    </row>
    <row r="51" spans="1:36" x14ac:dyDescent="0.25">
      <c r="A51" s="47"/>
      <c r="B51" s="48"/>
      <c r="C51" s="49"/>
      <c r="D51" s="49"/>
      <c r="E51" s="49"/>
      <c r="F51" s="49"/>
      <c r="G51" s="50"/>
      <c r="H51" s="51"/>
    </row>
    <row r="52" spans="1:36" x14ac:dyDescent="0.25">
      <c r="A52" s="47"/>
      <c r="B52" s="48"/>
      <c r="C52" s="49"/>
      <c r="D52" s="49"/>
      <c r="E52" s="49"/>
      <c r="F52" s="49"/>
      <c r="G52" s="50"/>
      <c r="H52" s="51"/>
    </row>
    <row r="53" spans="1:36" x14ac:dyDescent="0.25">
      <c r="A53" s="47"/>
      <c r="B53" s="48"/>
      <c r="C53" s="49"/>
      <c r="D53" s="49"/>
      <c r="E53" s="49"/>
      <c r="F53" s="49"/>
      <c r="G53" s="50"/>
      <c r="H53" s="51"/>
    </row>
    <row r="54" spans="1:36" x14ac:dyDescent="0.25">
      <c r="A54" s="47"/>
      <c r="B54" s="48"/>
      <c r="C54" s="49"/>
      <c r="D54" s="49"/>
      <c r="E54" s="49"/>
      <c r="F54" s="49"/>
      <c r="G54" s="50"/>
      <c r="H54" s="51"/>
    </row>
    <row r="55" spans="1:36" x14ac:dyDescent="0.25">
      <c r="A55" s="47"/>
      <c r="B55" s="48"/>
      <c r="C55" s="49"/>
      <c r="D55" s="49"/>
      <c r="E55" s="49"/>
      <c r="F55" s="49"/>
      <c r="G55" s="50"/>
      <c r="H55" s="51"/>
    </row>
    <row r="56" spans="1:36" x14ac:dyDescent="0.25">
      <c r="A56" s="47"/>
      <c r="B56" s="48"/>
      <c r="C56" s="49"/>
      <c r="D56" s="49"/>
      <c r="E56" s="49"/>
      <c r="F56" s="49"/>
      <c r="G56" s="50"/>
      <c r="H56" s="51"/>
    </row>
    <row r="57" spans="1:36" x14ac:dyDescent="0.25">
      <c r="A57" s="47"/>
      <c r="B57" s="48"/>
      <c r="C57" s="49"/>
      <c r="D57" s="49"/>
      <c r="E57" s="49"/>
      <c r="F57" s="49"/>
      <c r="G57" s="50"/>
      <c r="H57" s="51"/>
    </row>
    <row r="58" spans="1:36" x14ac:dyDescent="0.25">
      <c r="A58" s="47"/>
      <c r="B58" s="48"/>
      <c r="C58" s="49"/>
      <c r="D58" s="49"/>
      <c r="E58" s="49"/>
      <c r="F58" s="49"/>
      <c r="G58" s="50"/>
      <c r="H58" s="51"/>
    </row>
    <row r="59" spans="1:36" x14ac:dyDescent="0.25">
      <c r="A59" s="47"/>
      <c r="B59" s="48"/>
      <c r="C59" s="49"/>
      <c r="D59" s="49"/>
      <c r="E59" s="49"/>
      <c r="F59" s="49"/>
      <c r="G59" s="50"/>
      <c r="H59" s="51"/>
    </row>
    <row r="60" spans="1:36" x14ac:dyDescent="0.25">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x14ac:dyDescent="0.25">
      <c r="A61" s="54" t="str">
        <f>+Innhold!B123</f>
        <v>Finans Norge / Skadestatistikk</v>
      </c>
      <c r="H61" s="193">
        <v>4</v>
      </c>
      <c r="I61" s="54" t="str">
        <f>+Innhold!B123</f>
        <v>Finans Norge / Skadestatistikk</v>
      </c>
      <c r="O61" s="193">
        <v>5</v>
      </c>
      <c r="P61" s="54" t="str">
        <f>+Innhold!B123</f>
        <v>Finans Norge / Skadestatistikk</v>
      </c>
      <c r="V61" s="193">
        <v>6</v>
      </c>
      <c r="W61" s="54" t="str">
        <f>+Innhold!B123</f>
        <v>Finans Norge / Skadestatistikk</v>
      </c>
      <c r="AC61" s="193">
        <v>7</v>
      </c>
      <c r="AD61" s="54" t="str">
        <f>+Innhold!B123</f>
        <v>Finans Norge / Skadestatistikk</v>
      </c>
      <c r="AJ61" s="193">
        <v>8</v>
      </c>
    </row>
    <row r="62" spans="1:36" x14ac:dyDescent="0.25">
      <c r="A62" s="54" t="str">
        <f>+Innhold!B124</f>
        <v>Skadestatistikk for landbasert forsikring 4. kvartal 2016</v>
      </c>
      <c r="H62" s="194"/>
      <c r="I62" s="54" t="str">
        <f>+Innhold!B124</f>
        <v>Skadestatistikk for landbasert forsikring 4. kvartal 2016</v>
      </c>
      <c r="O62" s="194"/>
      <c r="P62" s="54" t="str">
        <f>+Innhold!B124</f>
        <v>Skadestatistikk for landbasert forsikring 4. kvartal 2016</v>
      </c>
      <c r="V62" s="194"/>
      <c r="W62" s="54" t="str">
        <f>+Innhold!B124</f>
        <v>Skadestatistikk for landbasert forsikring 4. kvartal 2016</v>
      </c>
      <c r="AC62" s="194"/>
      <c r="AD62" s="54" t="str">
        <f>+Innhold!B124</f>
        <v>Skadestatistikk for landbasert forsikring 4. kvartal 2016</v>
      </c>
      <c r="AJ62" s="194"/>
    </row>
    <row r="67" spans="1:34" ht="12.75" customHeight="1" x14ac:dyDescent="0.25">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row>
    <row r="68" spans="1:34" ht="12.75" customHeight="1" x14ac:dyDescent="0.25">
      <c r="A68" s="164"/>
      <c r="B68" s="164"/>
      <c r="C68" s="164"/>
      <c r="D68" s="164"/>
      <c r="E68" s="164"/>
      <c r="F68" s="164"/>
      <c r="G68" s="164"/>
      <c r="H68" s="164"/>
      <c r="I68" s="164"/>
      <c r="J68" s="164"/>
      <c r="K68" s="164"/>
      <c r="L68" s="164"/>
      <c r="M68" s="165" t="s">
        <v>178</v>
      </c>
      <c r="N68" s="164"/>
      <c r="O68" s="164"/>
      <c r="P68" s="165" t="s">
        <v>180</v>
      </c>
      <c r="Q68" s="164"/>
      <c r="R68" s="164"/>
      <c r="S68" s="165" t="s">
        <v>179</v>
      </c>
      <c r="T68" s="164"/>
      <c r="U68" s="164"/>
      <c r="V68" s="164"/>
      <c r="W68" s="164"/>
      <c r="X68" s="164"/>
      <c r="Y68" s="164"/>
      <c r="Z68" s="164"/>
      <c r="AA68" s="164"/>
      <c r="AB68" s="164"/>
      <c r="AC68" s="164"/>
      <c r="AD68" s="164"/>
      <c r="AE68" s="164"/>
      <c r="AF68" s="164"/>
      <c r="AG68" s="164"/>
      <c r="AH68" s="164"/>
    </row>
    <row r="69" spans="1:34" x14ac:dyDescent="0.25">
      <c r="A69" s="166" t="s">
        <v>184</v>
      </c>
      <c r="B69" s="167"/>
      <c r="C69" s="167"/>
      <c r="D69" s="167" t="s">
        <v>74</v>
      </c>
      <c r="E69" s="167"/>
      <c r="F69" s="167"/>
      <c r="G69" s="167"/>
      <c r="H69" s="166"/>
      <c r="I69" s="168">
        <f>144.8</f>
        <v>144.80000000000001</v>
      </c>
      <c r="J69" s="169" t="s">
        <v>235</v>
      </c>
      <c r="K69" s="164"/>
      <c r="L69" s="164"/>
      <c r="M69" s="165" t="s">
        <v>162</v>
      </c>
      <c r="N69" s="164"/>
      <c r="O69" s="164"/>
      <c r="P69" s="165" t="s">
        <v>176</v>
      </c>
      <c r="Q69" s="164"/>
      <c r="R69" s="164"/>
      <c r="S69" s="165" t="s">
        <v>177</v>
      </c>
      <c r="T69" s="164"/>
      <c r="U69" s="164"/>
      <c r="V69" s="166" t="s">
        <v>185</v>
      </c>
      <c r="W69" s="167"/>
      <c r="X69" s="167"/>
      <c r="Y69" s="167"/>
      <c r="Z69" s="167"/>
      <c r="AA69" s="164"/>
      <c r="AB69" s="164"/>
      <c r="AC69" s="164"/>
      <c r="AD69" s="164"/>
      <c r="AE69" s="164"/>
      <c r="AF69" s="164"/>
      <c r="AG69" s="164"/>
      <c r="AH69" s="164"/>
    </row>
    <row r="70" spans="1:34" x14ac:dyDescent="0.25">
      <c r="A70" s="167" t="s">
        <v>75</v>
      </c>
      <c r="B70" s="167" t="s">
        <v>76</v>
      </c>
      <c r="C70" s="167" t="s">
        <v>26</v>
      </c>
      <c r="D70" s="167" t="s">
        <v>77</v>
      </c>
      <c r="E70" s="167"/>
      <c r="F70" s="167"/>
      <c r="G70" s="167"/>
      <c r="H70" s="164"/>
      <c r="I70" s="170" t="s">
        <v>160</v>
      </c>
      <c r="J70" s="164" t="s">
        <v>234</v>
      </c>
      <c r="K70" s="170" t="s">
        <v>76</v>
      </c>
      <c r="L70" s="170" t="s">
        <v>108</v>
      </c>
      <c r="M70" s="170" t="s">
        <v>158</v>
      </c>
      <c r="N70" s="170" t="s">
        <v>159</v>
      </c>
      <c r="O70" s="170" t="s">
        <v>108</v>
      </c>
      <c r="P70" s="170" t="s">
        <v>158</v>
      </c>
      <c r="Q70" s="170" t="s">
        <v>159</v>
      </c>
      <c r="R70" s="170" t="s">
        <v>108</v>
      </c>
      <c r="S70" s="170" t="s">
        <v>158</v>
      </c>
      <c r="T70" s="170" t="s">
        <v>159</v>
      </c>
      <c r="U70" s="164"/>
      <c r="V70" s="167" t="s">
        <v>81</v>
      </c>
      <c r="W70" s="167"/>
      <c r="X70" s="171" t="str">
        <f>+'Tab3'!C6</f>
        <v>2014</v>
      </c>
      <c r="Y70" s="171" t="str">
        <f>+'Tab3'!D6</f>
        <v>2015</v>
      </c>
      <c r="Z70" s="171" t="str">
        <f>+'Tab3'!E6</f>
        <v>2016</v>
      </c>
      <c r="AA70" s="164"/>
      <c r="AB70" s="164"/>
      <c r="AC70" s="164"/>
      <c r="AD70" s="164"/>
      <c r="AE70" s="164"/>
      <c r="AF70" s="164"/>
      <c r="AG70" s="164"/>
      <c r="AH70" s="164"/>
    </row>
    <row r="71" spans="1:34" x14ac:dyDescent="0.25">
      <c r="A71" s="167">
        <v>1</v>
      </c>
      <c r="B71" s="167">
        <v>1983</v>
      </c>
      <c r="C71" s="167">
        <v>97</v>
      </c>
      <c r="D71" s="167">
        <v>78.3</v>
      </c>
      <c r="E71" s="167"/>
      <c r="F71" s="167"/>
      <c r="G71" s="167"/>
      <c r="H71" s="164"/>
      <c r="I71" s="172">
        <v>53.8</v>
      </c>
      <c r="J71" s="164">
        <v>1</v>
      </c>
      <c r="K71" s="164">
        <v>1983</v>
      </c>
      <c r="L71" s="173">
        <v>11621</v>
      </c>
      <c r="M71" s="172">
        <v>80.900000000000006</v>
      </c>
      <c r="N71" s="172">
        <f t="shared" ref="N71:N102" si="0">M71/I71*$I$69</f>
        <v>217.73828996282532</v>
      </c>
      <c r="O71" s="164"/>
      <c r="P71" s="164"/>
      <c r="Q71" s="164"/>
      <c r="R71" s="164"/>
      <c r="S71" s="164"/>
      <c r="T71" s="164"/>
      <c r="U71" s="164"/>
      <c r="V71" s="167"/>
      <c r="W71" s="167"/>
      <c r="X71" s="167"/>
      <c r="Y71" s="167"/>
      <c r="Z71" s="167"/>
      <c r="AA71" s="164"/>
      <c r="AB71" s="164"/>
      <c r="AC71" s="164"/>
      <c r="AD71" s="164"/>
      <c r="AE71" s="164"/>
      <c r="AF71" s="164"/>
      <c r="AG71" s="164"/>
      <c r="AH71" s="164"/>
    </row>
    <row r="72" spans="1:34" x14ac:dyDescent="0.25">
      <c r="A72" s="167">
        <v>2</v>
      </c>
      <c r="B72" s="167"/>
      <c r="C72" s="167">
        <v>78.8</v>
      </c>
      <c r="D72" s="167">
        <v>61.3</v>
      </c>
      <c r="E72" s="167"/>
      <c r="F72" s="167"/>
      <c r="G72" s="167"/>
      <c r="H72" s="164"/>
      <c r="I72" s="172">
        <v>54.7</v>
      </c>
      <c r="J72" s="164">
        <v>2</v>
      </c>
      <c r="K72" s="164"/>
      <c r="L72" s="173">
        <v>11120</v>
      </c>
      <c r="M72" s="172">
        <v>68.900000000000006</v>
      </c>
      <c r="N72" s="172">
        <f t="shared" si="0"/>
        <v>182.38976234003661</v>
      </c>
      <c r="O72" s="164"/>
      <c r="P72" s="164"/>
      <c r="Q72" s="164"/>
      <c r="R72" s="164"/>
      <c r="S72" s="164"/>
      <c r="T72" s="164"/>
      <c r="U72" s="164"/>
      <c r="V72" s="167" t="s">
        <v>26</v>
      </c>
      <c r="W72" s="167"/>
      <c r="X72" s="174">
        <f>IF('Tab6'!C36="",'Tab6'!C35,'Tab6'!C36)</f>
        <v>12623.975699097</v>
      </c>
      <c r="Y72" s="174">
        <f>IF('Tab6'!D36="",'Tab6'!D35,'Tab6'!D36)</f>
        <v>11956.755135713</v>
      </c>
      <c r="Z72" s="174">
        <f>IF('Tab6'!E36="",'Tab6'!E35,'Tab6'!E36)</f>
        <v>12755.754436417999</v>
      </c>
      <c r="AA72" s="164"/>
      <c r="AB72" s="164"/>
      <c r="AC72" s="164"/>
      <c r="AD72" s="164"/>
      <c r="AE72" s="164"/>
      <c r="AF72" s="164"/>
      <c r="AG72" s="164"/>
      <c r="AH72" s="164"/>
    </row>
    <row r="73" spans="1:34" x14ac:dyDescent="0.25">
      <c r="A73" s="167">
        <v>3</v>
      </c>
      <c r="B73" s="167"/>
      <c r="C73" s="167">
        <v>84.8</v>
      </c>
      <c r="D73" s="167">
        <v>63</v>
      </c>
      <c r="E73" s="167"/>
      <c r="F73" s="167"/>
      <c r="G73" s="167"/>
      <c r="H73" s="164"/>
      <c r="I73" s="172">
        <v>55.3</v>
      </c>
      <c r="J73" s="164">
        <v>3</v>
      </c>
      <c r="K73" s="164"/>
      <c r="L73" s="173">
        <v>11918</v>
      </c>
      <c r="M73" s="172">
        <v>63.7</v>
      </c>
      <c r="N73" s="172">
        <f t="shared" si="0"/>
        <v>166.7949367088608</v>
      </c>
      <c r="O73" s="164"/>
      <c r="P73" s="164"/>
      <c r="Q73" s="164"/>
      <c r="R73" s="164"/>
      <c r="S73" s="164"/>
      <c r="T73" s="164"/>
      <c r="U73" s="164"/>
      <c r="V73" s="167"/>
      <c r="W73" s="167"/>
      <c r="X73" s="174"/>
      <c r="Y73" s="174"/>
      <c r="Z73" s="174"/>
      <c r="AA73" s="164"/>
      <c r="AB73" s="164"/>
      <c r="AC73" s="164"/>
      <c r="AD73" s="164"/>
      <c r="AE73" s="164"/>
      <c r="AF73" s="164"/>
      <c r="AG73" s="164"/>
      <c r="AH73" s="164"/>
    </row>
    <row r="74" spans="1:34" x14ac:dyDescent="0.25">
      <c r="A74" s="167">
        <v>4</v>
      </c>
      <c r="B74" s="167"/>
      <c r="C74" s="167">
        <v>91.2</v>
      </c>
      <c r="D74" s="167">
        <v>70.8</v>
      </c>
      <c r="E74" s="167"/>
      <c r="F74" s="167"/>
      <c r="G74" s="167"/>
      <c r="H74" s="164"/>
      <c r="I74" s="172">
        <v>56.2</v>
      </c>
      <c r="J74" s="164">
        <v>4</v>
      </c>
      <c r="K74" s="164"/>
      <c r="L74" s="173">
        <v>11905</v>
      </c>
      <c r="M74" s="172">
        <v>79.3</v>
      </c>
      <c r="N74" s="172">
        <f t="shared" si="0"/>
        <v>204.31743772241992</v>
      </c>
      <c r="O74" s="164"/>
      <c r="P74" s="164"/>
      <c r="Q74" s="164"/>
      <c r="R74" s="164"/>
      <c r="S74" s="164"/>
      <c r="T74" s="164"/>
      <c r="U74" s="164"/>
      <c r="V74" s="167" t="s">
        <v>63</v>
      </c>
      <c r="W74" s="167"/>
      <c r="X74" s="174">
        <f>IF('Tab6'!C36="",'Tab6'!C45+'Tab6'!C47,'Tab6'!C46+'Tab6'!C48)</f>
        <v>271.50372523499999</v>
      </c>
      <c r="Y74" s="174">
        <f>IF('Tab6'!D36="",'Tab6'!D45+'Tab6'!D47,'Tab6'!D46+'Tab6'!D48)</f>
        <v>246.19793119500002</v>
      </c>
      <c r="Z74" s="174">
        <f>IF('Tab6'!E36="",'Tab6'!E45+'Tab6'!E47,'Tab6'!E46+'Tab6'!E48)</f>
        <v>223.20845500400003</v>
      </c>
      <c r="AA74" s="164"/>
      <c r="AB74" s="164"/>
      <c r="AC74" s="164"/>
      <c r="AD74" s="164"/>
      <c r="AE74" s="164"/>
      <c r="AF74" s="164"/>
      <c r="AG74" s="164"/>
      <c r="AH74" s="164"/>
    </row>
    <row r="75" spans="1:34" x14ac:dyDescent="0.25">
      <c r="A75" s="167">
        <v>1</v>
      </c>
      <c r="B75" s="167">
        <v>1984</v>
      </c>
      <c r="C75" s="167">
        <v>112.2</v>
      </c>
      <c r="D75" s="167">
        <v>90.4</v>
      </c>
      <c r="E75" s="167"/>
      <c r="F75" s="167"/>
      <c r="G75" s="167"/>
      <c r="H75" s="164"/>
      <c r="I75" s="172">
        <v>57.3</v>
      </c>
      <c r="J75" s="164">
        <v>1</v>
      </c>
      <c r="K75" s="164">
        <v>1984</v>
      </c>
      <c r="L75" s="173">
        <v>13205</v>
      </c>
      <c r="M75" s="172">
        <v>86.7</v>
      </c>
      <c r="N75" s="172">
        <f t="shared" si="0"/>
        <v>219.09528795811522</v>
      </c>
      <c r="O75" s="164"/>
      <c r="P75" s="164"/>
      <c r="Q75" s="164"/>
      <c r="R75" s="164"/>
      <c r="S75" s="164"/>
      <c r="T75" s="164"/>
      <c r="U75" s="164"/>
      <c r="V75" s="167" t="s">
        <v>39</v>
      </c>
      <c r="W75" s="167"/>
      <c r="X75" s="174">
        <f>IF('Tab6'!C36="",'Tab6'!C49,'Tab6'!C50)</f>
        <v>1413.4321085219999</v>
      </c>
      <c r="Y75" s="174">
        <f>IF('Tab6'!D36="",'Tab6'!D49,'Tab6'!D50)</f>
        <v>1361.081784921</v>
      </c>
      <c r="Z75" s="174">
        <f>IF('Tab6'!E36="",'Tab6'!E49,'Tab6'!E50)</f>
        <v>1471.146694841</v>
      </c>
      <c r="AA75" s="164"/>
      <c r="AB75" s="164"/>
      <c r="AC75" s="164"/>
      <c r="AD75" s="164"/>
      <c r="AE75" s="164"/>
      <c r="AF75" s="164"/>
      <c r="AG75" s="164"/>
      <c r="AH75" s="164"/>
    </row>
    <row r="76" spans="1:34" x14ac:dyDescent="0.25">
      <c r="A76" s="167">
        <v>2</v>
      </c>
      <c r="B76" s="167"/>
      <c r="C76" s="167">
        <v>81.8</v>
      </c>
      <c r="D76" s="167">
        <v>64.400000000000006</v>
      </c>
      <c r="E76" s="167"/>
      <c r="F76" s="167"/>
      <c r="G76" s="167"/>
      <c r="H76" s="164"/>
      <c r="I76" s="172">
        <v>58.2</v>
      </c>
      <c r="J76" s="164">
        <v>2</v>
      </c>
      <c r="K76" s="164"/>
      <c r="L76" s="173">
        <v>12453</v>
      </c>
      <c r="M76" s="172">
        <v>83.3</v>
      </c>
      <c r="N76" s="172">
        <f t="shared" si="0"/>
        <v>207.24810996563573</v>
      </c>
      <c r="O76" s="164"/>
      <c r="P76" s="164"/>
      <c r="Q76" s="164"/>
      <c r="R76" s="164"/>
      <c r="S76" s="164"/>
      <c r="T76" s="164"/>
      <c r="U76" s="164"/>
      <c r="V76" s="167" t="s">
        <v>18</v>
      </c>
      <c r="W76" s="167"/>
      <c r="X76" s="174">
        <f>IF('Tab6'!C36="",'Tab6'!C43,'Tab6'!C44)</f>
        <v>221.26991658099999</v>
      </c>
      <c r="Y76" s="174">
        <f>IF('Tab6'!D36="",'Tab6'!D43,'Tab6'!D44)</f>
        <v>194.72224163300001</v>
      </c>
      <c r="Z76" s="174">
        <f>IF('Tab6'!E36="",'Tab6'!E43,'Tab6'!E44)</f>
        <v>196.17641437899999</v>
      </c>
      <c r="AA76" s="164"/>
      <c r="AB76" s="164"/>
      <c r="AC76" s="164"/>
      <c r="AD76" s="164"/>
      <c r="AE76" s="164"/>
      <c r="AF76" s="164"/>
      <c r="AG76" s="164"/>
      <c r="AH76" s="164"/>
    </row>
    <row r="77" spans="1:34" x14ac:dyDescent="0.25">
      <c r="A77" s="167">
        <v>3</v>
      </c>
      <c r="B77" s="167"/>
      <c r="C77" s="167">
        <v>90.4</v>
      </c>
      <c r="D77" s="167">
        <v>71.099999999999994</v>
      </c>
      <c r="E77" s="167"/>
      <c r="F77" s="167"/>
      <c r="G77" s="167"/>
      <c r="H77" s="164"/>
      <c r="I77" s="172">
        <v>58.7</v>
      </c>
      <c r="J77" s="164">
        <v>3</v>
      </c>
      <c r="K77" s="164"/>
      <c r="L77" s="173">
        <v>12278</v>
      </c>
      <c r="M77" s="172">
        <v>83.3</v>
      </c>
      <c r="N77" s="172">
        <f t="shared" si="0"/>
        <v>205.48279386712096</v>
      </c>
      <c r="O77" s="164"/>
      <c r="P77" s="164"/>
      <c r="Q77" s="164"/>
      <c r="R77" s="164"/>
      <c r="S77" s="164"/>
      <c r="T77" s="164"/>
      <c r="U77" s="164"/>
      <c r="V77" s="167" t="s">
        <v>82</v>
      </c>
      <c r="W77" s="167"/>
      <c r="X77" s="174">
        <f>IF('Tab6'!C36="",'Tab6'!C37+'Tab6'!C39,'Tab6'!C38+'Tab6'!C40)</f>
        <v>1926.896769342</v>
      </c>
      <c r="Y77" s="174">
        <f>IF('Tab6'!D36="",'Tab6'!D37+'Tab6'!D39,'Tab6'!D38+'Tab6'!D40)</f>
        <v>1367.333087494</v>
      </c>
      <c r="Z77" s="174">
        <f>IF('Tab6'!E36="",'Tab6'!E37+'Tab6'!E39,'Tab6'!E38+'Tab6'!E40)</f>
        <v>1178.1485436949999</v>
      </c>
      <c r="AA77" s="164"/>
      <c r="AB77" s="164"/>
      <c r="AC77" s="164"/>
      <c r="AD77" s="164"/>
      <c r="AE77" s="164"/>
      <c r="AF77" s="164"/>
      <c r="AG77" s="164"/>
      <c r="AH77" s="164"/>
    </row>
    <row r="78" spans="1:34" x14ac:dyDescent="0.25">
      <c r="A78" s="167">
        <v>4</v>
      </c>
      <c r="B78" s="167"/>
      <c r="C78" s="167">
        <v>92.9</v>
      </c>
      <c r="D78" s="167">
        <v>73.900000000000006</v>
      </c>
      <c r="E78" s="167"/>
      <c r="F78" s="167"/>
      <c r="G78" s="167"/>
      <c r="H78" s="164"/>
      <c r="I78" s="172">
        <v>59.6</v>
      </c>
      <c r="J78" s="164">
        <v>4</v>
      </c>
      <c r="K78" s="164"/>
      <c r="L78" s="173">
        <v>11449</v>
      </c>
      <c r="M78" s="172">
        <v>94.6</v>
      </c>
      <c r="N78" s="172">
        <f t="shared" si="0"/>
        <v>229.83355704697985</v>
      </c>
      <c r="O78" s="164"/>
      <c r="P78" s="164"/>
      <c r="Q78" s="164"/>
      <c r="R78" s="164"/>
      <c r="S78" s="164"/>
      <c r="T78" s="164"/>
      <c r="U78" s="164"/>
      <c r="V78" s="167" t="s">
        <v>83</v>
      </c>
      <c r="W78" s="167"/>
      <c r="X78" s="175">
        <f>X72-X77-X76-X75-X74</f>
        <v>8790.8731794169998</v>
      </c>
      <c r="Y78" s="175">
        <f>Y72-Y77-Y76-Y75-Y74</f>
        <v>8787.4200904699992</v>
      </c>
      <c r="Z78" s="175">
        <f>Z72-Z77-Z76-Z75-Z74</f>
        <v>9687.0743284989985</v>
      </c>
      <c r="AA78" s="164"/>
      <c r="AB78" s="164"/>
      <c r="AC78" s="164"/>
      <c r="AD78" s="164"/>
      <c r="AE78" s="164"/>
      <c r="AF78" s="164"/>
      <c r="AG78" s="164"/>
      <c r="AH78" s="164"/>
    </row>
    <row r="79" spans="1:34" x14ac:dyDescent="0.25">
      <c r="A79" s="167">
        <v>1</v>
      </c>
      <c r="B79" s="167">
        <v>1985</v>
      </c>
      <c r="C79" s="167">
        <v>123.4</v>
      </c>
      <c r="D79" s="167">
        <v>100.8</v>
      </c>
      <c r="E79" s="167"/>
      <c r="F79" s="167"/>
      <c r="G79" s="167"/>
      <c r="H79" s="164"/>
      <c r="I79" s="172">
        <v>60.4</v>
      </c>
      <c r="J79" s="164">
        <v>1</v>
      </c>
      <c r="K79" s="164">
        <v>1985</v>
      </c>
      <c r="L79" s="173">
        <v>16918</v>
      </c>
      <c r="M79" s="172">
        <v>103.6</v>
      </c>
      <c r="N79" s="172">
        <f t="shared" si="0"/>
        <v>248.3655629139073</v>
      </c>
      <c r="O79" s="164"/>
      <c r="P79" s="164"/>
      <c r="Q79" s="164"/>
      <c r="R79" s="164"/>
      <c r="S79" s="164"/>
      <c r="T79" s="164"/>
      <c r="U79" s="164"/>
      <c r="V79" s="167"/>
      <c r="W79" s="167"/>
      <c r="X79" s="167"/>
      <c r="Y79" s="167"/>
      <c r="Z79" s="167"/>
      <c r="AA79" s="164"/>
      <c r="AB79" s="164"/>
      <c r="AC79" s="164"/>
      <c r="AD79" s="164"/>
      <c r="AE79" s="164"/>
      <c r="AF79" s="164"/>
      <c r="AG79" s="164"/>
      <c r="AH79" s="164"/>
    </row>
    <row r="80" spans="1:34" x14ac:dyDescent="0.25">
      <c r="A80" s="167">
        <v>2</v>
      </c>
      <c r="B80" s="167"/>
      <c r="C80" s="167">
        <v>102</v>
      </c>
      <c r="D80" s="167">
        <v>81.099999999999994</v>
      </c>
      <c r="E80" s="167"/>
      <c r="F80" s="167"/>
      <c r="G80" s="167"/>
      <c r="H80" s="164"/>
      <c r="I80" s="172">
        <v>61.5</v>
      </c>
      <c r="J80" s="164">
        <v>2</v>
      </c>
      <c r="K80" s="164"/>
      <c r="L80" s="173">
        <v>14237</v>
      </c>
      <c r="M80" s="172">
        <v>115.3</v>
      </c>
      <c r="N80" s="172">
        <f t="shared" si="0"/>
        <v>271.47056910569108</v>
      </c>
      <c r="O80" s="164"/>
      <c r="P80" s="164"/>
      <c r="Q80" s="164"/>
      <c r="R80" s="164"/>
      <c r="S80" s="164"/>
      <c r="T80" s="164"/>
      <c r="U80" s="164"/>
      <c r="V80" s="166" t="s">
        <v>163</v>
      </c>
      <c r="W80" s="167"/>
      <c r="X80" s="167"/>
      <c r="Y80" s="167"/>
      <c r="Z80" s="164"/>
      <c r="AA80" s="164"/>
      <c r="AB80" s="164"/>
      <c r="AC80" s="164"/>
      <c r="AD80" s="164"/>
      <c r="AE80" s="164"/>
      <c r="AF80" s="164"/>
      <c r="AG80" s="164"/>
      <c r="AH80" s="164"/>
    </row>
    <row r="81" spans="1:34" x14ac:dyDescent="0.25">
      <c r="A81" s="167">
        <v>3</v>
      </c>
      <c r="B81" s="167"/>
      <c r="C81" s="167">
        <v>108.4</v>
      </c>
      <c r="D81" s="167">
        <v>86</v>
      </c>
      <c r="E81" s="167"/>
      <c r="F81" s="167"/>
      <c r="G81" s="167"/>
      <c r="H81" s="164"/>
      <c r="I81" s="172">
        <v>62</v>
      </c>
      <c r="J81" s="164">
        <v>3</v>
      </c>
      <c r="K81" s="164"/>
      <c r="L81" s="173">
        <v>14329</v>
      </c>
      <c r="M81" s="172">
        <v>103</v>
      </c>
      <c r="N81" s="172">
        <f t="shared" si="0"/>
        <v>240.55483870967745</v>
      </c>
      <c r="O81" s="164"/>
      <c r="P81" s="164"/>
      <c r="Q81" s="164"/>
      <c r="R81" s="164"/>
      <c r="S81" s="164"/>
      <c r="T81" s="164"/>
      <c r="U81" s="164"/>
      <c r="V81" s="167"/>
      <c r="W81" s="167"/>
      <c r="X81" s="167"/>
      <c r="Y81" s="167"/>
      <c r="Z81" s="164"/>
      <c r="AA81" s="164"/>
      <c r="AB81" s="164"/>
      <c r="AC81" s="164"/>
      <c r="AD81" s="164"/>
      <c r="AE81" s="164"/>
      <c r="AF81" s="164"/>
      <c r="AG81" s="164"/>
      <c r="AH81" s="164"/>
    </row>
    <row r="82" spans="1:34" x14ac:dyDescent="0.25">
      <c r="A82" s="167">
        <v>4</v>
      </c>
      <c r="B82" s="167"/>
      <c r="C82" s="167">
        <v>109.6</v>
      </c>
      <c r="D82" s="167">
        <v>87.1</v>
      </c>
      <c r="E82" s="167"/>
      <c r="F82" s="167"/>
      <c r="G82" s="167"/>
      <c r="H82" s="164"/>
      <c r="I82" s="172">
        <v>63</v>
      </c>
      <c r="J82" s="164">
        <v>4</v>
      </c>
      <c r="K82" s="164"/>
      <c r="L82" s="173">
        <v>13060</v>
      </c>
      <c r="M82" s="172">
        <v>118.7</v>
      </c>
      <c r="N82" s="172">
        <f t="shared" si="0"/>
        <v>272.82158730158733</v>
      </c>
      <c r="O82" s="164"/>
      <c r="P82" s="164"/>
      <c r="Q82" s="164"/>
      <c r="R82" s="164"/>
      <c r="S82" s="164"/>
      <c r="T82" s="164"/>
      <c r="U82" s="164"/>
      <c r="V82" s="167"/>
      <c r="W82" s="171" t="str">
        <f>+'Tab4'!C6</f>
        <v>2014</v>
      </c>
      <c r="X82" s="171" t="str">
        <f>+'Tab4'!D6</f>
        <v>2015</v>
      </c>
      <c r="Y82" s="171" t="str">
        <f>+'Tab4'!E6</f>
        <v>2016</v>
      </c>
      <c r="Z82" s="164"/>
      <c r="AA82" s="164"/>
      <c r="AB82" s="164"/>
      <c r="AC82" s="164"/>
      <c r="AD82" s="164"/>
      <c r="AE82" s="164"/>
      <c r="AF82" s="164"/>
      <c r="AG82" s="164"/>
      <c r="AH82" s="164"/>
    </row>
    <row r="83" spans="1:34" x14ac:dyDescent="0.25">
      <c r="A83" s="167">
        <v>1</v>
      </c>
      <c r="B83" s="167">
        <v>1986</v>
      </c>
      <c r="C83" s="167">
        <v>141</v>
      </c>
      <c r="D83" s="167">
        <v>115.2</v>
      </c>
      <c r="E83" s="167"/>
      <c r="F83" s="167"/>
      <c r="G83" s="167"/>
      <c r="H83" s="164"/>
      <c r="I83" s="172">
        <v>64</v>
      </c>
      <c r="J83" s="164">
        <v>1</v>
      </c>
      <c r="K83" s="164">
        <v>1986</v>
      </c>
      <c r="L83" s="173">
        <v>14314</v>
      </c>
      <c r="M83" s="172">
        <v>111.8</v>
      </c>
      <c r="N83" s="172">
        <f t="shared" si="0"/>
        <v>252.94750000000002</v>
      </c>
      <c r="O83" s="164"/>
      <c r="P83" s="164"/>
      <c r="Q83" s="164"/>
      <c r="R83" s="164"/>
      <c r="S83" s="164"/>
      <c r="T83" s="164"/>
      <c r="U83" s="164"/>
      <c r="V83" s="167" t="s">
        <v>84</v>
      </c>
      <c r="W83" s="174">
        <f>IF('Tab4'!C14="",'Tab4'!C13,'Tab4'!C14)</f>
        <v>6807.4207896280004</v>
      </c>
      <c r="X83" s="174">
        <f>IF('Tab4'!D14="",'Tab4'!D13,'Tab4'!D14)</f>
        <v>6790.1078110569997</v>
      </c>
      <c r="Y83" s="174">
        <f>IF('Tab4'!E14="",'Tab4'!E13,'Tab4'!E14)</f>
        <v>7461.0390863120001</v>
      </c>
      <c r="Z83" s="164"/>
      <c r="AA83" s="164"/>
      <c r="AB83" s="164"/>
      <c r="AC83" s="164"/>
      <c r="AD83" s="164"/>
      <c r="AE83" s="164"/>
      <c r="AF83" s="164"/>
      <c r="AG83" s="164"/>
      <c r="AH83" s="164"/>
    </row>
    <row r="84" spans="1:34" x14ac:dyDescent="0.25">
      <c r="A84" s="167">
        <v>2</v>
      </c>
      <c r="B84" s="167"/>
      <c r="C84" s="167">
        <v>120.5</v>
      </c>
      <c r="D84" s="167">
        <v>93.2</v>
      </c>
      <c r="E84" s="167"/>
      <c r="F84" s="167"/>
      <c r="G84" s="167"/>
      <c r="H84" s="164"/>
      <c r="I84" s="172">
        <v>65</v>
      </c>
      <c r="J84" s="164">
        <v>2</v>
      </c>
      <c r="K84" s="164"/>
      <c r="L84" s="173">
        <v>13505</v>
      </c>
      <c r="M84" s="172">
        <v>121.5</v>
      </c>
      <c r="N84" s="172">
        <f t="shared" si="0"/>
        <v>270.66461538461539</v>
      </c>
      <c r="O84" s="164"/>
      <c r="P84" s="164"/>
      <c r="Q84" s="164"/>
      <c r="R84" s="164"/>
      <c r="S84" s="164"/>
      <c r="T84" s="164"/>
      <c r="U84" s="164"/>
      <c r="V84" s="167" t="s">
        <v>170</v>
      </c>
      <c r="W84" s="174">
        <f>IF('Tab4'!C16="",'Tab4'!C15,'Tab4'!C16)</f>
        <v>5057.4810805440002</v>
      </c>
      <c r="X84" s="174">
        <f>IF('Tab4'!D16="",'Tab4'!D15,'Tab4'!D16)</f>
        <v>5832.965228219</v>
      </c>
      <c r="Y84" s="174">
        <f>IF('Tab4'!E16="",'Tab4'!E15,'Tab4'!E16)</f>
        <v>5391.969568126</v>
      </c>
      <c r="Z84" s="164"/>
      <c r="AA84" s="164"/>
      <c r="AB84" s="164"/>
      <c r="AC84" s="164"/>
      <c r="AD84" s="164"/>
      <c r="AE84" s="164"/>
      <c r="AF84" s="164"/>
      <c r="AG84" s="164"/>
      <c r="AH84" s="164"/>
    </row>
    <row r="85" spans="1:34" x14ac:dyDescent="0.25">
      <c r="A85" s="167">
        <v>3</v>
      </c>
      <c r="B85" s="167"/>
      <c r="C85" s="167">
        <v>115.7</v>
      </c>
      <c r="D85" s="167">
        <v>91.1</v>
      </c>
      <c r="E85" s="167"/>
      <c r="F85" s="167"/>
      <c r="G85" s="167"/>
      <c r="H85" s="164"/>
      <c r="I85" s="172">
        <v>67</v>
      </c>
      <c r="J85" s="164">
        <v>3</v>
      </c>
      <c r="K85" s="164"/>
      <c r="L85" s="173">
        <v>12132</v>
      </c>
      <c r="M85" s="172">
        <v>100.8</v>
      </c>
      <c r="N85" s="172">
        <f t="shared" si="0"/>
        <v>217.84835820895523</v>
      </c>
      <c r="O85" s="164"/>
      <c r="P85" s="164"/>
      <c r="Q85" s="164"/>
      <c r="R85" s="164"/>
      <c r="S85" s="164"/>
      <c r="T85" s="164"/>
      <c r="U85" s="164"/>
      <c r="V85" s="167" t="s">
        <v>7</v>
      </c>
      <c r="W85" s="174">
        <f>IF('Tab4'!C18="",'Tab4'!C17,'Tab4'!C18)</f>
        <v>2434.703342413</v>
      </c>
      <c r="X85" s="174">
        <f>IF('Tab4'!D18="",'Tab4'!D17,'Tab4'!D18)</f>
        <v>2427.3984782100001</v>
      </c>
      <c r="Y85" s="174">
        <f>IF('Tab4'!E18="",'Tab4'!E17,'Tab4'!E18)</f>
        <v>1966.977229306</v>
      </c>
      <c r="Z85" s="164"/>
      <c r="AA85" s="164"/>
      <c r="AB85" s="164"/>
      <c r="AC85" s="164"/>
      <c r="AD85" s="164"/>
      <c r="AE85" s="164"/>
      <c r="AF85" s="164"/>
      <c r="AG85" s="164"/>
      <c r="AH85" s="164"/>
    </row>
    <row r="86" spans="1:34" x14ac:dyDescent="0.25">
      <c r="A86" s="167">
        <v>4</v>
      </c>
      <c r="B86" s="167"/>
      <c r="C86" s="167">
        <v>114.4</v>
      </c>
      <c r="D86" s="167">
        <v>90.8</v>
      </c>
      <c r="E86" s="167"/>
      <c r="F86" s="167"/>
      <c r="G86" s="167"/>
      <c r="H86" s="164"/>
      <c r="I86" s="172">
        <v>68.5</v>
      </c>
      <c r="J86" s="164">
        <v>4</v>
      </c>
      <c r="K86" s="164"/>
      <c r="L86" s="173">
        <v>11763</v>
      </c>
      <c r="M86" s="172">
        <v>120.6</v>
      </c>
      <c r="N86" s="172">
        <f t="shared" si="0"/>
        <v>254.93255474452556</v>
      </c>
      <c r="O86" s="164"/>
      <c r="P86" s="164"/>
      <c r="Q86" s="164"/>
      <c r="R86" s="164"/>
      <c r="S86" s="164"/>
      <c r="T86" s="164"/>
      <c r="U86" s="164"/>
      <c r="V86" s="164" t="s">
        <v>8</v>
      </c>
      <c r="W86" s="174">
        <f>IF('Tab4'!C20="",'Tab4'!C19,'Tab4'!C20)</f>
        <v>1700.2929333249999</v>
      </c>
      <c r="X86" s="174">
        <f>IF('Tab4'!D20="",'Tab4'!D19,'Tab4'!D20)</f>
        <v>1969.2178060450001</v>
      </c>
      <c r="Y86" s="174">
        <f>IF('Tab4'!E20="",'Tab4'!E19,'Tab4'!E20)</f>
        <v>1986.7947992970001</v>
      </c>
      <c r="Z86" s="164"/>
      <c r="AA86" s="164"/>
      <c r="AB86" s="164"/>
      <c r="AC86" s="164"/>
      <c r="AD86" s="164"/>
      <c r="AE86" s="164"/>
      <c r="AF86" s="164"/>
      <c r="AG86" s="164"/>
      <c r="AH86" s="164"/>
    </row>
    <row r="87" spans="1:34" x14ac:dyDescent="0.25">
      <c r="A87" s="167">
        <v>1</v>
      </c>
      <c r="B87" s="167">
        <v>1987</v>
      </c>
      <c r="C87" s="167">
        <v>152.19999999999999</v>
      </c>
      <c r="D87" s="167">
        <v>121.3</v>
      </c>
      <c r="E87" s="167"/>
      <c r="F87" s="167"/>
      <c r="G87" s="167"/>
      <c r="H87" s="164"/>
      <c r="I87" s="172">
        <v>70.5</v>
      </c>
      <c r="J87" s="164">
        <v>1</v>
      </c>
      <c r="K87" s="164">
        <v>1987</v>
      </c>
      <c r="L87" s="173">
        <v>17280</v>
      </c>
      <c r="M87" s="172">
        <v>135.6</v>
      </c>
      <c r="N87" s="172">
        <f t="shared" si="0"/>
        <v>278.50893617021279</v>
      </c>
      <c r="O87" s="164"/>
      <c r="P87" s="164"/>
      <c r="Q87" s="164"/>
      <c r="R87" s="164"/>
      <c r="S87" s="164"/>
      <c r="T87" s="164"/>
      <c r="U87" s="164"/>
      <c r="V87" s="167" t="s">
        <v>9</v>
      </c>
      <c r="W87" s="174">
        <f>IF('Tab4'!C20="",'Tab4'!C21,'Tab4'!C22)</f>
        <v>643.95455599599995</v>
      </c>
      <c r="X87" s="174">
        <f>IF('Tab4'!D20="",'Tab4'!D21,'Tab4'!D22)</f>
        <v>617.195755996</v>
      </c>
      <c r="Y87" s="174">
        <f>IF('Tab4'!E20="",'Tab4'!E21,'Tab4'!E22)</f>
        <v>507.423043302</v>
      </c>
      <c r="Z87" s="164"/>
      <c r="AA87" s="164"/>
      <c r="AB87" s="164"/>
      <c r="AC87" s="164"/>
      <c r="AD87" s="164"/>
      <c r="AE87" s="164"/>
      <c r="AF87" s="164"/>
      <c r="AG87" s="164"/>
      <c r="AH87" s="164"/>
    </row>
    <row r="88" spans="1:34" x14ac:dyDescent="0.25">
      <c r="A88" s="167">
        <v>2</v>
      </c>
      <c r="B88" s="167"/>
      <c r="C88" s="167">
        <v>109.2</v>
      </c>
      <c r="D88" s="167">
        <v>86.1</v>
      </c>
      <c r="E88" s="167"/>
      <c r="F88" s="167"/>
      <c r="G88" s="167"/>
      <c r="H88" s="164"/>
      <c r="I88" s="172">
        <v>71.599999999999994</v>
      </c>
      <c r="J88" s="164">
        <v>2</v>
      </c>
      <c r="K88" s="164"/>
      <c r="L88" s="173">
        <v>12241</v>
      </c>
      <c r="M88" s="172">
        <v>135.9</v>
      </c>
      <c r="N88" s="172">
        <f t="shared" si="0"/>
        <v>274.83687150837994</v>
      </c>
      <c r="O88" s="164"/>
      <c r="P88" s="164"/>
      <c r="Q88" s="164"/>
      <c r="R88" s="164"/>
      <c r="S88" s="164"/>
      <c r="T88" s="164"/>
      <c r="U88" s="164"/>
      <c r="V88" s="167" t="s">
        <v>10</v>
      </c>
      <c r="W88" s="174">
        <f>IF('Tab4'!C22="",'Tab4'!C29,'Tab4'!C30)</f>
        <v>1854.3190241750001</v>
      </c>
      <c r="X88" s="174">
        <f>IF('Tab4'!D22="",'Tab4'!D29,'Tab4'!D30)</f>
        <v>2002.9648543779999</v>
      </c>
      <c r="Y88" s="174">
        <f>IF('Tab4'!E22="",'Tab4'!E29,'Tab4'!E30)</f>
        <v>2043.508105676</v>
      </c>
      <c r="Z88" s="164"/>
      <c r="AA88" s="164"/>
      <c r="AB88" s="164"/>
      <c r="AC88" s="164"/>
      <c r="AD88" s="164"/>
      <c r="AE88" s="164"/>
      <c r="AF88" s="164"/>
      <c r="AG88" s="164"/>
      <c r="AH88" s="164"/>
    </row>
    <row r="89" spans="1:34" x14ac:dyDescent="0.25">
      <c r="A89" s="167">
        <v>3</v>
      </c>
      <c r="B89" s="167"/>
      <c r="C89" s="167">
        <v>110.1</v>
      </c>
      <c r="D89" s="167">
        <v>87.3</v>
      </c>
      <c r="E89" s="167"/>
      <c r="F89" s="167"/>
      <c r="G89" s="167"/>
      <c r="H89" s="164"/>
      <c r="I89" s="172">
        <v>72.3</v>
      </c>
      <c r="J89" s="164">
        <v>3</v>
      </c>
      <c r="K89" s="164"/>
      <c r="L89" s="173">
        <v>11506</v>
      </c>
      <c r="M89" s="172">
        <v>112.3</v>
      </c>
      <c r="N89" s="172">
        <f t="shared" si="0"/>
        <v>224.9106500691563</v>
      </c>
      <c r="O89" s="164"/>
      <c r="P89" s="164"/>
      <c r="Q89" s="164"/>
      <c r="R89" s="164"/>
      <c r="S89" s="164"/>
      <c r="T89" s="164"/>
      <c r="U89" s="164"/>
      <c r="V89" s="167" t="s">
        <v>11</v>
      </c>
      <c r="W89" s="174">
        <f>IF('Tab4'!C30="",'Tab4'!C31,'Tab4'!C32)</f>
        <v>477.56383193200003</v>
      </c>
      <c r="X89" s="174">
        <f>IF('Tab4'!D30="",'Tab4'!D31,'Tab4'!D32)</f>
        <v>470.83394949500001</v>
      </c>
      <c r="Y89" s="174">
        <f>IF('Tab4'!E30="",'Tab4'!E31,'Tab4'!E32)</f>
        <v>453.98179332199999</v>
      </c>
      <c r="Z89" s="164"/>
      <c r="AA89" s="164"/>
      <c r="AB89" s="164"/>
      <c r="AC89" s="164"/>
      <c r="AD89" s="164"/>
      <c r="AE89" s="164"/>
      <c r="AF89" s="164"/>
      <c r="AG89" s="164"/>
      <c r="AH89" s="164"/>
    </row>
    <row r="90" spans="1:34" x14ac:dyDescent="0.25">
      <c r="A90" s="167">
        <v>4</v>
      </c>
      <c r="B90" s="167"/>
      <c r="C90" s="167">
        <v>112</v>
      </c>
      <c r="D90" s="167">
        <v>89.8</v>
      </c>
      <c r="E90" s="167"/>
      <c r="F90" s="167"/>
      <c r="G90" s="167"/>
      <c r="H90" s="164"/>
      <c r="I90" s="172">
        <v>73.599999999999994</v>
      </c>
      <c r="J90" s="164">
        <v>4</v>
      </c>
      <c r="K90" s="164"/>
      <c r="L90" s="173">
        <v>12860</v>
      </c>
      <c r="M90" s="172">
        <v>134.5</v>
      </c>
      <c r="N90" s="172">
        <f t="shared" si="0"/>
        <v>264.61413043478262</v>
      </c>
      <c r="O90" s="164"/>
      <c r="P90" s="164"/>
      <c r="Q90" s="164"/>
      <c r="R90" s="164"/>
      <c r="S90" s="164"/>
      <c r="T90" s="164"/>
      <c r="U90" s="164"/>
      <c r="V90" s="167" t="s">
        <v>12</v>
      </c>
      <c r="W90" s="174">
        <f>IF('Tab4'!C32="",'Tab4'!C33,'Tab4'!C34)</f>
        <v>1175.4142453750001</v>
      </c>
      <c r="X90" s="174">
        <f>IF('Tab4'!D32="",'Tab4'!D33,'Tab4'!D34)</f>
        <v>1175.9397378880001</v>
      </c>
      <c r="Y90" s="174">
        <f>IF('Tab4'!E32="",'Tab4'!E33,'Tab4'!E34)</f>
        <v>1026.4393155570001</v>
      </c>
      <c r="Z90" s="164"/>
      <c r="AA90" s="164"/>
      <c r="AB90" s="164"/>
      <c r="AC90" s="164"/>
      <c r="AD90" s="164"/>
      <c r="AE90" s="164"/>
      <c r="AF90" s="164"/>
      <c r="AG90" s="164"/>
      <c r="AH90" s="164"/>
    </row>
    <row r="91" spans="1:34" x14ac:dyDescent="0.25">
      <c r="A91" s="167">
        <v>1</v>
      </c>
      <c r="B91" s="167">
        <v>1988</v>
      </c>
      <c r="C91" s="167">
        <v>134.1</v>
      </c>
      <c r="D91" s="167">
        <v>107.5</v>
      </c>
      <c r="E91" s="167"/>
      <c r="F91" s="167"/>
      <c r="G91" s="167"/>
      <c r="H91" s="164"/>
      <c r="I91" s="172">
        <v>75.2</v>
      </c>
      <c r="J91" s="164">
        <v>1</v>
      </c>
      <c r="K91" s="164">
        <v>1988</v>
      </c>
      <c r="L91" s="173">
        <v>10180</v>
      </c>
      <c r="M91" s="172">
        <v>130.80000000000001</v>
      </c>
      <c r="N91" s="172">
        <f t="shared" si="0"/>
        <v>251.85957446808516</v>
      </c>
      <c r="O91" s="164"/>
      <c r="P91" s="164"/>
      <c r="Q91" s="164"/>
      <c r="R91" s="164"/>
      <c r="S91" s="164"/>
      <c r="T91" s="164"/>
      <c r="U91" s="164"/>
      <c r="V91" s="167" t="s">
        <v>13</v>
      </c>
      <c r="W91" s="174">
        <f>IF('Tab4'!C34="",'Tab4'!C35,'Tab4'!C36)</f>
        <v>238.074885722</v>
      </c>
      <c r="X91" s="174">
        <f>IF('Tab4'!D34="",'Tab4'!D35,'Tab4'!D36)</f>
        <v>239.90116805900001</v>
      </c>
      <c r="Y91" s="174">
        <f>IF('Tab4'!E34="",'Tab4'!E35,'Tab4'!E36)</f>
        <v>144.28091435900001</v>
      </c>
      <c r="Z91" s="164"/>
      <c r="AA91" s="164"/>
      <c r="AB91" s="164"/>
      <c r="AC91" s="164"/>
      <c r="AD91" s="164"/>
      <c r="AE91" s="164"/>
      <c r="AF91" s="164"/>
      <c r="AG91" s="164"/>
      <c r="AH91" s="164"/>
    </row>
    <row r="92" spans="1:34" x14ac:dyDescent="0.25">
      <c r="A92" s="167">
        <v>2</v>
      </c>
      <c r="B92" s="167"/>
      <c r="C92" s="167">
        <v>113.7</v>
      </c>
      <c r="D92" s="167">
        <v>90</v>
      </c>
      <c r="E92" s="167"/>
      <c r="F92" s="167"/>
      <c r="G92" s="167"/>
      <c r="H92" s="164"/>
      <c r="I92" s="172">
        <v>76.7</v>
      </c>
      <c r="J92" s="164">
        <v>2</v>
      </c>
      <c r="K92" s="164"/>
      <c r="L92" s="173">
        <v>11081</v>
      </c>
      <c r="M92" s="172">
        <v>95.1</v>
      </c>
      <c r="N92" s="172">
        <f t="shared" si="0"/>
        <v>179.5368970013038</v>
      </c>
      <c r="O92" s="164"/>
      <c r="P92" s="164"/>
      <c r="Q92" s="164"/>
      <c r="R92" s="164"/>
      <c r="S92" s="164"/>
      <c r="T92" s="164"/>
      <c r="U92" s="164"/>
      <c r="V92" s="167" t="s">
        <v>14</v>
      </c>
      <c r="W92" s="174">
        <f>IF('Tab4'!C38="",'Tab4'!C37,'Tab4'!C38)</f>
        <v>880.461629109</v>
      </c>
      <c r="X92" s="174">
        <f>IF('Tab4'!D38="",'Tab4'!D37,'Tab4'!D38)</f>
        <v>910.87891344699995</v>
      </c>
      <c r="Y92" s="174">
        <f>IF('Tab4'!E38="",'Tab4'!E37,'Tab4'!E38)</f>
        <v>749.46103067699994</v>
      </c>
      <c r="Z92" s="164"/>
      <c r="AA92" s="164"/>
      <c r="AB92" s="164"/>
      <c r="AC92" s="164"/>
      <c r="AD92" s="164"/>
      <c r="AE92" s="164"/>
      <c r="AF92" s="164"/>
      <c r="AG92" s="164"/>
      <c r="AH92" s="164"/>
    </row>
    <row r="93" spans="1:34" x14ac:dyDescent="0.25">
      <c r="A93" s="167">
        <v>3</v>
      </c>
      <c r="B93" s="167"/>
      <c r="C93" s="167">
        <v>116.3</v>
      </c>
      <c r="D93" s="167">
        <v>93.1</v>
      </c>
      <c r="E93" s="167"/>
      <c r="F93" s="167"/>
      <c r="G93" s="167"/>
      <c r="H93" s="164"/>
      <c r="I93" s="172">
        <v>77</v>
      </c>
      <c r="J93" s="164">
        <v>3</v>
      </c>
      <c r="K93" s="164"/>
      <c r="L93" s="173">
        <v>15987</v>
      </c>
      <c r="M93" s="172">
        <v>148.69999999999999</v>
      </c>
      <c r="N93" s="172">
        <f t="shared" si="0"/>
        <v>279.63324675324674</v>
      </c>
      <c r="O93" s="164"/>
      <c r="P93" s="164"/>
      <c r="Q93" s="164"/>
      <c r="R93" s="164"/>
      <c r="S93" s="164"/>
      <c r="T93" s="164"/>
      <c r="U93" s="164"/>
      <c r="V93" s="167" t="s">
        <v>85</v>
      </c>
      <c r="W93" s="175">
        <f>SUM(W83:W92)</f>
        <v>21269.686318218999</v>
      </c>
      <c r="X93" s="175">
        <f>SUM(X83:X92)</f>
        <v>22437.403702793996</v>
      </c>
      <c r="Y93" s="175">
        <f>SUM(Y83:Y92)</f>
        <v>21731.874885933994</v>
      </c>
      <c r="Z93" s="164"/>
      <c r="AA93" s="164"/>
      <c r="AB93" s="164"/>
      <c r="AC93" s="164"/>
      <c r="AD93" s="164"/>
      <c r="AE93" s="164"/>
      <c r="AF93" s="164"/>
      <c r="AG93" s="164"/>
      <c r="AH93" s="164"/>
    </row>
    <row r="94" spans="1:34" x14ac:dyDescent="0.25">
      <c r="A94" s="167">
        <v>4</v>
      </c>
      <c r="B94" s="167"/>
      <c r="C94" s="167">
        <v>115.2</v>
      </c>
      <c r="D94" s="167">
        <v>93.4</v>
      </c>
      <c r="E94" s="167"/>
      <c r="F94" s="167"/>
      <c r="G94" s="167"/>
      <c r="H94" s="164"/>
      <c r="I94" s="172">
        <v>78.099999999999994</v>
      </c>
      <c r="J94" s="164">
        <v>4</v>
      </c>
      <c r="K94" s="164"/>
      <c r="L94" s="173">
        <v>12493</v>
      </c>
      <c r="M94" s="172">
        <v>199.8</v>
      </c>
      <c r="N94" s="172">
        <f t="shared" si="0"/>
        <v>370.43585147247131</v>
      </c>
      <c r="O94" s="164"/>
      <c r="P94" s="164"/>
      <c r="Q94" s="164"/>
      <c r="R94" s="164"/>
      <c r="S94" s="164"/>
      <c r="T94" s="164"/>
      <c r="U94" s="164"/>
      <c r="V94" s="167"/>
      <c r="W94" s="167"/>
      <c r="X94" s="167"/>
      <c r="Y94" s="167"/>
      <c r="Z94" s="164"/>
      <c r="AA94" s="164"/>
      <c r="AB94" s="164"/>
      <c r="AC94" s="164"/>
      <c r="AD94" s="164"/>
      <c r="AE94" s="164"/>
      <c r="AF94" s="164"/>
      <c r="AG94" s="164"/>
      <c r="AH94" s="164"/>
    </row>
    <row r="95" spans="1:34" x14ac:dyDescent="0.25">
      <c r="A95" s="167">
        <v>1</v>
      </c>
      <c r="B95" s="167">
        <v>1989</v>
      </c>
      <c r="C95" s="167">
        <v>106.6</v>
      </c>
      <c r="D95" s="167">
        <v>86.4</v>
      </c>
      <c r="E95" s="167"/>
      <c r="F95" s="167"/>
      <c r="G95" s="167"/>
      <c r="H95" s="164"/>
      <c r="I95" s="172">
        <v>78.900000000000006</v>
      </c>
      <c r="J95" s="164">
        <v>1</v>
      </c>
      <c r="K95" s="164">
        <v>1989</v>
      </c>
      <c r="L95" s="173">
        <v>10988</v>
      </c>
      <c r="M95" s="172">
        <v>142.6</v>
      </c>
      <c r="N95" s="172">
        <f t="shared" si="0"/>
        <v>261.70443599493029</v>
      </c>
      <c r="O95" s="164"/>
      <c r="P95" s="164"/>
      <c r="Q95" s="164"/>
      <c r="R95" s="164"/>
      <c r="S95" s="164"/>
      <c r="T95" s="164"/>
      <c r="U95" s="164"/>
      <c r="V95" s="167" t="s">
        <v>171</v>
      </c>
      <c r="W95" s="176">
        <f>+W93+X72</f>
        <v>33893.662017315997</v>
      </c>
      <c r="X95" s="176">
        <f>+X93+Y72</f>
        <v>34394.158838506992</v>
      </c>
      <c r="Y95" s="176">
        <f>+Y93+Z72</f>
        <v>34487.62932235199</v>
      </c>
      <c r="Z95" s="164"/>
      <c r="AA95" s="164"/>
      <c r="AB95" s="164"/>
      <c r="AC95" s="164"/>
      <c r="AD95" s="164"/>
      <c r="AE95" s="164"/>
      <c r="AF95" s="164"/>
      <c r="AG95" s="164"/>
      <c r="AH95" s="164"/>
    </row>
    <row r="96" spans="1:34" x14ac:dyDescent="0.25">
      <c r="A96" s="167">
        <v>2</v>
      </c>
      <c r="B96" s="167"/>
      <c r="C96" s="167">
        <v>98</v>
      </c>
      <c r="D96" s="167">
        <v>79.599999999999994</v>
      </c>
      <c r="E96" s="167"/>
      <c r="F96" s="167"/>
      <c r="G96" s="167"/>
      <c r="H96" s="164"/>
      <c r="I96" s="172">
        <v>80.3</v>
      </c>
      <c r="J96" s="164">
        <v>2</v>
      </c>
      <c r="K96" s="164"/>
      <c r="L96" s="173">
        <v>10292</v>
      </c>
      <c r="M96" s="172">
        <v>117.3</v>
      </c>
      <c r="N96" s="172">
        <f t="shared" si="0"/>
        <v>211.51980074719805</v>
      </c>
      <c r="O96" s="164"/>
      <c r="P96" s="164"/>
      <c r="Q96" s="164"/>
      <c r="R96" s="164"/>
      <c r="S96" s="164"/>
      <c r="T96" s="164"/>
      <c r="U96" s="164"/>
      <c r="V96" s="164"/>
      <c r="W96" s="164"/>
      <c r="X96" s="164"/>
      <c r="Y96" s="164"/>
      <c r="Z96" s="164"/>
      <c r="AA96" s="164"/>
      <c r="AB96" s="164"/>
      <c r="AC96" s="164"/>
      <c r="AD96" s="164"/>
      <c r="AE96" s="164"/>
      <c r="AF96" s="164"/>
      <c r="AG96" s="164"/>
      <c r="AH96" s="164"/>
    </row>
    <row r="97" spans="1:34" x14ac:dyDescent="0.25">
      <c r="A97" s="167">
        <v>3</v>
      </c>
      <c r="B97" s="167"/>
      <c r="C97" s="167">
        <v>96.9</v>
      </c>
      <c r="D97" s="167">
        <v>79</v>
      </c>
      <c r="E97" s="167"/>
      <c r="F97" s="167"/>
      <c r="G97" s="167"/>
      <c r="H97" s="164"/>
      <c r="I97" s="172">
        <v>80.599999999999994</v>
      </c>
      <c r="J97" s="164">
        <v>3</v>
      </c>
      <c r="K97" s="164"/>
      <c r="L97" s="173">
        <v>11352</v>
      </c>
      <c r="M97" s="172">
        <v>103.6</v>
      </c>
      <c r="N97" s="172">
        <f t="shared" si="0"/>
        <v>186.12009925558314</v>
      </c>
      <c r="O97" s="164"/>
      <c r="P97" s="164"/>
      <c r="Q97" s="164"/>
      <c r="R97" s="164"/>
      <c r="S97" s="164"/>
      <c r="T97" s="164"/>
      <c r="U97" s="164"/>
      <c r="V97" s="164"/>
      <c r="W97" s="164"/>
      <c r="X97" s="164"/>
      <c r="Y97" s="167"/>
      <c r="Z97" s="164"/>
      <c r="AA97" s="164"/>
      <c r="AB97" s="164"/>
      <c r="AC97" s="164"/>
      <c r="AD97" s="164"/>
      <c r="AE97" s="164"/>
      <c r="AF97" s="164"/>
      <c r="AG97" s="164"/>
      <c r="AH97" s="164"/>
    </row>
    <row r="98" spans="1:34" x14ac:dyDescent="0.25">
      <c r="A98" s="167">
        <v>4</v>
      </c>
      <c r="B98" s="167"/>
      <c r="C98" s="167">
        <v>93.4</v>
      </c>
      <c r="D98" s="167">
        <v>76.8</v>
      </c>
      <c r="E98" s="167"/>
      <c r="F98" s="167"/>
      <c r="G98" s="167"/>
      <c r="H98" s="164"/>
      <c r="I98" s="172">
        <v>81.400000000000006</v>
      </c>
      <c r="J98" s="164">
        <v>4</v>
      </c>
      <c r="K98" s="164"/>
      <c r="L98" s="173">
        <v>11958</v>
      </c>
      <c r="M98" s="172">
        <v>132</v>
      </c>
      <c r="N98" s="172">
        <f t="shared" si="0"/>
        <v>234.81081081081081</v>
      </c>
      <c r="O98" s="164"/>
      <c r="P98" s="164"/>
      <c r="Q98" s="164"/>
      <c r="R98" s="164"/>
      <c r="S98" s="164"/>
      <c r="T98" s="164"/>
      <c r="U98" s="164"/>
      <c r="V98" s="166" t="s">
        <v>186</v>
      </c>
      <c r="W98" s="167"/>
      <c r="X98" s="167"/>
      <c r="Y98" s="167"/>
      <c r="Z98" s="164"/>
      <c r="AA98" s="164"/>
      <c r="AB98" s="164"/>
      <c r="AC98" s="164"/>
      <c r="AD98" s="164"/>
      <c r="AE98" s="164"/>
      <c r="AF98" s="164"/>
      <c r="AG98" s="164"/>
      <c r="AH98" s="164"/>
    </row>
    <row r="99" spans="1:34" x14ac:dyDescent="0.25">
      <c r="A99" s="167">
        <v>1</v>
      </c>
      <c r="B99" s="167">
        <v>1990</v>
      </c>
      <c r="C99" s="167">
        <v>99.4</v>
      </c>
      <c r="D99" s="167">
        <v>81.3</v>
      </c>
      <c r="E99" s="167"/>
      <c r="F99" s="167"/>
      <c r="G99" s="167"/>
      <c r="H99" s="164"/>
      <c r="I99" s="172">
        <v>82.3</v>
      </c>
      <c r="J99" s="164">
        <v>1</v>
      </c>
      <c r="K99" s="164">
        <v>1990</v>
      </c>
      <c r="L99" s="173">
        <v>13741</v>
      </c>
      <c r="M99" s="172">
        <v>142.9</v>
      </c>
      <c r="N99" s="172">
        <f t="shared" si="0"/>
        <v>251.42065613608753</v>
      </c>
      <c r="O99" s="164"/>
      <c r="P99" s="164"/>
      <c r="Q99" s="164"/>
      <c r="R99" s="164"/>
      <c r="S99" s="164"/>
      <c r="T99" s="164"/>
      <c r="U99" s="164"/>
      <c r="V99" s="167"/>
      <c r="W99" s="164"/>
      <c r="X99" s="167"/>
      <c r="Y99" s="167"/>
      <c r="Z99" s="164"/>
      <c r="AA99" s="164"/>
      <c r="AB99" s="164"/>
      <c r="AC99" s="164"/>
      <c r="AD99" s="164"/>
      <c r="AE99" s="164"/>
      <c r="AF99" s="164"/>
      <c r="AG99" s="164"/>
      <c r="AH99" s="164"/>
    </row>
    <row r="100" spans="1:34" x14ac:dyDescent="0.25">
      <c r="A100" s="167">
        <v>2</v>
      </c>
      <c r="B100" s="167"/>
      <c r="C100" s="167">
        <v>88.6</v>
      </c>
      <c r="D100" s="167">
        <v>73.099999999999994</v>
      </c>
      <c r="E100" s="167"/>
      <c r="F100" s="167"/>
      <c r="G100" s="167"/>
      <c r="H100" s="164"/>
      <c r="I100" s="172">
        <v>83.4</v>
      </c>
      <c r="J100" s="164">
        <v>2</v>
      </c>
      <c r="K100" s="164"/>
      <c r="L100" s="173">
        <v>10045</v>
      </c>
      <c r="M100" s="172">
        <v>116.5</v>
      </c>
      <c r="N100" s="172">
        <f t="shared" si="0"/>
        <v>202.2685851318945</v>
      </c>
      <c r="O100" s="164"/>
      <c r="P100" s="164"/>
      <c r="Q100" s="164"/>
      <c r="R100" s="164"/>
      <c r="S100" s="164"/>
      <c r="T100" s="164"/>
      <c r="U100" s="164"/>
      <c r="V100" s="167"/>
      <c r="W100" s="171" t="str">
        <f>+W82</f>
        <v>2014</v>
      </c>
      <c r="X100" s="171" t="str">
        <f>+X82</f>
        <v>2015</v>
      </c>
      <c r="Y100" s="171" t="str">
        <f>+Y82</f>
        <v>2016</v>
      </c>
      <c r="Z100" s="164"/>
      <c r="AA100" s="164"/>
      <c r="AB100" s="164"/>
      <c r="AC100" s="164"/>
      <c r="AD100" s="164"/>
      <c r="AE100" s="164"/>
      <c r="AF100" s="164"/>
      <c r="AG100" s="164"/>
      <c r="AH100" s="164"/>
    </row>
    <row r="101" spans="1:34" x14ac:dyDescent="0.25">
      <c r="A101" s="167">
        <v>3</v>
      </c>
      <c r="B101" s="167"/>
      <c r="C101" s="167">
        <v>88.2</v>
      </c>
      <c r="D101" s="167">
        <v>72.5</v>
      </c>
      <c r="E101" s="167"/>
      <c r="F101" s="167"/>
      <c r="G101" s="167"/>
      <c r="H101" s="164"/>
      <c r="I101" s="172">
        <v>83.7</v>
      </c>
      <c r="J101" s="164">
        <v>3</v>
      </c>
      <c r="K101" s="164"/>
      <c r="L101" s="173">
        <v>10870</v>
      </c>
      <c r="M101" s="172">
        <v>101.4</v>
      </c>
      <c r="N101" s="172">
        <f t="shared" si="0"/>
        <v>175.42078853046598</v>
      </c>
      <c r="O101" s="164"/>
      <c r="P101" s="164"/>
      <c r="Q101" s="164"/>
      <c r="R101" s="164"/>
      <c r="S101" s="164"/>
      <c r="T101" s="164"/>
      <c r="U101" s="164"/>
      <c r="V101" s="167" t="s">
        <v>18</v>
      </c>
      <c r="W101" s="177">
        <f>IF('Tab7'!C10="",+'Tab7'!C9+'Tab11'!C9,+'Tab7'!C10+'Tab11'!C10)</f>
        <v>46530</v>
      </c>
      <c r="X101" s="177">
        <f>IF('Tab7'!D10="",+'Tab7'!D9+'Tab11'!D9,+'Tab7'!D10+'Tab11'!D10)</f>
        <v>31084.431800000002</v>
      </c>
      <c r="Y101" s="177">
        <f>IF('Tab7'!E10="",+'Tab7'!E9+'Tab11'!E9,+'Tab7'!E10+'Tab11'!E10)</f>
        <v>28310.174221493999</v>
      </c>
      <c r="Z101" s="164"/>
      <c r="AA101" s="164"/>
      <c r="AB101" s="164"/>
      <c r="AC101" s="164"/>
      <c r="AD101" s="164"/>
      <c r="AE101" s="164"/>
      <c r="AF101" s="164"/>
      <c r="AG101" s="164"/>
      <c r="AH101" s="164"/>
    </row>
    <row r="102" spans="1:34" x14ac:dyDescent="0.25">
      <c r="A102" s="167">
        <v>4</v>
      </c>
      <c r="B102" s="167"/>
      <c r="C102" s="167">
        <v>84.8</v>
      </c>
      <c r="D102" s="167">
        <v>70.2</v>
      </c>
      <c r="E102" s="167"/>
      <c r="F102" s="167"/>
      <c r="G102" s="167"/>
      <c r="H102" s="164"/>
      <c r="I102" s="172">
        <v>85.1</v>
      </c>
      <c r="J102" s="164">
        <v>4</v>
      </c>
      <c r="K102" s="164"/>
      <c r="L102" s="173">
        <v>11076</v>
      </c>
      <c r="M102" s="172">
        <v>120</v>
      </c>
      <c r="N102" s="172">
        <f t="shared" si="0"/>
        <v>204.18331374853116</v>
      </c>
      <c r="O102" s="164"/>
      <c r="P102" s="164"/>
      <c r="Q102" s="164"/>
      <c r="R102" s="164"/>
      <c r="S102" s="164"/>
      <c r="T102" s="164"/>
      <c r="U102" s="164"/>
      <c r="V102" s="167" t="s">
        <v>86</v>
      </c>
      <c r="W102" s="177">
        <f>IF('Tab7'!C12="",+'Tab7'!C11+'Tab11'!C11,+'Tab7'!C12+'Tab11'!C12)</f>
        <v>78404</v>
      </c>
      <c r="X102" s="177">
        <f>IF('Tab7'!D12="",+'Tab7'!D11+'Tab11'!D11,+'Tab7'!D12+'Tab11'!D12)</f>
        <v>75724.328727273009</v>
      </c>
      <c r="Y102" s="177">
        <f>IF('Tab7'!E12="",+'Tab7'!E11+'Tab11'!E11,+'Tab7'!E12+'Tab11'!E12)</f>
        <v>83401.904944901995</v>
      </c>
      <c r="Z102" s="164"/>
      <c r="AA102" s="164"/>
      <c r="AB102" s="164"/>
      <c r="AC102" s="164"/>
      <c r="AD102" s="164"/>
      <c r="AE102" s="164"/>
      <c r="AF102" s="164"/>
      <c r="AG102" s="164"/>
      <c r="AH102" s="164"/>
    </row>
    <row r="103" spans="1:34" x14ac:dyDescent="0.25">
      <c r="A103" s="167">
        <v>1</v>
      </c>
      <c r="B103" s="167">
        <v>1991</v>
      </c>
      <c r="C103" s="167">
        <v>97.5</v>
      </c>
      <c r="D103" s="167">
        <v>82.4</v>
      </c>
      <c r="E103" s="167"/>
      <c r="F103" s="167"/>
      <c r="G103" s="167"/>
      <c r="H103" s="164"/>
      <c r="I103" s="172">
        <v>85.5</v>
      </c>
      <c r="J103" s="164">
        <v>1</v>
      </c>
      <c r="K103" s="164">
        <v>1991</v>
      </c>
      <c r="L103" s="173">
        <v>10172</v>
      </c>
      <c r="M103" s="172">
        <v>130.10000000000002</v>
      </c>
      <c r="N103" s="172">
        <f t="shared" ref="N103:N106" si="1">M103/I103*$I$69</f>
        <v>220.33309941520471</v>
      </c>
      <c r="O103" s="173">
        <v>6727</v>
      </c>
      <c r="P103" s="172">
        <v>376.9</v>
      </c>
      <c r="Q103" s="172">
        <f>P103/I103*$I$69</f>
        <v>638.30549707602336</v>
      </c>
      <c r="R103" s="173">
        <v>9077</v>
      </c>
      <c r="S103" s="172">
        <v>139.9</v>
      </c>
      <c r="T103" s="172">
        <f>S103/I103*$I$69</f>
        <v>236.93005847953219</v>
      </c>
      <c r="U103" s="164"/>
      <c r="V103" s="167" t="s">
        <v>63</v>
      </c>
      <c r="W103" s="177">
        <f>IF('Tab7'!C14="",+'Tab7'!C13+'Tab11'!C13,+'Tab7'!C14+'Tab11'!C14)</f>
        <v>40957</v>
      </c>
      <c r="X103" s="177">
        <f>IF('Tab7'!D14="",+'Tab7'!D13+'Tab11'!D13,+'Tab7'!D14+'Tab11'!D14)</f>
        <v>36932.783571429005</v>
      </c>
      <c r="Y103" s="177">
        <f>IF('Tab7'!E14="",+'Tab7'!E13+'Tab11'!E13,+'Tab7'!E14+'Tab11'!E14)</f>
        <v>34730.615164604998</v>
      </c>
      <c r="Z103" s="164"/>
      <c r="AA103" s="164"/>
      <c r="AB103" s="164"/>
      <c r="AC103" s="164"/>
      <c r="AD103" s="164"/>
      <c r="AE103" s="164"/>
      <c r="AF103" s="164"/>
      <c r="AG103" s="164"/>
      <c r="AH103" s="164"/>
    </row>
    <row r="104" spans="1:34" x14ac:dyDescent="0.25">
      <c r="A104" s="167">
        <v>2</v>
      </c>
      <c r="B104" s="167"/>
      <c r="C104" s="167">
        <v>93.9</v>
      </c>
      <c r="D104" s="167">
        <v>78</v>
      </c>
      <c r="E104" s="167"/>
      <c r="F104" s="167"/>
      <c r="G104" s="167"/>
      <c r="H104" s="164"/>
      <c r="I104" s="172">
        <v>86.6</v>
      </c>
      <c r="J104" s="164">
        <v>2</v>
      </c>
      <c r="K104" s="164"/>
      <c r="L104" s="173">
        <v>10188</v>
      </c>
      <c r="M104" s="172">
        <v>126.69999999999993</v>
      </c>
      <c r="N104" s="172">
        <f t="shared" si="1"/>
        <v>211.84942263279439</v>
      </c>
      <c r="O104" s="173">
        <v>5864</v>
      </c>
      <c r="P104" s="172">
        <v>369.29999999999995</v>
      </c>
      <c r="Q104" s="172">
        <f t="shared" ref="Q104:Q167" si="2">P104/I104*$I$69</f>
        <v>617.4900692840647</v>
      </c>
      <c r="R104" s="173">
        <v>12525</v>
      </c>
      <c r="S104" s="172">
        <v>176.29999999999998</v>
      </c>
      <c r="T104" s="172">
        <f t="shared" ref="T104:T167" si="3">S104/I104*$I$69</f>
        <v>294.78337182448041</v>
      </c>
      <c r="U104" s="164"/>
      <c r="V104" s="167" t="s">
        <v>14</v>
      </c>
      <c r="W104" s="178">
        <f>+W106-SUM(W101:W103)</f>
        <v>176904</v>
      </c>
      <c r="X104" s="178">
        <f>+X106-SUM(X101:X103)</f>
        <v>205070.169595238</v>
      </c>
      <c r="Y104" s="178">
        <f>+Y106-SUM(Y101:Y103)</f>
        <v>228188.29312105101</v>
      </c>
      <c r="Z104" s="164"/>
      <c r="AA104" s="164"/>
      <c r="AB104" s="164"/>
      <c r="AC104" s="164"/>
      <c r="AD104" s="164"/>
      <c r="AE104" s="164"/>
      <c r="AF104" s="164"/>
      <c r="AG104" s="164"/>
      <c r="AH104" s="164"/>
    </row>
    <row r="105" spans="1:34" x14ac:dyDescent="0.25">
      <c r="A105" s="167">
        <v>3</v>
      </c>
      <c r="B105" s="167"/>
      <c r="C105" s="167">
        <v>90.2</v>
      </c>
      <c r="D105" s="167">
        <v>76.099999999999994</v>
      </c>
      <c r="E105" s="167"/>
      <c r="F105" s="167"/>
      <c r="G105" s="167"/>
      <c r="H105" s="164"/>
      <c r="I105" s="172">
        <v>86.6</v>
      </c>
      <c r="J105" s="164">
        <v>3</v>
      </c>
      <c r="K105" s="164"/>
      <c r="L105" s="173">
        <v>10621</v>
      </c>
      <c r="M105" s="172">
        <v>132.60000000000002</v>
      </c>
      <c r="N105" s="172">
        <f t="shared" si="1"/>
        <v>221.71454965357972</v>
      </c>
      <c r="O105" s="173">
        <v>7951</v>
      </c>
      <c r="P105" s="172">
        <v>430.9</v>
      </c>
      <c r="Q105" s="172">
        <f t="shared" si="2"/>
        <v>720.4886836027714</v>
      </c>
      <c r="R105" s="173">
        <v>14126</v>
      </c>
      <c r="S105" s="172">
        <v>204.90000000000003</v>
      </c>
      <c r="T105" s="172">
        <f t="shared" si="3"/>
        <v>342.60415704387998</v>
      </c>
      <c r="U105" s="164"/>
      <c r="V105" s="167"/>
      <c r="W105" s="167"/>
      <c r="X105" s="167"/>
      <c r="Y105" s="167"/>
      <c r="Z105" s="164"/>
      <c r="AA105" s="164"/>
      <c r="AB105" s="164"/>
      <c r="AC105" s="164"/>
      <c r="AD105" s="164"/>
      <c r="AE105" s="164"/>
      <c r="AF105" s="164"/>
      <c r="AG105" s="164"/>
      <c r="AH105" s="164"/>
    </row>
    <row r="106" spans="1:34" x14ac:dyDescent="0.25">
      <c r="A106" s="167">
        <v>4</v>
      </c>
      <c r="B106" s="167"/>
      <c r="C106" s="167">
        <v>92.6</v>
      </c>
      <c r="D106" s="167">
        <v>78.099999999999994</v>
      </c>
      <c r="E106" s="167"/>
      <c r="F106" s="167"/>
      <c r="G106" s="167"/>
      <c r="H106" s="164"/>
      <c r="I106" s="172">
        <v>87.3</v>
      </c>
      <c r="J106" s="164">
        <v>4</v>
      </c>
      <c r="K106" s="164"/>
      <c r="L106" s="173">
        <v>11640</v>
      </c>
      <c r="M106" s="172">
        <v>138.20000000000005</v>
      </c>
      <c r="N106" s="172">
        <f t="shared" si="1"/>
        <v>229.22520045819024</v>
      </c>
      <c r="O106" s="173">
        <v>13048</v>
      </c>
      <c r="P106" s="172">
        <v>427.00000000000023</v>
      </c>
      <c r="Q106" s="172">
        <f t="shared" si="2"/>
        <v>708.24284077892378</v>
      </c>
      <c r="R106" s="173">
        <v>13048</v>
      </c>
      <c r="S106" s="172">
        <v>185</v>
      </c>
      <c r="T106" s="172">
        <f t="shared" si="3"/>
        <v>306.8499427262314</v>
      </c>
      <c r="U106" s="164"/>
      <c r="V106" s="167" t="s">
        <v>87</v>
      </c>
      <c r="W106" s="177">
        <f>IF('Tab7'!C8="",+'Tab7'!C7+'Tab11'!C7,+'Tab7'!C8+'Tab11'!C8)</f>
        <v>342795</v>
      </c>
      <c r="X106" s="177">
        <f>IF('Tab7'!D8="",+'Tab7'!D7+'Tab11'!D7,+'Tab7'!D8+'Tab11'!D8)</f>
        <v>348811.71369394002</v>
      </c>
      <c r="Y106" s="177">
        <f>IF('Tab7'!E8="",+'Tab7'!E7+'Tab11'!E7,+'Tab7'!E8+'Tab11'!E8)</f>
        <v>374630.98745205201</v>
      </c>
      <c r="Z106" s="164"/>
      <c r="AA106" s="164"/>
      <c r="AB106" s="164"/>
      <c r="AC106" s="164"/>
      <c r="AD106" s="164"/>
      <c r="AE106" s="164"/>
      <c r="AF106" s="164"/>
      <c r="AG106" s="164"/>
      <c r="AH106" s="164"/>
    </row>
    <row r="107" spans="1:34" x14ac:dyDescent="0.25">
      <c r="A107" s="167">
        <v>1</v>
      </c>
      <c r="B107" s="167">
        <v>1992</v>
      </c>
      <c r="C107" s="167">
        <v>102</v>
      </c>
      <c r="D107" s="167">
        <v>87.1</v>
      </c>
      <c r="E107" s="167"/>
      <c r="F107" s="167"/>
      <c r="G107" s="167"/>
      <c r="H107" s="164"/>
      <c r="I107" s="172">
        <v>87.5</v>
      </c>
      <c r="J107" s="164">
        <v>1</v>
      </c>
      <c r="K107" s="164">
        <v>1992</v>
      </c>
      <c r="L107" s="173">
        <v>10520</v>
      </c>
      <c r="M107" s="172">
        <v>129.4</v>
      </c>
      <c r="N107" s="172">
        <f>M107/I107*$I$69</f>
        <v>214.13851428571431</v>
      </c>
      <c r="O107" s="173">
        <v>6509</v>
      </c>
      <c r="P107" s="172">
        <v>409.5</v>
      </c>
      <c r="Q107" s="172">
        <f t="shared" si="2"/>
        <v>677.66399999999999</v>
      </c>
      <c r="R107" s="173">
        <v>11030</v>
      </c>
      <c r="S107" s="172">
        <v>180.5</v>
      </c>
      <c r="T107" s="172">
        <f t="shared" si="3"/>
        <v>298.70171428571427</v>
      </c>
      <c r="U107" s="164"/>
      <c r="V107" s="164"/>
      <c r="W107" s="164"/>
      <c r="X107" s="164"/>
      <c r="Y107" s="164"/>
      <c r="Z107" s="164"/>
      <c r="AA107" s="164"/>
      <c r="AB107" s="164"/>
      <c r="AC107" s="164"/>
      <c r="AD107" s="164"/>
      <c r="AE107" s="164"/>
      <c r="AF107" s="164"/>
      <c r="AG107" s="164"/>
      <c r="AH107" s="164"/>
    </row>
    <row r="108" spans="1:34" x14ac:dyDescent="0.25">
      <c r="A108" s="167">
        <v>2</v>
      </c>
      <c r="B108" s="167"/>
      <c r="C108" s="167">
        <v>92.2</v>
      </c>
      <c r="D108" s="167">
        <v>78.900000000000006</v>
      </c>
      <c r="E108" s="167"/>
      <c r="F108" s="167"/>
      <c r="G108" s="167"/>
      <c r="H108" s="164"/>
      <c r="I108" s="172">
        <v>88.6</v>
      </c>
      <c r="J108" s="164">
        <v>2</v>
      </c>
      <c r="K108" s="164"/>
      <c r="L108" s="173">
        <v>10661</v>
      </c>
      <c r="M108" s="172">
        <v>112.9</v>
      </c>
      <c r="N108" s="172">
        <f t="shared" ref="N108:N171" si="4">M108/I108*$I$69</f>
        <v>184.51376975169305</v>
      </c>
      <c r="O108" s="173">
        <v>5632</v>
      </c>
      <c r="P108" s="172">
        <v>412</v>
      </c>
      <c r="Q108" s="172">
        <f t="shared" si="2"/>
        <v>673.33634311512424</v>
      </c>
      <c r="R108" s="173">
        <v>13252</v>
      </c>
      <c r="S108" s="172">
        <v>167</v>
      </c>
      <c r="T108" s="172">
        <f t="shared" si="3"/>
        <v>272.93002257336349</v>
      </c>
      <c r="U108" s="164"/>
      <c r="V108" s="164"/>
      <c r="W108" s="164"/>
      <c r="X108" s="164"/>
      <c r="Y108" s="164"/>
      <c r="Z108" s="164"/>
      <c r="AA108" s="164"/>
      <c r="AB108" s="164"/>
      <c r="AC108" s="164"/>
      <c r="AD108" s="164"/>
      <c r="AE108" s="164"/>
      <c r="AF108" s="164"/>
      <c r="AG108" s="164"/>
      <c r="AH108" s="164"/>
    </row>
    <row r="109" spans="1:34" x14ac:dyDescent="0.25">
      <c r="A109" s="167">
        <v>3</v>
      </c>
      <c r="B109" s="167"/>
      <c r="C109" s="167">
        <v>93.3</v>
      </c>
      <c r="D109" s="167">
        <v>79.900000000000006</v>
      </c>
      <c r="E109" s="167"/>
      <c r="F109" s="167"/>
      <c r="G109" s="167"/>
      <c r="H109" s="164"/>
      <c r="I109" s="172">
        <v>88.7</v>
      </c>
      <c r="J109" s="164">
        <v>3</v>
      </c>
      <c r="K109" s="164"/>
      <c r="L109" s="173">
        <v>11590</v>
      </c>
      <c r="M109" s="172">
        <v>130.59999999999997</v>
      </c>
      <c r="N109" s="172">
        <f t="shared" si="4"/>
        <v>213.2004509582863</v>
      </c>
      <c r="O109" s="173">
        <v>8642</v>
      </c>
      <c r="P109" s="172">
        <v>440.40000000000009</v>
      </c>
      <c r="Q109" s="172">
        <f t="shared" si="2"/>
        <v>718.93934611048496</v>
      </c>
      <c r="R109" s="173">
        <v>15450</v>
      </c>
      <c r="S109" s="172">
        <v>219.10000000000002</v>
      </c>
      <c r="T109" s="172">
        <f t="shared" si="3"/>
        <v>357.67395715896282</v>
      </c>
      <c r="U109" s="164"/>
      <c r="V109" s="166" t="s">
        <v>187</v>
      </c>
      <c r="W109" s="167"/>
      <c r="X109" s="167"/>
      <c r="Y109" s="167"/>
      <c r="Z109" s="164"/>
      <c r="AA109" s="164"/>
      <c r="AB109" s="164"/>
      <c r="AC109" s="164"/>
      <c r="AD109" s="164"/>
      <c r="AE109" s="164"/>
      <c r="AF109" s="164"/>
      <c r="AG109" s="164"/>
      <c r="AH109" s="164"/>
    </row>
    <row r="110" spans="1:34" x14ac:dyDescent="0.25">
      <c r="A110" s="167">
        <v>4</v>
      </c>
      <c r="B110" s="167"/>
      <c r="C110" s="167">
        <v>90.8</v>
      </c>
      <c r="D110" s="167">
        <v>77.599999999999994</v>
      </c>
      <c r="E110" s="167"/>
      <c r="F110" s="167"/>
      <c r="G110" s="167"/>
      <c r="H110" s="164"/>
      <c r="I110" s="172">
        <v>89.3</v>
      </c>
      <c r="J110" s="164">
        <v>4</v>
      </c>
      <c r="K110" s="164"/>
      <c r="L110" s="173">
        <v>11917</v>
      </c>
      <c r="M110" s="172">
        <v>108.50000000000006</v>
      </c>
      <c r="N110" s="172">
        <f t="shared" si="4"/>
        <v>175.93281075028005</v>
      </c>
      <c r="O110" s="173">
        <v>7139</v>
      </c>
      <c r="P110" s="172">
        <v>425.59999999999991</v>
      </c>
      <c r="Q110" s="172">
        <f t="shared" si="2"/>
        <v>690.11063829787224</v>
      </c>
      <c r="R110" s="173">
        <v>12309</v>
      </c>
      <c r="S110" s="172">
        <v>109.39999999999998</v>
      </c>
      <c r="T110" s="172">
        <f t="shared" si="3"/>
        <v>177.39216125419932</v>
      </c>
      <c r="U110" s="164"/>
      <c r="V110" s="167"/>
      <c r="W110" s="167"/>
      <c r="X110" s="167"/>
      <c r="Y110" s="167"/>
      <c r="Z110" s="164"/>
      <c r="AA110" s="164"/>
      <c r="AB110" s="164"/>
      <c r="AC110" s="164"/>
      <c r="AD110" s="164"/>
      <c r="AE110" s="164"/>
      <c r="AF110" s="164"/>
      <c r="AG110" s="164"/>
      <c r="AH110" s="164"/>
    </row>
    <row r="111" spans="1:34" x14ac:dyDescent="0.25">
      <c r="A111" s="167">
        <v>1</v>
      </c>
      <c r="B111" s="167">
        <v>1993</v>
      </c>
      <c r="C111" s="167">
        <v>112.6</v>
      </c>
      <c r="D111" s="167">
        <v>96.5</v>
      </c>
      <c r="E111" s="167"/>
      <c r="F111" s="167"/>
      <c r="G111" s="167"/>
      <c r="H111" s="164"/>
      <c r="I111" s="172">
        <v>89.8</v>
      </c>
      <c r="J111" s="164">
        <v>1</v>
      </c>
      <c r="K111" s="164">
        <v>1993</v>
      </c>
      <c r="L111" s="173">
        <v>11275</v>
      </c>
      <c r="M111" s="172">
        <v>136.89999999999998</v>
      </c>
      <c r="N111" s="172">
        <f t="shared" si="4"/>
        <v>220.74743875278395</v>
      </c>
      <c r="O111" s="173">
        <v>6982</v>
      </c>
      <c r="P111" s="172">
        <v>449.4</v>
      </c>
      <c r="Q111" s="172">
        <f t="shared" si="2"/>
        <v>724.64498886414253</v>
      </c>
      <c r="R111" s="173">
        <v>10571</v>
      </c>
      <c r="S111" s="172">
        <v>175.5</v>
      </c>
      <c r="T111" s="172">
        <f t="shared" si="3"/>
        <v>282.988864142539</v>
      </c>
      <c r="U111" s="164"/>
      <c r="V111" s="167"/>
      <c r="W111" s="171" t="str">
        <f>+W100</f>
        <v>2014</v>
      </c>
      <c r="X111" s="171" t="str">
        <f>+X100</f>
        <v>2015</v>
      </c>
      <c r="Y111" s="171" t="str">
        <f>+Y100</f>
        <v>2016</v>
      </c>
      <c r="Z111" s="164"/>
      <c r="AA111" s="164"/>
      <c r="AB111" s="164"/>
      <c r="AC111" s="164"/>
      <c r="AD111" s="164"/>
      <c r="AE111" s="164"/>
      <c r="AF111" s="164"/>
      <c r="AG111" s="164"/>
      <c r="AH111" s="164"/>
    </row>
    <row r="112" spans="1:34" x14ac:dyDescent="0.25">
      <c r="A112" s="167">
        <v>2</v>
      </c>
      <c r="B112" s="167"/>
      <c r="C112" s="167">
        <f>205.6-C111</f>
        <v>93</v>
      </c>
      <c r="D112" s="167">
        <f>176.6-D111</f>
        <v>80.099999999999994</v>
      </c>
      <c r="E112" s="167"/>
      <c r="F112" s="167"/>
      <c r="G112" s="167"/>
      <c r="H112" s="164"/>
      <c r="I112" s="172">
        <v>90.8</v>
      </c>
      <c r="J112" s="164">
        <v>2</v>
      </c>
      <c r="K112" s="164"/>
      <c r="L112" s="173">
        <v>10076</v>
      </c>
      <c r="M112" s="172">
        <v>115.20000000000002</v>
      </c>
      <c r="N112" s="172">
        <f t="shared" si="4"/>
        <v>183.71101321585908</v>
      </c>
      <c r="O112" s="173">
        <v>6332</v>
      </c>
      <c r="P112" s="172">
        <v>352.9</v>
      </c>
      <c r="Q112" s="172">
        <f t="shared" si="2"/>
        <v>562.77444933920708</v>
      </c>
      <c r="R112" s="173">
        <v>12919</v>
      </c>
      <c r="S112" s="172">
        <v>191.20000000000005</v>
      </c>
      <c r="T112" s="172">
        <f t="shared" si="3"/>
        <v>304.90925110132167</v>
      </c>
      <c r="U112" s="164"/>
      <c r="V112" s="167" t="s">
        <v>172</v>
      </c>
      <c r="W112" s="176">
        <f>IF('Tab7'!C38="",+'Tab7'!C37+'Tab11'!C37,+'Tab7'!C38+'Tab11'!C38)</f>
        <v>5010.407602151</v>
      </c>
      <c r="X112" s="176">
        <f>IF('Tab7'!D38="",+'Tab7'!D37+'Tab11'!D37,+'Tab7'!D38+'Tab11'!D38)</f>
        <v>5253.0194746540001</v>
      </c>
      <c r="Y112" s="176">
        <f>IF('Tab7'!E38="",+'Tab7'!E37+'Tab11'!E37,+'Tab7'!E38+'Tab11'!E38)</f>
        <v>4973.2635679180003</v>
      </c>
      <c r="Z112" s="164"/>
      <c r="AA112" s="164"/>
      <c r="AB112" s="164"/>
      <c r="AC112" s="164"/>
      <c r="AD112" s="164"/>
      <c r="AE112" s="164"/>
      <c r="AF112" s="164"/>
      <c r="AG112" s="164"/>
      <c r="AH112" s="164"/>
    </row>
    <row r="113" spans="1:34" x14ac:dyDescent="0.25">
      <c r="A113" s="167">
        <v>3</v>
      </c>
      <c r="B113" s="167"/>
      <c r="C113" s="167">
        <f>293.1-C112-C111</f>
        <v>87.500000000000028</v>
      </c>
      <c r="D113" s="167">
        <f>250.2-D112-D111</f>
        <v>73.599999999999994</v>
      </c>
      <c r="E113" s="167"/>
      <c r="F113" s="167"/>
      <c r="G113" s="167"/>
      <c r="H113" s="164"/>
      <c r="I113" s="172">
        <v>90.6</v>
      </c>
      <c r="J113" s="164">
        <v>3</v>
      </c>
      <c r="K113" s="164"/>
      <c r="L113" s="173">
        <v>11766</v>
      </c>
      <c r="M113" s="172">
        <v>132.79999999999998</v>
      </c>
      <c r="N113" s="172">
        <f t="shared" si="4"/>
        <v>212.24547461368655</v>
      </c>
      <c r="O113" s="173">
        <v>6675</v>
      </c>
      <c r="P113" s="172">
        <v>388.50000000000023</v>
      </c>
      <c r="Q113" s="172">
        <f t="shared" si="2"/>
        <v>620.91390728476858</v>
      </c>
      <c r="R113" s="173">
        <v>14800</v>
      </c>
      <c r="S113" s="172">
        <v>216.89999999999998</v>
      </c>
      <c r="T113" s="172">
        <f t="shared" si="3"/>
        <v>346.65695364238411</v>
      </c>
      <c r="U113" s="164"/>
      <c r="V113" s="167" t="s">
        <v>86</v>
      </c>
      <c r="W113" s="176">
        <f>IF('Tab7'!C40="",+'Tab7'!C39+'Tab11'!C39,+'Tab7'!C40+'Tab11'!C40)</f>
        <v>3569.9051307219997</v>
      </c>
      <c r="X113" s="176">
        <f>IF('Tab7'!D40="",+'Tab7'!D39+'Tab11'!D39,+'Tab7'!D40+'Tab11'!D40)</f>
        <v>3559.6675912239998</v>
      </c>
      <c r="Y113" s="176">
        <f>IF('Tab7'!E40="",+'Tab7'!E39+'Tab11'!E39,+'Tab7'!E40+'Tab11'!E40)</f>
        <v>4183.1515041450002</v>
      </c>
      <c r="Z113" s="164"/>
      <c r="AA113" s="164"/>
      <c r="AB113" s="164"/>
      <c r="AC113" s="164"/>
      <c r="AD113" s="164"/>
      <c r="AE113" s="164"/>
      <c r="AF113" s="164"/>
      <c r="AG113" s="164"/>
      <c r="AH113" s="164"/>
    </row>
    <row r="114" spans="1:34" x14ac:dyDescent="0.25">
      <c r="A114" s="167">
        <v>4</v>
      </c>
      <c r="B114" s="167"/>
      <c r="C114" s="167">
        <f>413.2-C113-C112-C111</f>
        <v>120.09999999999994</v>
      </c>
      <c r="D114" s="167">
        <f>356.8-D113-D112-D111</f>
        <v>106.60000000000005</v>
      </c>
      <c r="E114" s="167"/>
      <c r="F114" s="167"/>
      <c r="G114" s="167"/>
      <c r="H114" s="164"/>
      <c r="I114" s="172">
        <v>91</v>
      </c>
      <c r="J114" s="164">
        <v>4</v>
      </c>
      <c r="K114" s="164"/>
      <c r="L114" s="173">
        <v>12707</v>
      </c>
      <c r="M114" s="172">
        <v>157.79999999999995</v>
      </c>
      <c r="N114" s="172">
        <f t="shared" si="4"/>
        <v>251.09274725274719</v>
      </c>
      <c r="O114" s="173">
        <v>6319</v>
      </c>
      <c r="P114" s="172">
        <v>466.99999999999977</v>
      </c>
      <c r="Q114" s="172">
        <f t="shared" si="2"/>
        <v>743.09450549450526</v>
      </c>
      <c r="R114" s="173">
        <v>11391</v>
      </c>
      <c r="S114" s="172">
        <v>164.5</v>
      </c>
      <c r="T114" s="172">
        <f t="shared" si="3"/>
        <v>261.75384615384615</v>
      </c>
      <c r="U114" s="164"/>
      <c r="V114" s="167" t="s">
        <v>63</v>
      </c>
      <c r="W114" s="176">
        <f>IF('Tab7'!C42="",+'Tab7'!C41+'Tab11'!C41,+'Tab7'!C42+'Tab11'!C42)</f>
        <v>684.93652275500006</v>
      </c>
      <c r="X114" s="176">
        <f>IF('Tab7'!D42="",+'Tab7'!D41+'Tab11'!D41,+'Tab7'!D42+'Tab11'!D42)</f>
        <v>613.94413477299997</v>
      </c>
      <c r="Y114" s="176">
        <f>IF('Tab7'!E42="",+'Tab7'!E41+'Tab11'!E41,+'Tab7'!E42+'Tab11'!E42)</f>
        <v>578.22426147800002</v>
      </c>
      <c r="Z114" s="164"/>
      <c r="AA114" s="164"/>
      <c r="AB114" s="164"/>
      <c r="AC114" s="164"/>
      <c r="AD114" s="164"/>
      <c r="AE114" s="164"/>
      <c r="AF114" s="164"/>
      <c r="AG114" s="164"/>
      <c r="AH114" s="164"/>
    </row>
    <row r="115" spans="1:34" x14ac:dyDescent="0.25">
      <c r="A115" s="167">
        <v>1</v>
      </c>
      <c r="B115" s="167">
        <v>1994</v>
      </c>
      <c r="C115" s="167">
        <v>138.4</v>
      </c>
      <c r="D115" s="167">
        <v>120</v>
      </c>
      <c r="E115" s="167"/>
      <c r="F115" s="167"/>
      <c r="G115" s="167"/>
      <c r="H115" s="164"/>
      <c r="I115" s="172">
        <v>91</v>
      </c>
      <c r="J115" s="164">
        <v>1</v>
      </c>
      <c r="K115" s="164">
        <v>1994</v>
      </c>
      <c r="L115" s="173">
        <v>15224</v>
      </c>
      <c r="M115" s="172">
        <v>189</v>
      </c>
      <c r="N115" s="172">
        <f t="shared" si="4"/>
        <v>300.73846153846159</v>
      </c>
      <c r="O115" s="173">
        <v>6291</v>
      </c>
      <c r="P115" s="172">
        <v>427.6</v>
      </c>
      <c r="Q115" s="172">
        <f t="shared" si="2"/>
        <v>680.40087912087915</v>
      </c>
      <c r="R115" s="173">
        <v>8795</v>
      </c>
      <c r="S115" s="172">
        <v>161.69999999999999</v>
      </c>
      <c r="T115" s="172">
        <f t="shared" si="3"/>
        <v>257.29846153846154</v>
      </c>
      <c r="U115" s="164"/>
      <c r="V115" s="167" t="s">
        <v>14</v>
      </c>
      <c r="W115" s="179">
        <f>+W117-SUM(W112:W114)</f>
        <v>2599.6526145440002</v>
      </c>
      <c r="X115" s="179">
        <f>+X117-SUM(X112:X114)</f>
        <v>3196.4418386249999</v>
      </c>
      <c r="Y115" s="179">
        <f>+Y117-SUM(Y112:Y114)</f>
        <v>3118.369320896998</v>
      </c>
      <c r="Z115" s="164"/>
      <c r="AA115" s="164"/>
      <c r="AB115" s="164"/>
      <c r="AC115" s="164"/>
      <c r="AD115" s="164"/>
      <c r="AE115" s="164"/>
      <c r="AF115" s="164"/>
      <c r="AG115" s="164"/>
      <c r="AH115" s="164"/>
    </row>
    <row r="116" spans="1:34" x14ac:dyDescent="0.25">
      <c r="A116" s="167">
        <v>2</v>
      </c>
      <c r="B116" s="167"/>
      <c r="C116" s="167">
        <f>252.9-C115</f>
        <v>114.5</v>
      </c>
      <c r="D116" s="167">
        <f>218.1-D115</f>
        <v>98.1</v>
      </c>
      <c r="E116" s="167"/>
      <c r="F116" s="167"/>
      <c r="G116" s="167"/>
      <c r="H116" s="164"/>
      <c r="I116" s="172">
        <v>91.7</v>
      </c>
      <c r="J116" s="164">
        <v>2</v>
      </c>
      <c r="K116" s="164"/>
      <c r="L116" s="173">
        <v>13585</v>
      </c>
      <c r="M116" s="172">
        <v>166.5</v>
      </c>
      <c r="N116" s="172">
        <f t="shared" si="4"/>
        <v>262.91384950926937</v>
      </c>
      <c r="O116" s="173">
        <v>5517</v>
      </c>
      <c r="P116" s="172">
        <v>494.30000000000007</v>
      </c>
      <c r="Q116" s="172">
        <f t="shared" si="2"/>
        <v>780.53042529989102</v>
      </c>
      <c r="R116" s="173">
        <v>13449</v>
      </c>
      <c r="S116" s="172">
        <v>196.2</v>
      </c>
      <c r="T116" s="172">
        <f t="shared" si="3"/>
        <v>309.81199563794985</v>
      </c>
      <c r="U116" s="164"/>
      <c r="V116" s="167"/>
      <c r="W116" s="176"/>
      <c r="X116" s="176"/>
      <c r="Y116" s="176"/>
      <c r="Z116" s="164"/>
      <c r="AA116" s="164"/>
      <c r="AB116" s="164"/>
      <c r="AC116" s="164"/>
      <c r="AD116" s="164"/>
      <c r="AE116" s="164"/>
      <c r="AF116" s="164"/>
      <c r="AG116" s="164"/>
      <c r="AH116" s="164"/>
    </row>
    <row r="117" spans="1:34" x14ac:dyDescent="0.25">
      <c r="A117" s="167">
        <v>3</v>
      </c>
      <c r="B117" s="167"/>
      <c r="C117" s="167">
        <f>365.7-C115-C116</f>
        <v>112.79999999999998</v>
      </c>
      <c r="D117" s="167">
        <f>316.9-D115-D116</f>
        <v>98.799999999999983</v>
      </c>
      <c r="E117" s="167"/>
      <c r="F117" s="167"/>
      <c r="G117" s="167"/>
      <c r="H117" s="164"/>
      <c r="I117" s="172">
        <v>92.1</v>
      </c>
      <c r="J117" s="164">
        <v>3</v>
      </c>
      <c r="K117" s="164"/>
      <c r="L117" s="173">
        <v>13956</v>
      </c>
      <c r="M117" s="172">
        <v>169.89999999999998</v>
      </c>
      <c r="N117" s="172">
        <f t="shared" si="4"/>
        <v>267.11748099891423</v>
      </c>
      <c r="O117" s="173">
        <v>8952</v>
      </c>
      <c r="P117" s="172">
        <v>425.5</v>
      </c>
      <c r="Q117" s="172">
        <f t="shared" si="2"/>
        <v>668.97285559174827</v>
      </c>
      <c r="R117" s="173">
        <v>15669</v>
      </c>
      <c r="S117" s="172">
        <v>219.80000000000007</v>
      </c>
      <c r="T117" s="172">
        <f t="shared" si="3"/>
        <v>345.57046688382212</v>
      </c>
      <c r="U117" s="164"/>
      <c r="V117" s="167" t="s">
        <v>87</v>
      </c>
      <c r="W117" s="176">
        <f>IF('Tab7'!C36="",+'Tab7'!C35+'Tab11'!C35,+'Tab7'!C36+'Tab11'!C36)</f>
        <v>11864.901870172002</v>
      </c>
      <c r="X117" s="176">
        <f>IF('Tab7'!D36="",+'Tab7'!D35+'Tab11'!D35,+'Tab7'!D36+'Tab11'!D36)</f>
        <v>12623.073039276</v>
      </c>
      <c r="Y117" s="176">
        <f>IF('Tab7'!E36="",+'Tab7'!E35+'Tab11'!E35,+'Tab7'!E36+'Tab11'!E36)</f>
        <v>12853.008654437999</v>
      </c>
      <c r="Z117" s="164"/>
      <c r="AA117" s="164"/>
      <c r="AB117" s="164"/>
      <c r="AC117" s="164"/>
      <c r="AD117" s="164"/>
      <c r="AE117" s="164"/>
      <c r="AF117" s="164"/>
      <c r="AG117" s="164"/>
      <c r="AH117" s="164"/>
    </row>
    <row r="118" spans="1:34" x14ac:dyDescent="0.25">
      <c r="A118" s="167">
        <v>4</v>
      </c>
      <c r="B118" s="167"/>
      <c r="C118" s="167">
        <f>480.2-C115-C116-C117</f>
        <v>114.49999999999997</v>
      </c>
      <c r="D118" s="167">
        <f>417.1-D115-D116-D117</f>
        <v>100.20000000000005</v>
      </c>
      <c r="E118" s="167"/>
      <c r="F118" s="167"/>
      <c r="G118" s="167"/>
      <c r="H118" s="164"/>
      <c r="I118" s="172">
        <v>92.6</v>
      </c>
      <c r="J118" s="164">
        <v>4</v>
      </c>
      <c r="K118" s="164"/>
      <c r="L118" s="173">
        <v>14006</v>
      </c>
      <c r="M118" s="172">
        <v>140.80000000000007</v>
      </c>
      <c r="N118" s="172">
        <f t="shared" si="4"/>
        <v>220.1710583153349</v>
      </c>
      <c r="O118" s="173">
        <v>8189</v>
      </c>
      <c r="P118" s="172">
        <v>390.59999999999991</v>
      </c>
      <c r="Q118" s="172">
        <f t="shared" si="2"/>
        <v>610.78704103671703</v>
      </c>
      <c r="R118" s="173">
        <v>14139</v>
      </c>
      <c r="S118" s="172">
        <v>214.39999999999998</v>
      </c>
      <c r="T118" s="172">
        <f t="shared" si="3"/>
        <v>335.26047516198707</v>
      </c>
      <c r="U118" s="164"/>
      <c r="V118" s="167"/>
      <c r="W118" s="164"/>
      <c r="X118" s="167"/>
      <c r="Y118" s="164"/>
      <c r="Z118" s="164"/>
      <c r="AA118" s="164"/>
      <c r="AB118" s="164"/>
      <c r="AC118" s="164"/>
      <c r="AD118" s="164"/>
      <c r="AE118" s="164"/>
      <c r="AF118" s="164"/>
      <c r="AG118" s="164"/>
      <c r="AH118" s="164"/>
    </row>
    <row r="119" spans="1:34" x14ac:dyDescent="0.25">
      <c r="A119" s="167">
        <v>1</v>
      </c>
      <c r="B119" s="167">
        <v>1995</v>
      </c>
      <c r="C119" s="167">
        <v>137.19999999999999</v>
      </c>
      <c r="D119" s="167">
        <v>119.3</v>
      </c>
      <c r="E119" s="167"/>
      <c r="F119" s="167"/>
      <c r="G119" s="167"/>
      <c r="H119" s="164"/>
      <c r="I119" s="172">
        <v>93.4</v>
      </c>
      <c r="J119" s="164">
        <v>1</v>
      </c>
      <c r="K119" s="164">
        <v>1995</v>
      </c>
      <c r="L119" s="173">
        <v>13188</v>
      </c>
      <c r="M119" s="172">
        <v>171.1</v>
      </c>
      <c r="N119" s="172">
        <f t="shared" si="4"/>
        <v>265.25995717344756</v>
      </c>
      <c r="O119" s="173">
        <v>7699</v>
      </c>
      <c r="P119" s="172">
        <v>543</v>
      </c>
      <c r="Q119" s="172">
        <f t="shared" si="2"/>
        <v>841.8244111349037</v>
      </c>
      <c r="R119" s="173">
        <v>11007</v>
      </c>
      <c r="S119" s="172">
        <v>183.1</v>
      </c>
      <c r="T119" s="172">
        <f t="shared" si="3"/>
        <v>283.86381156316918</v>
      </c>
      <c r="U119" s="164"/>
      <c r="V119" s="166" t="s">
        <v>181</v>
      </c>
      <c r="W119" s="164"/>
      <c r="X119" s="164"/>
      <c r="Y119" s="164"/>
      <c r="Z119" s="164"/>
      <c r="AA119" s="164"/>
      <c r="AB119" s="164"/>
      <c r="AC119" s="164"/>
      <c r="AD119" s="164"/>
      <c r="AE119" s="164"/>
      <c r="AF119" s="164"/>
      <c r="AG119" s="164"/>
      <c r="AH119" s="164"/>
    </row>
    <row r="120" spans="1:34" x14ac:dyDescent="0.25">
      <c r="A120" s="167">
        <v>2</v>
      </c>
      <c r="B120" s="167"/>
      <c r="C120" s="167">
        <f>248.2-C119</f>
        <v>111</v>
      </c>
      <c r="D120" s="167">
        <f>214.7-D119</f>
        <v>95.399999999999991</v>
      </c>
      <c r="E120" s="167"/>
      <c r="F120" s="167"/>
      <c r="G120" s="167"/>
      <c r="H120" s="164"/>
      <c r="I120" s="172">
        <v>94.1</v>
      </c>
      <c r="J120" s="164">
        <v>2</v>
      </c>
      <c r="K120" s="164"/>
      <c r="L120" s="173">
        <v>11077</v>
      </c>
      <c r="M120" s="172">
        <v>148.30000000000004</v>
      </c>
      <c r="N120" s="172">
        <f t="shared" si="4"/>
        <v>228.20233793836354</v>
      </c>
      <c r="O120" s="173">
        <v>5465</v>
      </c>
      <c r="P120" s="172">
        <v>462.40000000000009</v>
      </c>
      <c r="Q120" s="172">
        <f t="shared" si="2"/>
        <v>711.53581296493121</v>
      </c>
      <c r="R120" s="173">
        <v>13915</v>
      </c>
      <c r="S120" s="172">
        <v>213.4</v>
      </c>
      <c r="T120" s="172">
        <f t="shared" si="3"/>
        <v>328.37747077577052</v>
      </c>
      <c r="U120" s="164"/>
      <c r="V120" s="164"/>
      <c r="W120" s="164"/>
      <c r="X120" s="164"/>
      <c r="Y120" s="164"/>
      <c r="Z120" s="164"/>
      <c r="AA120" s="164"/>
      <c r="AB120" s="164"/>
      <c r="AC120" s="164"/>
      <c r="AD120" s="164"/>
      <c r="AE120" s="164"/>
      <c r="AF120" s="164"/>
      <c r="AG120" s="164"/>
      <c r="AH120" s="164"/>
    </row>
    <row r="121" spans="1:34" x14ac:dyDescent="0.25">
      <c r="A121" s="167">
        <v>3</v>
      </c>
      <c r="B121" s="167"/>
      <c r="C121" s="167">
        <f>364.1-C119-C120</f>
        <v>115.90000000000003</v>
      </c>
      <c r="D121" s="167">
        <f>315.7-D119-D120</f>
        <v>100.99999999999999</v>
      </c>
      <c r="E121" s="167"/>
      <c r="F121" s="167"/>
      <c r="G121" s="167"/>
      <c r="H121" s="164"/>
      <c r="I121" s="172">
        <v>94.1</v>
      </c>
      <c r="J121" s="164">
        <v>3</v>
      </c>
      <c r="K121" s="164"/>
      <c r="L121" s="173">
        <v>13937</v>
      </c>
      <c r="M121" s="172">
        <v>180.19999999999993</v>
      </c>
      <c r="N121" s="172">
        <f t="shared" si="4"/>
        <v>277.28969181721567</v>
      </c>
      <c r="O121" s="173">
        <v>9139</v>
      </c>
      <c r="P121" s="172">
        <v>487.89999999999986</v>
      </c>
      <c r="Q121" s="172">
        <f t="shared" si="2"/>
        <v>750.7749202975557</v>
      </c>
      <c r="R121" s="173">
        <v>17436</v>
      </c>
      <c r="S121" s="172">
        <v>224.09999999999991</v>
      </c>
      <c r="T121" s="172">
        <f t="shared" si="3"/>
        <v>344.84250797024436</v>
      </c>
      <c r="U121" s="164"/>
      <c r="V121" s="167"/>
      <c r="W121" s="171" t="str">
        <f>+'Tab3'!C6</f>
        <v>2014</v>
      </c>
      <c r="X121" s="171" t="str">
        <f>+'Tab3'!D6</f>
        <v>2015</v>
      </c>
      <c r="Y121" s="171" t="str">
        <f>+'Tab3'!E6</f>
        <v>2016</v>
      </c>
      <c r="Z121" s="164"/>
      <c r="AA121" s="164"/>
      <c r="AB121" s="164"/>
      <c r="AC121" s="164"/>
      <c r="AD121" s="164"/>
      <c r="AE121" s="164"/>
      <c r="AF121" s="164"/>
      <c r="AG121" s="164"/>
      <c r="AH121" s="164"/>
    </row>
    <row r="122" spans="1:34" x14ac:dyDescent="0.25">
      <c r="A122" s="167">
        <v>4</v>
      </c>
      <c r="B122" s="167"/>
      <c r="C122" s="167">
        <f>482.9-C119-C120-C121</f>
        <v>118.79999999999995</v>
      </c>
      <c r="D122" s="167">
        <f>420.1-D119-D120-D121</f>
        <v>104.40000000000005</v>
      </c>
      <c r="E122" s="167"/>
      <c r="F122" s="167"/>
      <c r="G122" s="167"/>
      <c r="H122" s="164"/>
      <c r="I122" s="172">
        <v>94.6</v>
      </c>
      <c r="J122" s="164">
        <v>4</v>
      </c>
      <c r="K122" s="164"/>
      <c r="L122" s="173">
        <v>13920</v>
      </c>
      <c r="M122" s="172">
        <v>172.00000000000006</v>
      </c>
      <c r="N122" s="172">
        <f t="shared" si="4"/>
        <v>263.27272727272737</v>
      </c>
      <c r="O122" s="173">
        <v>7500</v>
      </c>
      <c r="P122" s="172">
        <v>369.89999999999986</v>
      </c>
      <c r="Q122" s="172">
        <f t="shared" si="2"/>
        <v>566.18942917547554</v>
      </c>
      <c r="R122" s="173">
        <v>15130</v>
      </c>
      <c r="S122" s="172">
        <v>206.30000000000018</v>
      </c>
      <c r="T122" s="172">
        <f t="shared" si="3"/>
        <v>315.77420718816097</v>
      </c>
      <c r="U122" s="164"/>
      <c r="V122" s="167" t="s">
        <v>10</v>
      </c>
      <c r="W122" s="171">
        <f>IF('Tab3'!C22="",'Tab3'!C29,'Tab3'!C30)</f>
        <v>306308</v>
      </c>
      <c r="X122" s="171">
        <f>IF('Tab3'!D22="",'Tab3'!D29,'Tab3'!D30)</f>
        <v>320739</v>
      </c>
      <c r="Y122" s="171">
        <f>IF('Tab3'!E22="",'Tab3'!E29,'Tab3'!E30)</f>
        <v>311962</v>
      </c>
      <c r="Z122" s="164"/>
      <c r="AA122" s="164"/>
      <c r="AB122" s="164"/>
      <c r="AC122" s="164"/>
      <c r="AD122" s="164"/>
      <c r="AE122" s="164"/>
      <c r="AF122" s="164"/>
      <c r="AG122" s="164"/>
      <c r="AH122" s="164"/>
    </row>
    <row r="123" spans="1:34" x14ac:dyDescent="0.25">
      <c r="A123" s="167">
        <v>1</v>
      </c>
      <c r="B123" s="167">
        <v>1996</v>
      </c>
      <c r="C123" s="167">
        <v>143.9</v>
      </c>
      <c r="D123" s="167">
        <v>126.9</v>
      </c>
      <c r="E123" s="167"/>
      <c r="F123" s="167"/>
      <c r="G123" s="167"/>
      <c r="H123" s="164"/>
      <c r="I123" s="172">
        <v>94.2</v>
      </c>
      <c r="J123" s="164">
        <v>1</v>
      </c>
      <c r="K123" s="164">
        <v>1996</v>
      </c>
      <c r="L123" s="173">
        <v>29850</v>
      </c>
      <c r="M123" s="172">
        <v>375.59999999999997</v>
      </c>
      <c r="N123" s="172">
        <f t="shared" si="4"/>
        <v>577.35541401273883</v>
      </c>
      <c r="O123" s="173">
        <v>7239</v>
      </c>
      <c r="P123" s="172">
        <v>479.9</v>
      </c>
      <c r="Q123" s="172">
        <f t="shared" si="2"/>
        <v>737.68067940552021</v>
      </c>
      <c r="R123" s="173">
        <v>11785</v>
      </c>
      <c r="S123" s="172">
        <v>198.60000000000002</v>
      </c>
      <c r="T123" s="172">
        <f t="shared" si="3"/>
        <v>305.27898089171981</v>
      </c>
      <c r="U123" s="164"/>
      <c r="V123" s="164" t="s">
        <v>112</v>
      </c>
      <c r="W123" s="171">
        <f>IF('Tab9'!C8="",'Tab9'!C7,'Tab9'!C8)</f>
        <v>111974</v>
      </c>
      <c r="X123" s="171">
        <f>IF('Tab9'!D8="",'Tab9'!D7,'Tab9'!D8)</f>
        <v>108145.685466667</v>
      </c>
      <c r="Y123" s="171">
        <f>IF('Tab9'!E8="",'Tab9'!E7,'Tab9'!E8)</f>
        <v>110745.20394415699</v>
      </c>
      <c r="Z123" s="164"/>
      <c r="AA123" s="164"/>
      <c r="AB123" s="164"/>
      <c r="AC123" s="164"/>
      <c r="AD123" s="164"/>
      <c r="AE123" s="164"/>
      <c r="AF123" s="164"/>
      <c r="AG123" s="164"/>
      <c r="AH123" s="164"/>
    </row>
    <row r="124" spans="1:34" x14ac:dyDescent="0.25">
      <c r="A124" s="167">
        <v>2</v>
      </c>
      <c r="B124" s="167"/>
      <c r="C124" s="167">
        <f>275.5-C123</f>
        <v>131.6</v>
      </c>
      <c r="D124" s="167">
        <f>242.6-D123</f>
        <v>115.69999999999999</v>
      </c>
      <c r="E124" s="167"/>
      <c r="F124" s="167"/>
      <c r="G124" s="167"/>
      <c r="H124" s="164"/>
      <c r="I124" s="172">
        <v>95.1</v>
      </c>
      <c r="J124" s="164">
        <v>2</v>
      </c>
      <c r="K124" s="164"/>
      <c r="L124" s="173">
        <v>17799</v>
      </c>
      <c r="M124" s="172">
        <v>234.8</v>
      </c>
      <c r="N124" s="172">
        <f t="shared" si="4"/>
        <v>357.50830704521564</v>
      </c>
      <c r="O124" s="173">
        <v>6503</v>
      </c>
      <c r="P124" s="172">
        <v>585.30000000000007</v>
      </c>
      <c r="Q124" s="172">
        <f t="shared" si="2"/>
        <v>891.18233438485822</v>
      </c>
      <c r="R124" s="173">
        <v>14642</v>
      </c>
      <c r="S124" s="172">
        <v>220.09999999999997</v>
      </c>
      <c r="T124" s="172">
        <f t="shared" si="3"/>
        <v>335.12597266035755</v>
      </c>
      <c r="U124" s="164"/>
      <c r="V124" s="164" t="s">
        <v>111</v>
      </c>
      <c r="W124" s="171">
        <f>IF('Tab8'!C8="",'Tab8'!C7,'Tab8'!C8)</f>
        <v>122672</v>
      </c>
      <c r="X124" s="171">
        <f>IF('Tab8'!D8="",'Tab8'!D7,'Tab8'!D8)</f>
        <v>124066.90919999999</v>
      </c>
      <c r="Y124" s="171">
        <f>IF('Tab8'!E8="",'Tab8'!E7,'Tab8'!E8)</f>
        <v>135636.54006907999</v>
      </c>
      <c r="Z124" s="164"/>
      <c r="AA124" s="164"/>
      <c r="AB124" s="164"/>
      <c r="AC124" s="164"/>
      <c r="AD124" s="164"/>
      <c r="AE124" s="164"/>
      <c r="AF124" s="164"/>
      <c r="AG124" s="164"/>
      <c r="AH124" s="164"/>
    </row>
    <row r="125" spans="1:34" x14ac:dyDescent="0.25">
      <c r="A125" s="167">
        <v>3</v>
      </c>
      <c r="B125" s="167"/>
      <c r="C125" s="167">
        <f>387.5-C123-C124</f>
        <v>112</v>
      </c>
      <c r="D125" s="167">
        <f>339.3-D123-D124</f>
        <v>96.700000000000017</v>
      </c>
      <c r="E125" s="167"/>
      <c r="F125" s="167"/>
      <c r="G125" s="167"/>
      <c r="H125" s="164"/>
      <c r="I125" s="172">
        <v>95.5</v>
      </c>
      <c r="J125" s="164">
        <v>3</v>
      </c>
      <c r="K125" s="164"/>
      <c r="L125" s="173">
        <v>16263</v>
      </c>
      <c r="M125" s="172">
        <v>240.00000000000011</v>
      </c>
      <c r="N125" s="172">
        <f t="shared" si="4"/>
        <v>363.89528795811538</v>
      </c>
      <c r="O125" s="173">
        <v>8934</v>
      </c>
      <c r="P125" s="172">
        <v>581.89999999999986</v>
      </c>
      <c r="Q125" s="172">
        <f t="shared" si="2"/>
        <v>882.29445026177996</v>
      </c>
      <c r="R125" s="173">
        <v>17198</v>
      </c>
      <c r="S125" s="172">
        <v>233.2</v>
      </c>
      <c r="T125" s="172">
        <f t="shared" si="3"/>
        <v>353.58492146596859</v>
      </c>
      <c r="U125" s="164"/>
      <c r="V125" s="167" t="s">
        <v>170</v>
      </c>
      <c r="W125" s="171">
        <f>IF('Tab3'!C16="",'Tab3'!C15,'Tab3'!C16)</f>
        <v>46146</v>
      </c>
      <c r="X125" s="171">
        <f>IF('Tab3'!D16="",'Tab3'!D15,'Tab3'!D16)</f>
        <v>42956.936227273</v>
      </c>
      <c r="Y125" s="171">
        <f>IF('Tab3'!E16="",'Tab3'!E15,'Tab3'!E16)</f>
        <v>40113.599095906997</v>
      </c>
      <c r="Z125" s="164"/>
      <c r="AA125" s="164"/>
      <c r="AB125" s="164"/>
      <c r="AC125" s="164"/>
      <c r="AD125" s="164"/>
      <c r="AE125" s="164"/>
      <c r="AF125" s="164"/>
      <c r="AG125" s="164"/>
      <c r="AH125" s="164"/>
    </row>
    <row r="126" spans="1:34" x14ac:dyDescent="0.25">
      <c r="A126" s="167">
        <v>4</v>
      </c>
      <c r="B126" s="167"/>
      <c r="C126" s="167">
        <f>520-C123-C124-C125</f>
        <v>132.50000000000003</v>
      </c>
      <c r="D126" s="167">
        <f>452.4-D123-D124-D125</f>
        <v>113.1</v>
      </c>
      <c r="E126" s="167"/>
      <c r="F126" s="167"/>
      <c r="G126" s="167"/>
      <c r="H126" s="164"/>
      <c r="I126" s="172">
        <v>96.3</v>
      </c>
      <c r="J126" s="164">
        <v>4</v>
      </c>
      <c r="K126" s="164"/>
      <c r="L126" s="173">
        <v>16638</v>
      </c>
      <c r="M126" s="172">
        <v>233.40000000000009</v>
      </c>
      <c r="N126" s="172">
        <f t="shared" si="4"/>
        <v>350.94828660436156</v>
      </c>
      <c r="O126" s="173">
        <v>7966</v>
      </c>
      <c r="P126" s="172">
        <v>665.80000000000018</v>
      </c>
      <c r="Q126" s="172">
        <f t="shared" si="2"/>
        <v>1001.1198338525445</v>
      </c>
      <c r="R126" s="173">
        <v>13841</v>
      </c>
      <c r="S126" s="172">
        <v>188.00000000000011</v>
      </c>
      <c r="T126" s="172">
        <f t="shared" si="3"/>
        <v>282.68328141225356</v>
      </c>
      <c r="U126" s="164"/>
      <c r="V126" s="164"/>
      <c r="W126" s="164"/>
      <c r="X126" s="164"/>
      <c r="Y126" s="164"/>
      <c r="Z126" s="164"/>
      <c r="AA126" s="164"/>
      <c r="AB126" s="164"/>
      <c r="AC126" s="164"/>
      <c r="AD126" s="164"/>
      <c r="AE126" s="164"/>
      <c r="AF126" s="164"/>
      <c r="AG126" s="164"/>
      <c r="AH126" s="164"/>
    </row>
    <row r="127" spans="1:34" x14ac:dyDescent="0.25">
      <c r="A127" s="167">
        <v>1</v>
      </c>
      <c r="B127" s="167">
        <v>1997</v>
      </c>
      <c r="C127" s="167">
        <v>142.6</v>
      </c>
      <c r="D127" s="167">
        <v>124.8</v>
      </c>
      <c r="E127" s="167"/>
      <c r="F127" s="167"/>
      <c r="G127" s="167"/>
      <c r="H127" s="164"/>
      <c r="I127" s="172">
        <v>97.3</v>
      </c>
      <c r="J127" s="164">
        <v>1</v>
      </c>
      <c r="K127" s="164">
        <v>1997</v>
      </c>
      <c r="L127" s="173">
        <v>17837</v>
      </c>
      <c r="M127" s="172">
        <v>255.29999999999998</v>
      </c>
      <c r="N127" s="172">
        <f t="shared" si="4"/>
        <v>379.93257965056529</v>
      </c>
      <c r="O127" s="173">
        <v>7574</v>
      </c>
      <c r="P127" s="172">
        <v>625.70000000000005</v>
      </c>
      <c r="Q127" s="172">
        <f t="shared" si="2"/>
        <v>931.15477903391582</v>
      </c>
      <c r="R127" s="173">
        <v>10571</v>
      </c>
      <c r="S127" s="172">
        <v>187.8</v>
      </c>
      <c r="T127" s="172">
        <f t="shared" si="3"/>
        <v>279.48036998972253</v>
      </c>
      <c r="U127" s="164"/>
      <c r="V127" s="166" t="s">
        <v>182</v>
      </c>
      <c r="W127" s="164"/>
      <c r="X127" s="164"/>
      <c r="Y127" s="164"/>
      <c r="Z127" s="164"/>
      <c r="AA127" s="164"/>
      <c r="AB127" s="164"/>
      <c r="AC127" s="164"/>
      <c r="AD127" s="164"/>
      <c r="AE127" s="164"/>
      <c r="AF127" s="164"/>
      <c r="AG127" s="164"/>
      <c r="AH127" s="164"/>
    </row>
    <row r="128" spans="1:34" x14ac:dyDescent="0.25">
      <c r="A128" s="167">
        <v>2</v>
      </c>
      <c r="B128" s="167"/>
      <c r="C128" s="167">
        <f>284.4-C127</f>
        <v>141.79999999999998</v>
      </c>
      <c r="D128" s="167">
        <f>247.3-D127</f>
        <v>122.50000000000001</v>
      </c>
      <c r="E128" s="167"/>
      <c r="F128" s="167"/>
      <c r="G128" s="167"/>
      <c r="H128" s="164"/>
      <c r="I128" s="172">
        <v>97.7</v>
      </c>
      <c r="J128" s="164">
        <v>2</v>
      </c>
      <c r="K128" s="164"/>
      <c r="L128" s="173">
        <v>16872</v>
      </c>
      <c r="M128" s="172">
        <v>281.30000000000007</v>
      </c>
      <c r="N128" s="172">
        <f t="shared" si="4"/>
        <v>416.9113613101332</v>
      </c>
      <c r="O128" s="173">
        <v>7284</v>
      </c>
      <c r="P128" s="172">
        <v>664.39999999999986</v>
      </c>
      <c r="Q128" s="172">
        <f t="shared" si="2"/>
        <v>984.69928352098236</v>
      </c>
      <c r="R128" s="173">
        <v>14837</v>
      </c>
      <c r="S128" s="172">
        <v>224.59999999999997</v>
      </c>
      <c r="T128" s="172">
        <f t="shared" si="3"/>
        <v>332.87697031729778</v>
      </c>
      <c r="U128" s="164"/>
      <c r="V128" s="164"/>
      <c r="W128" s="171" t="str">
        <f>+'Tab3'!C6</f>
        <v>2014</v>
      </c>
      <c r="X128" s="171" t="str">
        <f>+'Tab3'!D6</f>
        <v>2015</v>
      </c>
      <c r="Y128" s="171" t="str">
        <f>+'Tab3'!E6</f>
        <v>2016</v>
      </c>
      <c r="Z128" s="164"/>
      <c r="AA128" s="164"/>
      <c r="AB128" s="164"/>
      <c r="AC128" s="164"/>
      <c r="AD128" s="164"/>
      <c r="AE128" s="164"/>
      <c r="AF128" s="164"/>
      <c r="AG128" s="164"/>
      <c r="AH128" s="164"/>
    </row>
    <row r="129" spans="1:34" x14ac:dyDescent="0.25">
      <c r="A129" s="167">
        <v>3</v>
      </c>
      <c r="B129" s="167"/>
      <c r="C129" s="167">
        <f>419.8-C127-C128</f>
        <v>135.40000000000006</v>
      </c>
      <c r="D129" s="167">
        <f>364.6-D127-D128</f>
        <v>117.3</v>
      </c>
      <c r="E129" s="167"/>
      <c r="F129" s="167" t="s">
        <v>74</v>
      </c>
      <c r="G129" s="167"/>
      <c r="H129" s="164"/>
      <c r="I129" s="172">
        <v>97.7</v>
      </c>
      <c r="J129" s="164">
        <v>3</v>
      </c>
      <c r="K129" s="164"/>
      <c r="L129" s="173">
        <v>17873</v>
      </c>
      <c r="M129" s="172">
        <v>297.89999999999998</v>
      </c>
      <c r="N129" s="172">
        <f t="shared" si="4"/>
        <v>441.51402251791194</v>
      </c>
      <c r="O129" s="173">
        <v>14581</v>
      </c>
      <c r="P129" s="172">
        <v>720.30000000000018</v>
      </c>
      <c r="Q129" s="172">
        <f t="shared" si="2"/>
        <v>1067.5480040941661</v>
      </c>
      <c r="R129" s="173">
        <v>15670</v>
      </c>
      <c r="S129" s="172">
        <v>198.80000000000007</v>
      </c>
      <c r="T129" s="172">
        <f t="shared" si="3"/>
        <v>294.63909928352109</v>
      </c>
      <c r="U129" s="164"/>
      <c r="V129" s="167" t="s">
        <v>11</v>
      </c>
      <c r="W129" s="171">
        <f>IF('Tab3'!C30="",'Tab3'!C31,'Tab3'!C32)</f>
        <v>10634</v>
      </c>
      <c r="X129" s="171">
        <f>IF('Tab3'!D30="",'Tab3'!D31,'Tab3'!D32)</f>
        <v>10720.65475</v>
      </c>
      <c r="Y129" s="171">
        <f>IF('Tab3'!E30="",'Tab3'!E31,'Tab3'!E32)</f>
        <v>10018.849101247</v>
      </c>
      <c r="Z129" s="164"/>
      <c r="AA129" s="164"/>
      <c r="AB129" s="164"/>
      <c r="AC129" s="164"/>
      <c r="AD129" s="164"/>
      <c r="AE129" s="164"/>
      <c r="AF129" s="164"/>
      <c r="AG129" s="164"/>
      <c r="AH129" s="164"/>
    </row>
    <row r="130" spans="1:34" x14ac:dyDescent="0.25">
      <c r="A130" s="167">
        <v>4</v>
      </c>
      <c r="B130" s="167"/>
      <c r="C130" s="167">
        <f>550.4-C127-C128-C129</f>
        <v>130.59999999999994</v>
      </c>
      <c r="D130" s="167">
        <f>478.3-D127-D128-D129</f>
        <v>113.7</v>
      </c>
      <c r="E130" s="167"/>
      <c r="F130" s="167"/>
      <c r="G130" s="167"/>
      <c r="H130" s="164"/>
      <c r="I130" s="172">
        <v>98.4</v>
      </c>
      <c r="J130" s="164">
        <v>4</v>
      </c>
      <c r="K130" s="164"/>
      <c r="L130" s="173">
        <v>15493</v>
      </c>
      <c r="M130" s="172">
        <v>267.70000000000005</v>
      </c>
      <c r="N130" s="172">
        <f t="shared" si="4"/>
        <v>393.93252032520331</v>
      </c>
      <c r="O130" s="173">
        <v>9445</v>
      </c>
      <c r="P130" s="172">
        <v>564</v>
      </c>
      <c r="Q130" s="172">
        <f t="shared" si="2"/>
        <v>829.95121951219517</v>
      </c>
      <c r="R130" s="173">
        <v>13087</v>
      </c>
      <c r="S130" s="172">
        <v>185.09999999999991</v>
      </c>
      <c r="T130" s="172">
        <f t="shared" si="3"/>
        <v>272.38292682926817</v>
      </c>
      <c r="U130" s="164"/>
      <c r="V130" s="167" t="s">
        <v>12</v>
      </c>
      <c r="W130" s="171">
        <f>IF('Tab3'!C32="",'Tab3'!C33,'Tab3'!C34)</f>
        <v>8890</v>
      </c>
      <c r="X130" s="171">
        <f>IF('Tab3'!D32="",'Tab3'!D33,'Tab3'!D34)</f>
        <v>9026</v>
      </c>
      <c r="Y130" s="171">
        <f>IF('Tab3'!E32="",'Tab3'!E33,'Tab3'!E34)</f>
        <v>8825.3934933599994</v>
      </c>
      <c r="Z130" s="164"/>
      <c r="AA130" s="164"/>
      <c r="AB130" s="164"/>
      <c r="AC130" s="164"/>
      <c r="AD130" s="164"/>
      <c r="AE130" s="164"/>
      <c r="AF130" s="164"/>
      <c r="AG130" s="164"/>
      <c r="AH130" s="164"/>
    </row>
    <row r="131" spans="1:34" x14ac:dyDescent="0.25">
      <c r="A131" s="167">
        <v>1</v>
      </c>
      <c r="B131" s="167">
        <v>1998</v>
      </c>
      <c r="C131" s="167">
        <v>150</v>
      </c>
      <c r="D131" s="167">
        <v>131.9</v>
      </c>
      <c r="E131" s="167"/>
      <c r="F131" s="167" t="s">
        <v>78</v>
      </c>
      <c r="G131" s="167"/>
      <c r="H131" s="164"/>
      <c r="I131" s="172">
        <v>99.3</v>
      </c>
      <c r="J131" s="164">
        <v>1</v>
      </c>
      <c r="K131" s="164">
        <v>1998</v>
      </c>
      <c r="L131" s="173">
        <v>17629</v>
      </c>
      <c r="M131" s="172">
        <v>285</v>
      </c>
      <c r="N131" s="172">
        <f t="shared" si="4"/>
        <v>415.58912386706947</v>
      </c>
      <c r="O131" s="173">
        <v>7614</v>
      </c>
      <c r="P131" s="172">
        <v>599.6</v>
      </c>
      <c r="Q131" s="172">
        <f t="shared" si="2"/>
        <v>874.34118831822764</v>
      </c>
      <c r="R131" s="173">
        <v>11958</v>
      </c>
      <c r="S131" s="172">
        <v>185.4</v>
      </c>
      <c r="T131" s="172">
        <f t="shared" si="3"/>
        <v>270.35166163141997</v>
      </c>
      <c r="U131" s="164"/>
      <c r="V131" s="167" t="s">
        <v>7</v>
      </c>
      <c r="W131" s="171">
        <f>IF('Tab3'!C18="",'Tab3'!C17,'Tab3'!C18)</f>
        <v>9129</v>
      </c>
      <c r="X131" s="171">
        <f>IF('Tab3'!D18="",'Tab3'!D17,'Tab3'!D18)</f>
        <v>9685</v>
      </c>
      <c r="Y131" s="171">
        <f>IF('Tab3'!E18="",'Tab3'!E17,'Tab3'!E18)</f>
        <v>9463</v>
      </c>
      <c r="Z131" s="164"/>
      <c r="AA131" s="164"/>
      <c r="AB131" s="164"/>
      <c r="AC131" s="164"/>
      <c r="AD131" s="164"/>
      <c r="AE131" s="164"/>
      <c r="AF131" s="164"/>
      <c r="AG131" s="164"/>
      <c r="AH131" s="164"/>
    </row>
    <row r="132" spans="1:34" x14ac:dyDescent="0.25">
      <c r="A132" s="167">
        <v>2</v>
      </c>
      <c r="B132" s="167"/>
      <c r="C132" s="167">
        <f>289.8-C131</f>
        <v>139.80000000000001</v>
      </c>
      <c r="D132" s="167">
        <f>253.9-D131</f>
        <v>122</v>
      </c>
      <c r="E132" s="167"/>
      <c r="F132" s="167" t="s">
        <v>79</v>
      </c>
      <c r="G132" s="167" t="s">
        <v>80</v>
      </c>
      <c r="H132" s="164"/>
      <c r="I132" s="172">
        <v>99.7</v>
      </c>
      <c r="J132" s="164">
        <v>2</v>
      </c>
      <c r="K132" s="164"/>
      <c r="L132" s="173">
        <v>14484</v>
      </c>
      <c r="M132" s="172">
        <v>253.5</v>
      </c>
      <c r="N132" s="172">
        <f t="shared" si="4"/>
        <v>368.17251755265801</v>
      </c>
      <c r="O132" s="173">
        <v>6009</v>
      </c>
      <c r="P132" s="172">
        <v>576.9</v>
      </c>
      <c r="Q132" s="172">
        <f t="shared" si="2"/>
        <v>837.8647943831495</v>
      </c>
      <c r="R132" s="173">
        <v>15060</v>
      </c>
      <c r="S132" s="172">
        <v>204.20000000000002</v>
      </c>
      <c r="T132" s="172">
        <f t="shared" si="3"/>
        <v>296.57131394182551</v>
      </c>
      <c r="U132" s="164"/>
      <c r="V132" s="164" t="s">
        <v>113</v>
      </c>
      <c r="W132" s="171">
        <f>IF('Tab10'!C8="",'Tab10'!C7,'Tab10'!C8)</f>
        <v>15847</v>
      </c>
      <c r="X132" s="171">
        <f>IF('Tab10'!D8="",'Tab10'!D7,'Tab10'!D8)</f>
        <v>16072.498266667</v>
      </c>
      <c r="Y132" s="171">
        <f>IF('Tab10'!E8="",'Tab10'!E7,'Tab10'!E8)</f>
        <v>14653.806941663001</v>
      </c>
      <c r="Z132" s="164"/>
      <c r="AA132" s="164"/>
      <c r="AB132" s="164"/>
      <c r="AC132" s="164"/>
      <c r="AD132" s="164"/>
      <c r="AE132" s="164"/>
      <c r="AF132" s="164"/>
      <c r="AG132" s="164"/>
      <c r="AH132" s="164"/>
    </row>
    <row r="133" spans="1:34" x14ac:dyDescent="0.25">
      <c r="A133" s="167">
        <v>3</v>
      </c>
      <c r="B133" s="167"/>
      <c r="C133" s="167">
        <f>+E133-C131-C132</f>
        <v>128.09999999999997</v>
      </c>
      <c r="D133" s="167">
        <f>+G133-D131-D132</f>
        <v>112.1</v>
      </c>
      <c r="E133" s="167">
        <v>417.9</v>
      </c>
      <c r="F133" s="164"/>
      <c r="G133" s="167">
        <v>366</v>
      </c>
      <c r="H133" s="164"/>
      <c r="I133" s="176">
        <v>99.8</v>
      </c>
      <c r="J133" s="164">
        <v>3</v>
      </c>
      <c r="K133" s="164"/>
      <c r="L133" s="173">
        <v>15693</v>
      </c>
      <c r="M133" s="172">
        <v>257.89999999999998</v>
      </c>
      <c r="N133" s="172">
        <f t="shared" si="4"/>
        <v>374.18757515030063</v>
      </c>
      <c r="O133" s="173">
        <v>8328</v>
      </c>
      <c r="P133" s="172">
        <v>432.80000000000018</v>
      </c>
      <c r="Q133" s="172">
        <f t="shared" si="2"/>
        <v>627.9503006012028</v>
      </c>
      <c r="R133" s="173">
        <v>17098</v>
      </c>
      <c r="S133" s="172">
        <v>209.60000000000002</v>
      </c>
      <c r="T133" s="172">
        <f t="shared" si="3"/>
        <v>304.1090180360722</v>
      </c>
      <c r="U133" s="164"/>
      <c r="V133" s="167" t="s">
        <v>9</v>
      </c>
      <c r="W133" s="171">
        <f>IF('Tab3'!C22="",'Tab3'!C21,'Tab3'!C22)</f>
        <v>22664</v>
      </c>
      <c r="X133" s="171">
        <f>IF('Tab3'!D22="",'Tab3'!D21,'Tab3'!D22)</f>
        <v>24133</v>
      </c>
      <c r="Y133" s="171">
        <f>IF('Tab3'!E22="",'Tab3'!E21,'Tab3'!E22)</f>
        <v>25480.007092866999</v>
      </c>
      <c r="Z133" s="164"/>
      <c r="AA133" s="164"/>
      <c r="AB133" s="164"/>
      <c r="AC133" s="164"/>
      <c r="AD133" s="164"/>
      <c r="AE133" s="164"/>
      <c r="AF133" s="164"/>
      <c r="AG133" s="164"/>
      <c r="AH133" s="164"/>
    </row>
    <row r="134" spans="1:34" x14ac:dyDescent="0.25">
      <c r="A134" s="167">
        <v>4</v>
      </c>
      <c r="B134" s="167"/>
      <c r="C134" s="167">
        <f>+E134-E133</f>
        <v>141.80000000000007</v>
      </c>
      <c r="D134" s="167">
        <f>+G134-G133</f>
        <v>125.60000000000002</v>
      </c>
      <c r="E134" s="167">
        <v>559.70000000000005</v>
      </c>
      <c r="F134" s="164"/>
      <c r="G134" s="167">
        <v>491.6</v>
      </c>
      <c r="H134" s="164"/>
      <c r="I134" s="176">
        <v>100.7</v>
      </c>
      <c r="J134" s="164">
        <v>4</v>
      </c>
      <c r="K134" s="164"/>
      <c r="L134" s="173">
        <v>16502</v>
      </c>
      <c r="M134" s="172">
        <v>299.10000000000002</v>
      </c>
      <c r="N134" s="172">
        <f t="shared" si="4"/>
        <v>430.08619662363463</v>
      </c>
      <c r="O134" s="173">
        <v>7526</v>
      </c>
      <c r="P134" s="172">
        <v>738.59999999999945</v>
      </c>
      <c r="Q134" s="172">
        <f t="shared" si="2"/>
        <v>1062.058391261171</v>
      </c>
      <c r="R134" s="173">
        <v>14647</v>
      </c>
      <c r="S134" s="172">
        <v>205.79999999999995</v>
      </c>
      <c r="T134" s="172">
        <f t="shared" si="3"/>
        <v>295.92691161866929</v>
      </c>
      <c r="U134" s="164"/>
      <c r="V134" s="164"/>
      <c r="W134" s="164"/>
      <c r="X134" s="164"/>
      <c r="Y134" s="164"/>
      <c r="Z134" s="164"/>
      <c r="AA134" s="164"/>
      <c r="AB134" s="164"/>
      <c r="AC134" s="164"/>
      <c r="AD134" s="164"/>
      <c r="AE134" s="164"/>
      <c r="AF134" s="164"/>
      <c r="AG134" s="164"/>
      <c r="AH134" s="164"/>
    </row>
    <row r="135" spans="1:34" x14ac:dyDescent="0.25">
      <c r="A135" s="167">
        <v>1</v>
      </c>
      <c r="B135" s="167">
        <v>1999</v>
      </c>
      <c r="C135" s="167">
        <f>+E135</f>
        <v>154.19999999999999</v>
      </c>
      <c r="D135" s="167">
        <f>+G135</f>
        <v>137.1</v>
      </c>
      <c r="E135" s="167">
        <v>154.19999999999999</v>
      </c>
      <c r="F135" s="164"/>
      <c r="G135" s="167">
        <v>137.1</v>
      </c>
      <c r="H135" s="164"/>
      <c r="I135" s="176">
        <v>101.4</v>
      </c>
      <c r="J135" s="164">
        <v>1</v>
      </c>
      <c r="K135" s="164">
        <v>1999</v>
      </c>
      <c r="L135" s="173">
        <v>18095</v>
      </c>
      <c r="M135" s="172">
        <v>328.50000000000006</v>
      </c>
      <c r="N135" s="172">
        <f t="shared" si="4"/>
        <v>469.10059171597641</v>
      </c>
      <c r="O135" s="173">
        <v>8863</v>
      </c>
      <c r="P135" s="172">
        <v>689.1</v>
      </c>
      <c r="Q135" s="172">
        <f t="shared" si="2"/>
        <v>984.04023668639059</v>
      </c>
      <c r="R135" s="173">
        <v>11175</v>
      </c>
      <c r="S135" s="172">
        <v>162.80000000000001</v>
      </c>
      <c r="T135" s="172">
        <f t="shared" si="3"/>
        <v>232.47968441814598</v>
      </c>
      <c r="U135" s="164"/>
      <c r="V135" s="164"/>
      <c r="W135" s="164"/>
      <c r="X135" s="164"/>
      <c r="Y135" s="164"/>
      <c r="Z135" s="164"/>
      <c r="AA135" s="164"/>
      <c r="AB135" s="164"/>
      <c r="AC135" s="164"/>
      <c r="AD135" s="164"/>
      <c r="AE135" s="164"/>
      <c r="AF135" s="164"/>
      <c r="AG135" s="164"/>
      <c r="AH135" s="164"/>
    </row>
    <row r="136" spans="1:34" x14ac:dyDescent="0.25">
      <c r="A136" s="167">
        <v>2</v>
      </c>
      <c r="B136" s="167"/>
      <c r="C136" s="167">
        <f>+E136-E135</f>
        <v>159.30000000000001</v>
      </c>
      <c r="D136" s="167">
        <f>+G136-G135</f>
        <v>140.70000000000002</v>
      </c>
      <c r="E136" s="167">
        <v>313.5</v>
      </c>
      <c r="F136" s="164"/>
      <c r="G136" s="167">
        <v>277.8</v>
      </c>
      <c r="H136" s="164"/>
      <c r="I136" s="176">
        <v>102.2</v>
      </c>
      <c r="J136" s="164">
        <v>2</v>
      </c>
      <c r="K136" s="164"/>
      <c r="L136" s="173">
        <v>12899</v>
      </c>
      <c r="M136" s="172">
        <v>332.7</v>
      </c>
      <c r="N136" s="172">
        <f t="shared" si="4"/>
        <v>471.37925636007827</v>
      </c>
      <c r="O136" s="173">
        <v>5920</v>
      </c>
      <c r="P136" s="172">
        <v>874.6</v>
      </c>
      <c r="Q136" s="172">
        <f t="shared" si="2"/>
        <v>1239.1592954990217</v>
      </c>
      <c r="R136" s="173">
        <v>12451</v>
      </c>
      <c r="S136" s="172">
        <v>199.09999999999997</v>
      </c>
      <c r="T136" s="172">
        <f t="shared" si="3"/>
        <v>282.09080234833658</v>
      </c>
      <c r="U136" s="164"/>
      <c r="V136" s="164"/>
      <c r="W136" s="164"/>
      <c r="X136" s="164"/>
      <c r="Y136" s="164"/>
      <c r="Z136" s="164"/>
      <c r="AA136" s="164"/>
      <c r="AB136" s="164"/>
      <c r="AC136" s="164"/>
      <c r="AD136" s="164"/>
      <c r="AE136" s="164"/>
      <c r="AF136" s="164"/>
      <c r="AG136" s="164"/>
      <c r="AH136" s="164"/>
    </row>
    <row r="137" spans="1:34" x14ac:dyDescent="0.25">
      <c r="A137" s="167">
        <v>3</v>
      </c>
      <c r="B137" s="167"/>
      <c r="C137" s="167">
        <f>+E137-E136</f>
        <v>146.30000000000001</v>
      </c>
      <c r="D137" s="167">
        <f>+G137-G136</f>
        <v>128.69999999999999</v>
      </c>
      <c r="E137" s="167">
        <v>459.8</v>
      </c>
      <c r="F137" s="164"/>
      <c r="G137" s="167">
        <v>406.5</v>
      </c>
      <c r="H137" s="164"/>
      <c r="I137" s="176">
        <v>101.7</v>
      </c>
      <c r="J137" s="164">
        <v>3</v>
      </c>
      <c r="K137" s="164"/>
      <c r="L137" s="173">
        <v>23305</v>
      </c>
      <c r="M137" s="172">
        <v>445.5</v>
      </c>
      <c r="N137" s="172">
        <f t="shared" si="4"/>
        <v>634.30088495575217</v>
      </c>
      <c r="O137" s="173">
        <v>11181</v>
      </c>
      <c r="P137" s="172">
        <v>566.99999999999977</v>
      </c>
      <c r="Q137" s="172">
        <f t="shared" si="2"/>
        <v>807.29203539822981</v>
      </c>
      <c r="R137" s="173">
        <v>18817</v>
      </c>
      <c r="S137" s="172">
        <v>227.70000000000005</v>
      </c>
      <c r="T137" s="172">
        <f t="shared" si="3"/>
        <v>324.19823008849568</v>
      </c>
      <c r="U137" s="164"/>
      <c r="V137" s="164"/>
      <c r="W137" s="164"/>
      <c r="X137" s="164"/>
      <c r="Y137" s="164"/>
      <c r="Z137" s="164"/>
      <c r="AA137" s="164"/>
      <c r="AB137" s="164"/>
      <c r="AC137" s="164"/>
      <c r="AD137" s="164"/>
      <c r="AE137" s="164"/>
      <c r="AF137" s="164"/>
      <c r="AG137" s="164"/>
      <c r="AH137" s="164"/>
    </row>
    <row r="138" spans="1:34" x14ac:dyDescent="0.25">
      <c r="A138" s="167">
        <v>4</v>
      </c>
      <c r="B138" s="167"/>
      <c r="C138" s="167">
        <f>+E138-E137</f>
        <v>141.90000000000003</v>
      </c>
      <c r="D138" s="167">
        <f>+G138-G137</f>
        <v>126.39999999999998</v>
      </c>
      <c r="E138" s="167">
        <v>601.70000000000005</v>
      </c>
      <c r="F138" s="164"/>
      <c r="G138" s="167">
        <v>532.9</v>
      </c>
      <c r="H138" s="164"/>
      <c r="I138" s="172">
        <v>103.5</v>
      </c>
      <c r="J138" s="164">
        <v>4</v>
      </c>
      <c r="K138" s="164"/>
      <c r="L138" s="173">
        <v>18359</v>
      </c>
      <c r="M138" s="172">
        <v>410.59999999999968</v>
      </c>
      <c r="N138" s="172">
        <f t="shared" si="4"/>
        <v>574.44328502415419</v>
      </c>
      <c r="O138" s="173">
        <v>9544</v>
      </c>
      <c r="P138" s="172">
        <v>935.5</v>
      </c>
      <c r="Q138" s="172">
        <f t="shared" si="2"/>
        <v>1308.7961352657005</v>
      </c>
      <c r="R138" s="173">
        <v>13692</v>
      </c>
      <c r="S138" s="172">
        <v>192.19999999999993</v>
      </c>
      <c r="T138" s="172">
        <f t="shared" si="3"/>
        <v>268.89429951690812</v>
      </c>
      <c r="U138" s="164"/>
      <c r="V138" s="164"/>
      <c r="W138" s="164"/>
      <c r="X138" s="164"/>
      <c r="Y138" s="164"/>
      <c r="Z138" s="164"/>
      <c r="AA138" s="164"/>
      <c r="AB138" s="164"/>
      <c r="AC138" s="164"/>
      <c r="AD138" s="164"/>
      <c r="AE138" s="164"/>
      <c r="AF138" s="164"/>
      <c r="AG138" s="164"/>
      <c r="AH138" s="164"/>
    </row>
    <row r="139" spans="1:34" x14ac:dyDescent="0.25">
      <c r="A139" s="167">
        <v>1</v>
      </c>
      <c r="B139" s="167">
        <v>2000</v>
      </c>
      <c r="C139" s="167">
        <f>+E139</f>
        <v>169.1</v>
      </c>
      <c r="D139" s="167">
        <f>+G139</f>
        <v>150.9</v>
      </c>
      <c r="E139" s="167">
        <v>169.1</v>
      </c>
      <c r="F139" s="164"/>
      <c r="G139" s="167">
        <v>150.9</v>
      </c>
      <c r="H139" s="164"/>
      <c r="I139" s="172">
        <v>104.6</v>
      </c>
      <c r="J139" s="164">
        <v>1</v>
      </c>
      <c r="K139" s="164">
        <v>2000</v>
      </c>
      <c r="L139" s="173">
        <v>17570</v>
      </c>
      <c r="M139" s="172">
        <v>345.9</v>
      </c>
      <c r="N139" s="172">
        <f t="shared" si="4"/>
        <v>478.83671128107079</v>
      </c>
      <c r="O139" s="173">
        <v>9154</v>
      </c>
      <c r="P139" s="172">
        <v>819.9</v>
      </c>
      <c r="Q139" s="172">
        <f t="shared" si="2"/>
        <v>1135.0049713193118</v>
      </c>
      <c r="R139" s="173">
        <v>12421</v>
      </c>
      <c r="S139" s="172">
        <v>198</v>
      </c>
      <c r="T139" s="172">
        <f t="shared" si="3"/>
        <v>274.09560229445509</v>
      </c>
      <c r="U139" s="164"/>
      <c r="V139" s="164"/>
      <c r="W139" s="164"/>
      <c r="X139" s="164"/>
      <c r="Y139" s="164"/>
      <c r="Z139" s="164"/>
      <c r="AA139" s="164"/>
      <c r="AB139" s="164"/>
      <c r="AC139" s="164"/>
      <c r="AD139" s="164"/>
      <c r="AE139" s="164"/>
      <c r="AF139" s="164"/>
      <c r="AG139" s="164"/>
      <c r="AH139" s="164"/>
    </row>
    <row r="140" spans="1:34" x14ac:dyDescent="0.25">
      <c r="A140" s="167">
        <v>2</v>
      </c>
      <c r="B140" s="167"/>
      <c r="C140" s="167">
        <f>+E140-E139</f>
        <v>151.50000000000003</v>
      </c>
      <c r="D140" s="167">
        <f>+G140-G139</f>
        <v>133.4</v>
      </c>
      <c r="E140" s="167">
        <v>320.60000000000002</v>
      </c>
      <c r="F140" s="164"/>
      <c r="G140" s="167">
        <v>284.3</v>
      </c>
      <c r="H140" s="164"/>
      <c r="I140" s="172">
        <v>105.1</v>
      </c>
      <c r="J140" s="164">
        <v>2</v>
      </c>
      <c r="K140" s="164"/>
      <c r="L140" s="173">
        <v>14069</v>
      </c>
      <c r="M140" s="172">
        <v>252.39999999999998</v>
      </c>
      <c r="N140" s="172">
        <f t="shared" si="4"/>
        <v>347.74043767840158</v>
      </c>
      <c r="O140" s="173">
        <v>10238</v>
      </c>
      <c r="P140" s="172">
        <v>674.19999999999993</v>
      </c>
      <c r="Q140" s="172">
        <f t="shared" si="2"/>
        <v>928.8692673644149</v>
      </c>
      <c r="R140" s="173">
        <v>13950</v>
      </c>
      <c r="S140" s="172">
        <v>184.5</v>
      </c>
      <c r="T140" s="172">
        <f t="shared" si="3"/>
        <v>254.1921979067555</v>
      </c>
      <c r="U140" s="164"/>
      <c r="V140" s="164"/>
      <c r="W140" s="164"/>
      <c r="X140" s="164"/>
      <c r="Y140" s="164"/>
      <c r="Z140" s="164"/>
      <c r="AA140" s="164"/>
      <c r="AB140" s="164"/>
      <c r="AC140" s="164"/>
      <c r="AD140" s="164"/>
      <c r="AE140" s="164"/>
      <c r="AF140" s="164"/>
      <c r="AG140" s="164"/>
      <c r="AH140" s="164"/>
    </row>
    <row r="141" spans="1:34" x14ac:dyDescent="0.25">
      <c r="A141" s="167">
        <v>3</v>
      </c>
      <c r="B141" s="167"/>
      <c r="C141" s="167">
        <f>+E141-E140</f>
        <v>139</v>
      </c>
      <c r="D141" s="167">
        <f>+G141-G140</f>
        <v>123.5</v>
      </c>
      <c r="E141" s="167">
        <v>459.6</v>
      </c>
      <c r="F141" s="164"/>
      <c r="G141" s="167">
        <v>407.8</v>
      </c>
      <c r="H141" s="164"/>
      <c r="I141" s="172">
        <v>105.3</v>
      </c>
      <c r="J141" s="164">
        <v>3</v>
      </c>
      <c r="K141" s="164"/>
      <c r="L141" s="173">
        <v>16329</v>
      </c>
      <c r="M141" s="172">
        <v>313.5</v>
      </c>
      <c r="N141" s="172">
        <f t="shared" si="4"/>
        <v>431.09971509971513</v>
      </c>
      <c r="O141" s="173">
        <v>13877</v>
      </c>
      <c r="P141" s="172">
        <v>706.20000000000027</v>
      </c>
      <c r="Q141" s="172">
        <f t="shared" si="2"/>
        <v>971.10883190883237</v>
      </c>
      <c r="R141" s="173">
        <v>14850</v>
      </c>
      <c r="S141" s="172">
        <v>193.89999999999998</v>
      </c>
      <c r="T141" s="172">
        <f t="shared" si="3"/>
        <v>266.6355175688509</v>
      </c>
      <c r="U141" s="164"/>
      <c r="V141" s="164"/>
      <c r="W141" s="164"/>
      <c r="X141" s="164"/>
      <c r="Y141" s="164"/>
      <c r="Z141" s="164"/>
      <c r="AA141" s="164"/>
      <c r="AB141" s="164"/>
      <c r="AC141" s="164"/>
      <c r="AD141" s="164"/>
      <c r="AE141" s="164"/>
      <c r="AF141" s="164"/>
      <c r="AG141" s="164"/>
      <c r="AH141" s="164"/>
    </row>
    <row r="142" spans="1:34" x14ac:dyDescent="0.25">
      <c r="A142" s="167">
        <v>4</v>
      </c>
      <c r="B142" s="167"/>
      <c r="C142" s="167">
        <f>+E142-E141</f>
        <v>135.10000000000002</v>
      </c>
      <c r="D142" s="167">
        <f>+G142-G141</f>
        <v>121.40000000000003</v>
      </c>
      <c r="E142" s="167">
        <v>594.70000000000005</v>
      </c>
      <c r="F142" s="164"/>
      <c r="G142" s="167">
        <v>529.20000000000005</v>
      </c>
      <c r="H142" s="164"/>
      <c r="I142" s="172">
        <v>106.8</v>
      </c>
      <c r="J142" s="164">
        <v>4</v>
      </c>
      <c r="K142" s="164"/>
      <c r="L142" s="173">
        <v>21735</v>
      </c>
      <c r="M142" s="172">
        <v>484.79999999999995</v>
      </c>
      <c r="N142" s="172">
        <f t="shared" si="4"/>
        <v>657.29438202247195</v>
      </c>
      <c r="O142" s="173">
        <v>9978</v>
      </c>
      <c r="P142" s="172">
        <v>739.19999999999982</v>
      </c>
      <c r="Q142" s="172">
        <f t="shared" si="2"/>
        <v>1002.2112359550561</v>
      </c>
      <c r="R142" s="173">
        <v>13212</v>
      </c>
      <c r="S142" s="172">
        <v>215</v>
      </c>
      <c r="T142" s="172">
        <f t="shared" si="3"/>
        <v>291.498127340824</v>
      </c>
      <c r="U142" s="164"/>
      <c r="V142" s="164"/>
      <c r="W142" s="164"/>
      <c r="X142" s="164"/>
      <c r="Y142" s="164"/>
      <c r="Z142" s="164"/>
      <c r="AA142" s="164"/>
      <c r="AB142" s="164"/>
      <c r="AC142" s="164"/>
      <c r="AD142" s="164"/>
      <c r="AE142" s="164"/>
      <c r="AF142" s="164"/>
      <c r="AG142" s="164"/>
      <c r="AH142" s="164"/>
    </row>
    <row r="143" spans="1:34" x14ac:dyDescent="0.25">
      <c r="A143" s="167">
        <v>1</v>
      </c>
      <c r="B143" s="167">
        <v>2001</v>
      </c>
      <c r="C143" s="167">
        <f>+E143</f>
        <v>158.5</v>
      </c>
      <c r="D143" s="167">
        <f>+G143</f>
        <v>143.1</v>
      </c>
      <c r="E143" s="167">
        <v>158.5</v>
      </c>
      <c r="F143" s="164"/>
      <c r="G143" s="167">
        <v>143.1</v>
      </c>
      <c r="H143" s="164"/>
      <c r="I143" s="172">
        <v>108.4</v>
      </c>
      <c r="J143" s="164">
        <v>1</v>
      </c>
      <c r="K143" s="164">
        <v>2001</v>
      </c>
      <c r="L143" s="173">
        <v>27280</v>
      </c>
      <c r="M143" s="172">
        <v>675.3</v>
      </c>
      <c r="N143" s="172">
        <f t="shared" si="4"/>
        <v>902.06125461254612</v>
      </c>
      <c r="O143" s="173">
        <v>7776</v>
      </c>
      <c r="P143" s="172">
        <v>877</v>
      </c>
      <c r="Q143" s="172">
        <f t="shared" si="2"/>
        <v>1171.490774907749</v>
      </c>
      <c r="R143" s="173">
        <v>10538</v>
      </c>
      <c r="S143" s="172">
        <v>164.1</v>
      </c>
      <c r="T143" s="172">
        <f t="shared" si="3"/>
        <v>219.20369003690035</v>
      </c>
      <c r="U143" s="164"/>
      <c r="V143" s="164"/>
      <c r="W143" s="164"/>
      <c r="X143" s="164"/>
      <c r="Y143" s="164"/>
      <c r="Z143" s="164"/>
      <c r="AA143" s="164"/>
      <c r="AB143" s="164"/>
      <c r="AC143" s="164"/>
      <c r="AD143" s="164"/>
      <c r="AE143" s="164"/>
      <c r="AF143" s="164"/>
      <c r="AG143" s="164"/>
      <c r="AH143" s="164"/>
    </row>
    <row r="144" spans="1:34" x14ac:dyDescent="0.25">
      <c r="A144" s="167">
        <v>2</v>
      </c>
      <c r="B144" s="167"/>
      <c r="C144" s="167">
        <f>+E144-E143</f>
        <v>140.45999999999998</v>
      </c>
      <c r="D144" s="167">
        <f>+G144-G143</f>
        <v>125.70000000000002</v>
      </c>
      <c r="E144" s="167">
        <v>298.95999999999998</v>
      </c>
      <c r="F144" s="164"/>
      <c r="G144" s="167">
        <v>268.8</v>
      </c>
      <c r="H144" s="164"/>
      <c r="I144" s="172">
        <v>109.6</v>
      </c>
      <c r="J144" s="164">
        <v>2</v>
      </c>
      <c r="K144" s="164"/>
      <c r="L144" s="173">
        <v>17111</v>
      </c>
      <c r="M144" s="172">
        <v>452</v>
      </c>
      <c r="N144" s="172">
        <f t="shared" si="4"/>
        <v>597.16788321167894</v>
      </c>
      <c r="O144" s="173">
        <v>5711</v>
      </c>
      <c r="P144" s="172">
        <v>923</v>
      </c>
      <c r="Q144" s="172">
        <f t="shared" si="2"/>
        <v>1219.4379562043796</v>
      </c>
      <c r="R144" s="173">
        <v>11841</v>
      </c>
      <c r="S144" s="172">
        <v>190.29999999999998</v>
      </c>
      <c r="T144" s="172">
        <f t="shared" si="3"/>
        <v>251.41824817518247</v>
      </c>
      <c r="U144" s="164"/>
      <c r="V144" s="164"/>
      <c r="W144" s="164"/>
      <c r="X144" s="164"/>
      <c r="Y144" s="164"/>
      <c r="Z144" s="164"/>
      <c r="AA144" s="164"/>
      <c r="AB144" s="164"/>
      <c r="AC144" s="164"/>
      <c r="AD144" s="164"/>
      <c r="AE144" s="164"/>
      <c r="AF144" s="164"/>
      <c r="AG144" s="164"/>
      <c r="AH144" s="164"/>
    </row>
    <row r="145" spans="1:34" x14ac:dyDescent="0.25">
      <c r="A145" s="167">
        <v>3</v>
      </c>
      <c r="B145" s="164"/>
      <c r="C145" s="167">
        <f>+E145-E144</f>
        <v>134.24</v>
      </c>
      <c r="D145" s="167">
        <f>+G145-G144</f>
        <v>119.19999999999999</v>
      </c>
      <c r="E145" s="167">
        <v>433.2</v>
      </c>
      <c r="F145" s="164"/>
      <c r="G145" s="167">
        <v>388</v>
      </c>
      <c r="H145" s="164"/>
      <c r="I145" s="172">
        <v>108.1</v>
      </c>
      <c r="J145" s="164">
        <v>3</v>
      </c>
      <c r="K145" s="164"/>
      <c r="L145" s="173">
        <v>16407</v>
      </c>
      <c r="M145" s="172">
        <v>400.40000000000009</v>
      </c>
      <c r="N145" s="172">
        <f t="shared" si="4"/>
        <v>536.33598519889006</v>
      </c>
      <c r="O145" s="173">
        <v>15359</v>
      </c>
      <c r="P145" s="172">
        <v>1172.1999999999998</v>
      </c>
      <c r="Q145" s="172">
        <f t="shared" si="2"/>
        <v>1570.1624421831636</v>
      </c>
      <c r="R145" s="173">
        <v>13534</v>
      </c>
      <c r="S145" s="172">
        <v>158.5</v>
      </c>
      <c r="T145" s="172">
        <f t="shared" si="3"/>
        <v>212.31082331174838</v>
      </c>
      <c r="U145" s="164"/>
      <c r="V145" s="164"/>
      <c r="W145" s="164"/>
      <c r="X145" s="164"/>
      <c r="Y145" s="164"/>
      <c r="Z145" s="164"/>
      <c r="AA145" s="164"/>
      <c r="AB145" s="164"/>
      <c r="AC145" s="164"/>
      <c r="AD145" s="164"/>
      <c r="AE145" s="164"/>
      <c r="AF145" s="164"/>
      <c r="AG145" s="164"/>
      <c r="AH145" s="164"/>
    </row>
    <row r="146" spans="1:34" x14ac:dyDescent="0.25">
      <c r="A146" s="167">
        <v>4</v>
      </c>
      <c r="B146" s="164"/>
      <c r="C146" s="167">
        <f>+E146-E145</f>
        <v>137.49520000000001</v>
      </c>
      <c r="D146" s="167">
        <f>+G146-G145</f>
        <v>124.07220000000007</v>
      </c>
      <c r="E146" s="175">
        <v>570.6952</v>
      </c>
      <c r="F146" s="180"/>
      <c r="G146" s="175">
        <v>512.07220000000007</v>
      </c>
      <c r="H146" s="164"/>
      <c r="I146" s="172">
        <v>108.7</v>
      </c>
      <c r="J146" s="164">
        <v>4</v>
      </c>
      <c r="K146" s="164"/>
      <c r="L146" s="173">
        <v>16945</v>
      </c>
      <c r="M146" s="172">
        <v>509.39999999999986</v>
      </c>
      <c r="N146" s="172">
        <f t="shared" si="4"/>
        <v>678.57516099356008</v>
      </c>
      <c r="O146" s="173">
        <v>9601</v>
      </c>
      <c r="P146" s="172">
        <v>803.30000000000018</v>
      </c>
      <c r="Q146" s="172">
        <f t="shared" si="2"/>
        <v>1070.0813247470105</v>
      </c>
      <c r="R146" s="173">
        <v>12341</v>
      </c>
      <c r="S146" s="172">
        <v>258.5</v>
      </c>
      <c r="T146" s="172">
        <f t="shared" si="3"/>
        <v>344.34958601655933</v>
      </c>
      <c r="U146" s="164"/>
      <c r="V146" s="164"/>
      <c r="W146" s="164"/>
      <c r="X146" s="164"/>
      <c r="Y146" s="164"/>
      <c r="Z146" s="164"/>
      <c r="AA146" s="164"/>
      <c r="AB146" s="164"/>
      <c r="AC146" s="164"/>
      <c r="AD146" s="164"/>
      <c r="AE146" s="164"/>
      <c r="AF146" s="164"/>
      <c r="AG146" s="164"/>
      <c r="AH146" s="164"/>
    </row>
    <row r="147" spans="1:34" x14ac:dyDescent="0.25">
      <c r="A147" s="167">
        <v>1</v>
      </c>
      <c r="B147" s="167">
        <v>2002</v>
      </c>
      <c r="C147" s="167">
        <f>+E147</f>
        <v>155.81399999999999</v>
      </c>
      <c r="D147" s="167">
        <f>+G147</f>
        <v>141.72399999999999</v>
      </c>
      <c r="E147" s="175">
        <v>155.81399999999999</v>
      </c>
      <c r="F147" s="180"/>
      <c r="G147" s="175">
        <v>141.72399999999999</v>
      </c>
      <c r="H147" s="164"/>
      <c r="I147" s="172">
        <v>109.3</v>
      </c>
      <c r="J147" s="164">
        <v>1</v>
      </c>
      <c r="K147" s="164">
        <v>2002</v>
      </c>
      <c r="L147" s="173">
        <v>17523</v>
      </c>
      <c r="M147" s="172">
        <v>466.5</v>
      </c>
      <c r="N147" s="172">
        <f t="shared" si="4"/>
        <v>618.01646843549872</v>
      </c>
      <c r="O147" s="173">
        <v>6856</v>
      </c>
      <c r="P147" s="172">
        <v>820.40000000000009</v>
      </c>
      <c r="Q147" s="172">
        <f t="shared" si="2"/>
        <v>1086.8611161939618</v>
      </c>
      <c r="R147" s="173">
        <v>9371</v>
      </c>
      <c r="S147" s="172">
        <v>197.9</v>
      </c>
      <c r="T147" s="172">
        <f t="shared" si="3"/>
        <v>262.17676120768527</v>
      </c>
      <c r="U147" s="164"/>
      <c r="V147" s="164"/>
      <c r="W147" s="164"/>
      <c r="X147" s="164"/>
      <c r="Y147" s="164"/>
      <c r="Z147" s="164"/>
      <c r="AA147" s="164"/>
      <c r="AB147" s="164"/>
      <c r="AC147" s="164"/>
      <c r="AD147" s="164"/>
      <c r="AE147" s="164"/>
      <c r="AF147" s="164"/>
      <c r="AG147" s="164"/>
      <c r="AH147" s="164"/>
    </row>
    <row r="148" spans="1:34" x14ac:dyDescent="0.25">
      <c r="A148" s="167">
        <v>2</v>
      </c>
      <c r="B148" s="167"/>
      <c r="C148" s="167">
        <f>+E148-E147</f>
        <v>146.54300000000003</v>
      </c>
      <c r="D148" s="167">
        <f>+G148-G147</f>
        <v>133.19</v>
      </c>
      <c r="E148" s="167">
        <v>302.35700000000003</v>
      </c>
      <c r="F148" s="164"/>
      <c r="G148" s="167">
        <v>274.91399999999999</v>
      </c>
      <c r="H148" s="164"/>
      <c r="I148" s="172">
        <v>110</v>
      </c>
      <c r="J148" s="164">
        <v>2</v>
      </c>
      <c r="K148" s="164"/>
      <c r="L148" s="173">
        <v>17469</v>
      </c>
      <c r="M148" s="172">
        <v>408.5</v>
      </c>
      <c r="N148" s="172">
        <f t="shared" si="4"/>
        <v>537.73454545454558</v>
      </c>
      <c r="O148" s="173">
        <v>9323</v>
      </c>
      <c r="P148" s="172">
        <v>689.09999999999991</v>
      </c>
      <c r="Q148" s="172">
        <f t="shared" si="2"/>
        <v>907.10618181818177</v>
      </c>
      <c r="R148" s="173">
        <v>14749</v>
      </c>
      <c r="S148" s="172">
        <v>233.49999999999997</v>
      </c>
      <c r="T148" s="172">
        <f t="shared" si="3"/>
        <v>307.37090909090909</v>
      </c>
      <c r="U148" s="164"/>
      <c r="V148" s="164"/>
      <c r="W148" s="164"/>
      <c r="X148" s="164"/>
      <c r="Y148" s="164"/>
      <c r="Z148" s="164"/>
      <c r="AA148" s="164"/>
      <c r="AB148" s="164"/>
      <c r="AC148" s="164"/>
      <c r="AD148" s="164"/>
      <c r="AE148" s="164"/>
      <c r="AF148" s="164"/>
      <c r="AG148" s="164"/>
      <c r="AH148" s="164"/>
    </row>
    <row r="149" spans="1:34" x14ac:dyDescent="0.25">
      <c r="A149" s="167">
        <v>3</v>
      </c>
      <c r="B149" s="164"/>
      <c r="C149" s="167">
        <f>+E149-E148</f>
        <v>146.23099999999999</v>
      </c>
      <c r="D149" s="167">
        <f>+G149-G148</f>
        <v>127.14100000000002</v>
      </c>
      <c r="E149" s="167">
        <v>448.58800000000002</v>
      </c>
      <c r="F149" s="164"/>
      <c r="G149" s="167">
        <v>402.05500000000001</v>
      </c>
      <c r="H149" s="164"/>
      <c r="I149" s="172">
        <v>109.6</v>
      </c>
      <c r="J149" s="164">
        <v>3</v>
      </c>
      <c r="K149" s="164"/>
      <c r="L149" s="173">
        <v>19641</v>
      </c>
      <c r="M149" s="172">
        <v>503</v>
      </c>
      <c r="N149" s="172">
        <f t="shared" si="4"/>
        <v>664.54744525547449</v>
      </c>
      <c r="O149" s="173">
        <v>17422</v>
      </c>
      <c r="P149" s="172">
        <v>895.90000000000009</v>
      </c>
      <c r="Q149" s="172">
        <f t="shared" si="2"/>
        <v>1183.6343065693434</v>
      </c>
      <c r="R149" s="173">
        <v>14722</v>
      </c>
      <c r="S149" s="172">
        <v>184.5</v>
      </c>
      <c r="T149" s="172">
        <f t="shared" si="3"/>
        <v>243.75547445255478</v>
      </c>
      <c r="U149" s="164"/>
      <c r="V149" s="164"/>
      <c r="W149" s="164"/>
      <c r="X149" s="164"/>
      <c r="Y149" s="164"/>
      <c r="Z149" s="164"/>
      <c r="AA149" s="164"/>
      <c r="AB149" s="164"/>
      <c r="AC149" s="164"/>
      <c r="AD149" s="164"/>
      <c r="AE149" s="164"/>
      <c r="AF149" s="164"/>
      <c r="AG149" s="164"/>
      <c r="AH149" s="164"/>
    </row>
    <row r="150" spans="1:34" x14ac:dyDescent="0.25">
      <c r="A150" s="167">
        <v>4</v>
      </c>
      <c r="B150" s="164"/>
      <c r="C150" s="167">
        <f>+E150-E149</f>
        <v>137.96699999999993</v>
      </c>
      <c r="D150" s="167">
        <f>+G150-G149</f>
        <v>124.64100000000002</v>
      </c>
      <c r="E150" s="175">
        <v>586.55499999999995</v>
      </c>
      <c r="F150" s="180"/>
      <c r="G150" s="175">
        <v>526.69600000000003</v>
      </c>
      <c r="H150" s="164"/>
      <c r="I150" s="172">
        <v>111</v>
      </c>
      <c r="J150" s="164">
        <v>4</v>
      </c>
      <c r="K150" s="164"/>
      <c r="L150" s="173">
        <v>17442</v>
      </c>
      <c r="M150" s="172">
        <v>464.20000000000005</v>
      </c>
      <c r="N150" s="172">
        <f t="shared" si="4"/>
        <v>605.55099099099107</v>
      </c>
      <c r="O150" s="173">
        <v>8123</v>
      </c>
      <c r="P150" s="172">
        <v>938.5</v>
      </c>
      <c r="Q150" s="172">
        <f t="shared" si="2"/>
        <v>1224.2774774774775</v>
      </c>
      <c r="R150" s="173">
        <v>14689</v>
      </c>
      <c r="S150" s="172">
        <v>194.00000000000011</v>
      </c>
      <c r="T150" s="172">
        <f t="shared" si="3"/>
        <v>253.07387387387405</v>
      </c>
      <c r="U150" s="164"/>
      <c r="V150" s="164"/>
      <c r="W150" s="164"/>
      <c r="X150" s="164"/>
      <c r="Y150" s="164"/>
      <c r="Z150" s="164"/>
      <c r="AA150" s="164"/>
      <c r="AB150" s="164"/>
      <c r="AC150" s="164"/>
      <c r="AD150" s="164"/>
      <c r="AE150" s="164"/>
      <c r="AF150" s="164"/>
      <c r="AG150" s="164"/>
      <c r="AH150" s="164"/>
    </row>
    <row r="151" spans="1:34" x14ac:dyDescent="0.25">
      <c r="A151" s="167">
        <v>1</v>
      </c>
      <c r="B151" s="167">
        <v>2003</v>
      </c>
      <c r="C151" s="175">
        <f>+E151</f>
        <v>165.679</v>
      </c>
      <c r="D151" s="167">
        <f>+G151</f>
        <v>150.81100000000001</v>
      </c>
      <c r="E151" s="175">
        <v>165.679</v>
      </c>
      <c r="F151" s="180"/>
      <c r="G151" s="175">
        <v>150.81100000000001</v>
      </c>
      <c r="H151" s="164"/>
      <c r="I151" s="172">
        <v>114.6</v>
      </c>
      <c r="J151" s="164">
        <v>1</v>
      </c>
      <c r="K151" s="164">
        <v>2003</v>
      </c>
      <c r="L151" s="173">
        <v>22781</v>
      </c>
      <c r="M151" s="172">
        <v>626.79999999999995</v>
      </c>
      <c r="N151" s="172">
        <f t="shared" si="4"/>
        <v>791.97766143106458</v>
      </c>
      <c r="O151" s="173">
        <v>6823</v>
      </c>
      <c r="P151" s="172">
        <v>1087.2</v>
      </c>
      <c r="Q151" s="172">
        <f t="shared" si="2"/>
        <v>1373.7047120418852</v>
      </c>
      <c r="R151" s="173">
        <v>10626</v>
      </c>
      <c r="S151" s="172">
        <v>183</v>
      </c>
      <c r="T151" s="172">
        <f t="shared" si="3"/>
        <v>231.22513089005238</v>
      </c>
      <c r="U151" s="164"/>
      <c r="V151" s="164"/>
      <c r="W151" s="164"/>
      <c r="X151" s="164"/>
      <c r="Y151" s="164"/>
      <c r="Z151" s="164"/>
      <c r="AA151" s="164"/>
      <c r="AB151" s="164"/>
      <c r="AC151" s="164"/>
      <c r="AD151" s="164"/>
      <c r="AE151" s="164"/>
      <c r="AF151" s="164"/>
      <c r="AG151" s="164"/>
      <c r="AH151" s="164"/>
    </row>
    <row r="152" spans="1:34" x14ac:dyDescent="0.25">
      <c r="A152" s="167">
        <v>2</v>
      </c>
      <c r="B152" s="167"/>
      <c r="C152" s="175">
        <f>+E152-E151</f>
        <v>135.02099999999999</v>
      </c>
      <c r="D152" s="167">
        <f>+G152-G151</f>
        <v>121.10099999999997</v>
      </c>
      <c r="E152" s="167">
        <v>300.7</v>
      </c>
      <c r="F152" s="164"/>
      <c r="G152" s="167">
        <v>271.91199999999998</v>
      </c>
      <c r="H152" s="164"/>
      <c r="I152" s="172">
        <v>112.3</v>
      </c>
      <c r="J152" s="164">
        <v>2</v>
      </c>
      <c r="K152" s="164"/>
      <c r="L152" s="173">
        <v>15417</v>
      </c>
      <c r="M152" s="172">
        <v>406.10000000000014</v>
      </c>
      <c r="N152" s="172">
        <f t="shared" si="4"/>
        <v>523.62671415850423</v>
      </c>
      <c r="O152" s="173">
        <v>5618</v>
      </c>
      <c r="P152" s="172">
        <v>817.8</v>
      </c>
      <c r="Q152" s="172">
        <f t="shared" si="2"/>
        <v>1054.4740872662512</v>
      </c>
      <c r="R152" s="173">
        <v>12719</v>
      </c>
      <c r="S152" s="172">
        <v>203.2</v>
      </c>
      <c r="T152" s="172">
        <f t="shared" si="3"/>
        <v>262.00676758682101</v>
      </c>
      <c r="U152" s="164"/>
      <c r="V152" s="164"/>
      <c r="W152" s="164"/>
      <c r="X152" s="164"/>
      <c r="Y152" s="164"/>
      <c r="Z152" s="164"/>
      <c r="AA152" s="164"/>
      <c r="AB152" s="164"/>
      <c r="AC152" s="164"/>
      <c r="AD152" s="164"/>
      <c r="AE152" s="164"/>
      <c r="AF152" s="164"/>
      <c r="AG152" s="164"/>
      <c r="AH152" s="164"/>
    </row>
    <row r="153" spans="1:34" x14ac:dyDescent="0.25">
      <c r="A153" s="167">
        <v>3</v>
      </c>
      <c r="B153" s="167"/>
      <c r="C153" s="175">
        <f>+E153-E152</f>
        <v>134.11099999999999</v>
      </c>
      <c r="D153" s="167">
        <f>+G153-G152</f>
        <v>119.49100000000004</v>
      </c>
      <c r="E153" s="167">
        <v>434.81099999999998</v>
      </c>
      <c r="F153" s="164"/>
      <c r="G153" s="167">
        <v>391.40300000000002</v>
      </c>
      <c r="H153" s="164"/>
      <c r="I153" s="172">
        <v>111.9</v>
      </c>
      <c r="J153" s="164">
        <v>3</v>
      </c>
      <c r="K153" s="164"/>
      <c r="L153" s="173">
        <v>18848</v>
      </c>
      <c r="M153" s="172">
        <v>430.5</v>
      </c>
      <c r="N153" s="172">
        <f t="shared" si="4"/>
        <v>557.07238605898124</v>
      </c>
      <c r="O153" s="173">
        <v>16056</v>
      </c>
      <c r="P153" s="172">
        <v>860.19999999999982</v>
      </c>
      <c r="Q153" s="172">
        <f t="shared" si="2"/>
        <v>1113.1095621090258</v>
      </c>
      <c r="R153" s="173">
        <v>13690</v>
      </c>
      <c r="S153" s="172">
        <v>188.8</v>
      </c>
      <c r="T153" s="172">
        <f t="shared" si="3"/>
        <v>244.30956210902593</v>
      </c>
      <c r="U153" s="164"/>
      <c r="V153" s="164"/>
      <c r="W153" s="164"/>
      <c r="X153" s="164"/>
      <c r="Y153" s="164"/>
      <c r="Z153" s="164"/>
      <c r="AA153" s="164"/>
      <c r="AB153" s="164"/>
      <c r="AC153" s="164"/>
      <c r="AD153" s="164"/>
      <c r="AE153" s="164"/>
      <c r="AF153" s="164"/>
      <c r="AG153" s="164"/>
      <c r="AH153" s="164"/>
    </row>
    <row r="154" spans="1:34" x14ac:dyDescent="0.25">
      <c r="A154" s="167">
        <v>4</v>
      </c>
      <c r="B154" s="167"/>
      <c r="C154" s="175">
        <f>+E154-E153</f>
        <v>142.01299999999998</v>
      </c>
      <c r="D154" s="167">
        <f>+G154-G153</f>
        <v>125.95899999999995</v>
      </c>
      <c r="E154" s="167">
        <v>576.82399999999996</v>
      </c>
      <c r="F154" s="164"/>
      <c r="G154" s="167">
        <v>517.36199999999997</v>
      </c>
      <c r="H154" s="164"/>
      <c r="I154" s="172">
        <v>112.6</v>
      </c>
      <c r="J154" s="164">
        <v>4</v>
      </c>
      <c r="K154" s="164"/>
      <c r="L154" s="173">
        <v>16096</v>
      </c>
      <c r="M154" s="172">
        <v>471.89999999999986</v>
      </c>
      <c r="N154" s="172">
        <f t="shared" si="4"/>
        <v>606.84831261101237</v>
      </c>
      <c r="O154" s="173">
        <v>7652</v>
      </c>
      <c r="P154" s="172">
        <v>762.30000000000018</v>
      </c>
      <c r="Q154" s="172">
        <f t="shared" si="2"/>
        <v>980.29342806394345</v>
      </c>
      <c r="R154" s="173">
        <v>11607</v>
      </c>
      <c r="S154" s="172">
        <v>220.90000000000009</v>
      </c>
      <c r="T154" s="172">
        <f t="shared" si="3"/>
        <v>284.07033747779769</v>
      </c>
      <c r="U154" s="164"/>
      <c r="V154" s="164"/>
      <c r="W154" s="164"/>
      <c r="X154" s="164"/>
      <c r="Y154" s="164"/>
      <c r="Z154" s="164"/>
      <c r="AA154" s="164"/>
      <c r="AB154" s="164"/>
      <c r="AC154" s="164"/>
      <c r="AD154" s="164"/>
      <c r="AE154" s="164"/>
      <c r="AF154" s="164"/>
      <c r="AG154" s="164"/>
      <c r="AH154" s="164"/>
    </row>
    <row r="155" spans="1:34" x14ac:dyDescent="0.25">
      <c r="A155" s="167">
        <v>1</v>
      </c>
      <c r="B155" s="167">
        <v>2004</v>
      </c>
      <c r="C155" s="175">
        <f>+E155</f>
        <v>168.309</v>
      </c>
      <c r="D155" s="167">
        <f>+G155</f>
        <v>153.04300000000001</v>
      </c>
      <c r="E155" s="167">
        <v>168.309</v>
      </c>
      <c r="F155" s="164"/>
      <c r="G155" s="167">
        <v>153.04300000000001</v>
      </c>
      <c r="H155" s="164"/>
      <c r="I155" s="172">
        <v>112.6</v>
      </c>
      <c r="J155" s="164">
        <v>1</v>
      </c>
      <c r="K155" s="164">
        <v>2004</v>
      </c>
      <c r="L155" s="173">
        <v>17805</v>
      </c>
      <c r="M155" s="172">
        <v>517.69999999999993</v>
      </c>
      <c r="N155" s="172">
        <f t="shared" si="4"/>
        <v>665.74564831261102</v>
      </c>
      <c r="O155" s="173">
        <v>7033</v>
      </c>
      <c r="P155" s="172">
        <v>735.2</v>
      </c>
      <c r="Q155" s="172">
        <f t="shared" si="2"/>
        <v>945.44369449378348</v>
      </c>
      <c r="R155" s="173">
        <v>8913</v>
      </c>
      <c r="S155" s="172">
        <v>178.89999999999998</v>
      </c>
      <c r="T155" s="172">
        <f t="shared" si="3"/>
        <v>230.05968028419181</v>
      </c>
      <c r="U155" s="164"/>
      <c r="V155" s="164"/>
      <c r="W155" s="164"/>
      <c r="X155" s="164"/>
      <c r="Y155" s="164"/>
      <c r="Z155" s="164"/>
      <c r="AA155" s="164"/>
      <c r="AB155" s="164"/>
      <c r="AC155" s="164"/>
      <c r="AD155" s="164"/>
      <c r="AE155" s="164"/>
      <c r="AF155" s="164"/>
      <c r="AG155" s="164"/>
      <c r="AH155" s="164"/>
    </row>
    <row r="156" spans="1:34" x14ac:dyDescent="0.25">
      <c r="A156" s="167">
        <v>2</v>
      </c>
      <c r="B156" s="167"/>
      <c r="C156" s="175">
        <f>+E156-E155</f>
        <v>140.26700000000002</v>
      </c>
      <c r="D156" s="167">
        <f>+G156-G155</f>
        <v>125.56799999999998</v>
      </c>
      <c r="E156" s="167">
        <v>308.57600000000002</v>
      </c>
      <c r="F156" s="164"/>
      <c r="G156" s="167">
        <v>278.61099999999999</v>
      </c>
      <c r="H156" s="164"/>
      <c r="I156" s="172">
        <v>113.4</v>
      </c>
      <c r="J156" s="164">
        <v>2</v>
      </c>
      <c r="K156" s="164"/>
      <c r="L156" s="173">
        <v>13855</v>
      </c>
      <c r="M156" s="172">
        <v>344.69999999999993</v>
      </c>
      <c r="N156" s="172">
        <f t="shared" si="4"/>
        <v>440.14603174603172</v>
      </c>
      <c r="O156" s="173">
        <v>6436</v>
      </c>
      <c r="P156" s="172">
        <v>708.3</v>
      </c>
      <c r="Q156" s="172">
        <f t="shared" si="2"/>
        <v>904.42539682539677</v>
      </c>
      <c r="R156" s="173">
        <v>10802</v>
      </c>
      <c r="S156" s="172">
        <v>228.40000000000003</v>
      </c>
      <c r="T156" s="172">
        <f t="shared" si="3"/>
        <v>291.64303350970022</v>
      </c>
      <c r="U156" s="164"/>
      <c r="V156" s="164"/>
      <c r="W156" s="164"/>
      <c r="X156" s="164"/>
      <c r="Y156" s="164"/>
      <c r="Z156" s="164"/>
      <c r="AA156" s="164"/>
      <c r="AB156" s="164"/>
      <c r="AC156" s="164"/>
      <c r="AD156" s="164"/>
      <c r="AE156" s="164"/>
      <c r="AF156" s="164"/>
      <c r="AG156" s="164"/>
      <c r="AH156" s="164"/>
    </row>
    <row r="157" spans="1:34" x14ac:dyDescent="0.25">
      <c r="A157" s="167">
        <v>3</v>
      </c>
      <c r="B157" s="167"/>
      <c r="C157" s="175">
        <f>+E157-E156</f>
        <v>137.76999999999998</v>
      </c>
      <c r="D157" s="167">
        <f>+G157-G156</f>
        <v>123.12100000000004</v>
      </c>
      <c r="E157" s="167">
        <v>446.346</v>
      </c>
      <c r="F157" s="164"/>
      <c r="G157" s="167">
        <v>401.73200000000003</v>
      </c>
      <c r="H157" s="164"/>
      <c r="I157" s="172">
        <v>113</v>
      </c>
      <c r="J157" s="164">
        <v>3</v>
      </c>
      <c r="K157" s="164"/>
      <c r="L157" s="173">
        <v>17630</v>
      </c>
      <c r="M157" s="172">
        <v>454.09999999999991</v>
      </c>
      <c r="N157" s="172">
        <f t="shared" si="4"/>
        <v>581.89097345132734</v>
      </c>
      <c r="O157" s="173">
        <v>11805</v>
      </c>
      <c r="P157" s="172">
        <v>652.69999999999982</v>
      </c>
      <c r="Q157" s="172">
        <f t="shared" si="2"/>
        <v>836.38017699115039</v>
      </c>
      <c r="R157" s="173">
        <v>11365</v>
      </c>
      <c r="S157" s="172">
        <v>160.7999999999999</v>
      </c>
      <c r="T157" s="172">
        <f t="shared" si="3"/>
        <v>206.0516814159291</v>
      </c>
      <c r="U157" s="164"/>
      <c r="V157" s="164"/>
      <c r="W157" s="164"/>
      <c r="X157" s="164"/>
      <c r="Y157" s="164"/>
      <c r="Z157" s="164"/>
      <c r="AA157" s="164"/>
      <c r="AB157" s="164"/>
      <c r="AC157" s="164"/>
      <c r="AD157" s="164"/>
      <c r="AE157" s="164"/>
      <c r="AF157" s="164"/>
      <c r="AG157" s="164"/>
      <c r="AH157" s="164"/>
    </row>
    <row r="158" spans="1:34" x14ac:dyDescent="0.25">
      <c r="A158" s="167">
        <v>4</v>
      </c>
      <c r="B158" s="167"/>
      <c r="C158" s="175">
        <f>+E158-E157</f>
        <v>137.68499999999995</v>
      </c>
      <c r="D158" s="167">
        <f>+G158-G157</f>
        <v>124.50600000000003</v>
      </c>
      <c r="E158" s="167">
        <v>584.03099999999995</v>
      </c>
      <c r="F158" s="164"/>
      <c r="G158" s="167">
        <v>526.23800000000006</v>
      </c>
      <c r="H158" s="164"/>
      <c r="I158" s="172">
        <v>114</v>
      </c>
      <c r="J158" s="164">
        <v>4</v>
      </c>
      <c r="K158" s="164"/>
      <c r="L158" s="173">
        <v>16674</v>
      </c>
      <c r="M158" s="172">
        <v>428.20000000000027</v>
      </c>
      <c r="N158" s="172">
        <f t="shared" si="4"/>
        <v>543.889122807018</v>
      </c>
      <c r="O158" s="173">
        <v>10088</v>
      </c>
      <c r="P158" s="172">
        <v>709.40000000000055</v>
      </c>
      <c r="Q158" s="172">
        <f t="shared" si="2"/>
        <v>901.06245614035163</v>
      </c>
      <c r="R158" s="173">
        <v>9276</v>
      </c>
      <c r="S158" s="172">
        <v>162.90000000000009</v>
      </c>
      <c r="T158" s="172">
        <f t="shared" si="3"/>
        <v>206.91157894736855</v>
      </c>
      <c r="U158" s="164"/>
      <c r="V158" s="164"/>
      <c r="W158" s="164"/>
      <c r="X158" s="164"/>
      <c r="Y158" s="164"/>
      <c r="Z158" s="164"/>
      <c r="AA158" s="164"/>
      <c r="AB158" s="164"/>
      <c r="AC158" s="164"/>
      <c r="AD158" s="164"/>
      <c r="AE158" s="164"/>
      <c r="AF158" s="164"/>
      <c r="AG158" s="164"/>
      <c r="AH158" s="164"/>
    </row>
    <row r="159" spans="1:34" x14ac:dyDescent="0.25">
      <c r="A159" s="167">
        <v>1</v>
      </c>
      <c r="B159" s="167">
        <v>2005</v>
      </c>
      <c r="C159" s="175">
        <f>+E159</f>
        <v>147.31100000000001</v>
      </c>
      <c r="D159" s="167">
        <f>+G159</f>
        <v>133.756</v>
      </c>
      <c r="E159" s="167">
        <v>147.31100000000001</v>
      </c>
      <c r="F159" s="164"/>
      <c r="G159" s="167">
        <v>133.756</v>
      </c>
      <c r="H159" s="164"/>
      <c r="I159" s="172">
        <v>113.7</v>
      </c>
      <c r="J159" s="164">
        <v>1</v>
      </c>
      <c r="K159" s="164">
        <v>2005</v>
      </c>
      <c r="L159" s="173">
        <v>15151</v>
      </c>
      <c r="M159" s="172">
        <v>418</v>
      </c>
      <c r="N159" s="172">
        <f t="shared" si="4"/>
        <v>532.33421284080919</v>
      </c>
      <c r="O159" s="173">
        <v>7287</v>
      </c>
      <c r="P159" s="172">
        <v>715.2</v>
      </c>
      <c r="Q159" s="172">
        <f t="shared" si="2"/>
        <v>910.82638522427442</v>
      </c>
      <c r="R159" s="173">
        <v>7498</v>
      </c>
      <c r="S159" s="172">
        <v>159.69999999999999</v>
      </c>
      <c r="T159" s="172">
        <f t="shared" si="3"/>
        <v>203.38223394898858</v>
      </c>
      <c r="U159" s="164"/>
      <c r="V159" s="164"/>
      <c r="W159" s="164"/>
      <c r="X159" s="164"/>
      <c r="Y159" s="164"/>
      <c r="Z159" s="164"/>
      <c r="AA159" s="164"/>
      <c r="AB159" s="164"/>
      <c r="AC159" s="164"/>
      <c r="AD159" s="164"/>
      <c r="AE159" s="164"/>
      <c r="AF159" s="164"/>
      <c r="AG159" s="164"/>
      <c r="AH159" s="164"/>
    </row>
    <row r="160" spans="1:34" x14ac:dyDescent="0.25">
      <c r="A160" s="167">
        <v>2</v>
      </c>
      <c r="B160" s="167"/>
      <c r="C160" s="175">
        <f>+E160-E159</f>
        <v>143.51699999999997</v>
      </c>
      <c r="D160" s="167">
        <f>+G160-G159</f>
        <v>128.79</v>
      </c>
      <c r="E160" s="167">
        <v>290.82799999999997</v>
      </c>
      <c r="F160" s="164"/>
      <c r="G160" s="167">
        <v>262.54599999999999</v>
      </c>
      <c r="H160" s="164"/>
      <c r="I160" s="172">
        <v>115.2</v>
      </c>
      <c r="J160" s="164">
        <v>2</v>
      </c>
      <c r="K160" s="164"/>
      <c r="L160" s="173">
        <v>14855</v>
      </c>
      <c r="M160" s="172">
        <v>323.20000000000005</v>
      </c>
      <c r="N160" s="172">
        <f t="shared" si="4"/>
        <v>406.24444444444453</v>
      </c>
      <c r="O160" s="173">
        <v>6172</v>
      </c>
      <c r="P160" s="172">
        <v>745.5</v>
      </c>
      <c r="Q160" s="172">
        <f t="shared" si="2"/>
        <v>937.05208333333337</v>
      </c>
      <c r="R160" s="173">
        <v>11610</v>
      </c>
      <c r="S160" s="172">
        <v>152.50000000000006</v>
      </c>
      <c r="T160" s="172">
        <f t="shared" si="3"/>
        <v>191.68402777777789</v>
      </c>
      <c r="U160" s="164"/>
      <c r="V160" s="164"/>
      <c r="W160" s="164"/>
      <c r="X160" s="164"/>
      <c r="Y160" s="164"/>
      <c r="Z160" s="164"/>
      <c r="AA160" s="164"/>
      <c r="AB160" s="164"/>
      <c r="AC160" s="164"/>
      <c r="AD160" s="164"/>
      <c r="AE160" s="164"/>
      <c r="AF160" s="164"/>
      <c r="AG160" s="164"/>
      <c r="AH160" s="164"/>
    </row>
    <row r="161" spans="1:34" x14ac:dyDescent="0.25">
      <c r="A161" s="167">
        <v>3</v>
      </c>
      <c r="B161" s="167"/>
      <c r="C161" s="175">
        <f>+E161-E160</f>
        <v>134.78300000000002</v>
      </c>
      <c r="D161" s="167">
        <f>+G161-G160</f>
        <v>120.57100000000003</v>
      </c>
      <c r="E161" s="167">
        <v>425.61099999999999</v>
      </c>
      <c r="F161" s="164"/>
      <c r="G161" s="167">
        <v>383.11700000000002</v>
      </c>
      <c r="H161" s="164"/>
      <c r="I161" s="172">
        <v>115.1</v>
      </c>
      <c r="J161" s="164">
        <v>3</v>
      </c>
      <c r="K161" s="164"/>
      <c r="L161" s="173">
        <v>13014</v>
      </c>
      <c r="M161" s="172">
        <v>448.29999999999995</v>
      </c>
      <c r="N161" s="172">
        <f t="shared" si="4"/>
        <v>563.97775847089486</v>
      </c>
      <c r="O161" s="173">
        <v>6734</v>
      </c>
      <c r="P161" s="172">
        <v>832.10000000000014</v>
      </c>
      <c r="Q161" s="172">
        <f t="shared" si="2"/>
        <v>1046.8121633362298</v>
      </c>
      <c r="R161" s="173">
        <v>8742</v>
      </c>
      <c r="S161" s="172">
        <v>152.99999999999994</v>
      </c>
      <c r="T161" s="172">
        <f t="shared" si="3"/>
        <v>192.47958297132922</v>
      </c>
      <c r="U161" s="164"/>
      <c r="V161" s="164"/>
      <c r="W161" s="164"/>
      <c r="X161" s="164"/>
      <c r="Y161" s="164"/>
      <c r="Z161" s="164"/>
      <c r="AA161" s="164"/>
      <c r="AB161" s="164"/>
      <c r="AC161" s="164"/>
      <c r="AD161" s="164"/>
      <c r="AE161" s="164"/>
      <c r="AF161" s="164"/>
      <c r="AG161" s="164"/>
      <c r="AH161" s="164"/>
    </row>
    <row r="162" spans="1:34" x14ac:dyDescent="0.25">
      <c r="A162" s="167">
        <v>4</v>
      </c>
      <c r="B162" s="167"/>
      <c r="C162" s="175">
        <f>+E162-E161</f>
        <v>137.37</v>
      </c>
      <c r="D162" s="167">
        <f>+G162-G161</f>
        <v>124.38200000000001</v>
      </c>
      <c r="E162" s="167">
        <v>562.98099999999999</v>
      </c>
      <c r="F162" s="164"/>
      <c r="G162" s="167">
        <v>507.49900000000002</v>
      </c>
      <c r="H162" s="164"/>
      <c r="I162" s="172">
        <v>116</v>
      </c>
      <c r="J162" s="164">
        <v>4</v>
      </c>
      <c r="K162" s="164"/>
      <c r="L162" s="173">
        <v>22745</v>
      </c>
      <c r="M162" s="172">
        <v>478.79999999999995</v>
      </c>
      <c r="N162" s="172">
        <f t="shared" si="4"/>
        <v>597.67448275862068</v>
      </c>
      <c r="O162" s="173">
        <v>8144</v>
      </c>
      <c r="P162" s="172">
        <v>795.79999999999973</v>
      </c>
      <c r="Q162" s="172">
        <f t="shared" si="2"/>
        <v>993.37793103448246</v>
      </c>
      <c r="R162" s="173">
        <v>11407</v>
      </c>
      <c r="S162" s="172">
        <v>142.00000000000006</v>
      </c>
      <c r="T162" s="172">
        <f t="shared" si="3"/>
        <v>177.25517241379319</v>
      </c>
      <c r="U162" s="164"/>
      <c r="V162" s="164"/>
      <c r="W162" s="164"/>
      <c r="X162" s="164"/>
      <c r="Y162" s="164"/>
      <c r="Z162" s="164"/>
      <c r="AA162" s="164"/>
      <c r="AB162" s="164"/>
      <c r="AC162" s="164"/>
      <c r="AD162" s="164"/>
      <c r="AE162" s="164"/>
      <c r="AF162" s="164"/>
      <c r="AG162" s="164"/>
      <c r="AH162" s="164"/>
    </row>
    <row r="163" spans="1:34" x14ac:dyDescent="0.25">
      <c r="A163" s="167">
        <v>1</v>
      </c>
      <c r="B163" s="167">
        <v>2006</v>
      </c>
      <c r="C163" s="175">
        <f>+E163</f>
        <v>155.21299999999999</v>
      </c>
      <c r="D163" s="167">
        <f>+G163</f>
        <v>139.72800000000001</v>
      </c>
      <c r="E163" s="167">
        <v>155.21299999999999</v>
      </c>
      <c r="F163" s="164"/>
      <c r="G163" s="167">
        <v>139.72800000000001</v>
      </c>
      <c r="H163" s="164"/>
      <c r="I163" s="172">
        <v>116.6</v>
      </c>
      <c r="J163" s="164">
        <v>1</v>
      </c>
      <c r="K163" s="164">
        <v>2006</v>
      </c>
      <c r="L163" s="173">
        <v>18196</v>
      </c>
      <c r="M163" s="172">
        <v>585</v>
      </c>
      <c r="N163" s="172">
        <f t="shared" si="4"/>
        <v>726.48370497427118</v>
      </c>
      <c r="O163" s="173">
        <v>6106</v>
      </c>
      <c r="P163" s="172">
        <v>947.2</v>
      </c>
      <c r="Q163" s="172">
        <f t="shared" si="2"/>
        <v>1176.2826758147517</v>
      </c>
      <c r="R163" s="173">
        <v>7106</v>
      </c>
      <c r="S163" s="172">
        <v>150.6</v>
      </c>
      <c r="T163" s="172">
        <f t="shared" si="3"/>
        <v>187.02298456260721</v>
      </c>
      <c r="U163" s="164"/>
      <c r="V163" s="164"/>
      <c r="W163" s="164"/>
      <c r="X163" s="164"/>
      <c r="Y163" s="164"/>
      <c r="Z163" s="164"/>
      <c r="AA163" s="164"/>
      <c r="AB163" s="164"/>
      <c r="AC163" s="164"/>
      <c r="AD163" s="164"/>
      <c r="AE163" s="164"/>
      <c r="AF163" s="164"/>
      <c r="AG163" s="164"/>
      <c r="AH163" s="164"/>
    </row>
    <row r="164" spans="1:34" x14ac:dyDescent="0.25">
      <c r="A164" s="167">
        <v>2</v>
      </c>
      <c r="B164" s="167"/>
      <c r="C164" s="175">
        <f>+E164-E163</f>
        <v>147.44399999999999</v>
      </c>
      <c r="D164" s="167">
        <f>+G164-G163</f>
        <v>129.572</v>
      </c>
      <c r="E164" s="167">
        <v>302.65699999999998</v>
      </c>
      <c r="F164" s="164"/>
      <c r="G164" s="167">
        <v>269.3</v>
      </c>
      <c r="H164" s="164"/>
      <c r="I164" s="172">
        <v>117.9</v>
      </c>
      <c r="J164" s="164">
        <v>2</v>
      </c>
      <c r="K164" s="164"/>
      <c r="L164" s="173">
        <v>13943</v>
      </c>
      <c r="M164" s="172">
        <v>433.79999999999995</v>
      </c>
      <c r="N164" s="172">
        <f t="shared" si="4"/>
        <v>532.77557251908388</v>
      </c>
      <c r="O164" s="173">
        <v>5246</v>
      </c>
      <c r="P164" s="172">
        <v>811.2</v>
      </c>
      <c r="Q164" s="172">
        <f t="shared" si="2"/>
        <v>996.28295165394411</v>
      </c>
      <c r="R164" s="173">
        <v>9193</v>
      </c>
      <c r="S164" s="172">
        <v>176.1</v>
      </c>
      <c r="T164" s="172">
        <f t="shared" si="3"/>
        <v>216.27888040712469</v>
      </c>
      <c r="U164" s="164"/>
      <c r="V164" s="164"/>
      <c r="W164" s="164"/>
      <c r="X164" s="164"/>
      <c r="Y164" s="164"/>
      <c r="Z164" s="164"/>
      <c r="AA164" s="164"/>
      <c r="AB164" s="164"/>
      <c r="AC164" s="164"/>
      <c r="AD164" s="164"/>
      <c r="AE164" s="164"/>
      <c r="AF164" s="164"/>
      <c r="AG164" s="164"/>
      <c r="AH164" s="164"/>
    </row>
    <row r="165" spans="1:34" x14ac:dyDescent="0.25">
      <c r="A165" s="167">
        <v>3</v>
      </c>
      <c r="B165" s="167"/>
      <c r="C165" s="175">
        <f>+E165-E164</f>
        <v>143.45100000000002</v>
      </c>
      <c r="D165" s="167">
        <f>+G165-G164</f>
        <v>126.00599999999997</v>
      </c>
      <c r="E165" s="167">
        <v>446.108</v>
      </c>
      <c r="F165" s="164"/>
      <c r="G165" s="167">
        <v>395.30599999999998</v>
      </c>
      <c r="H165" s="164"/>
      <c r="I165" s="176">
        <v>117.3</v>
      </c>
      <c r="J165" s="164">
        <v>3</v>
      </c>
      <c r="K165" s="164"/>
      <c r="L165" s="173">
        <v>13690</v>
      </c>
      <c r="M165" s="172">
        <v>496.59999999999991</v>
      </c>
      <c r="N165" s="172">
        <f t="shared" si="4"/>
        <v>613.02369991474848</v>
      </c>
      <c r="O165" s="173">
        <v>9450</v>
      </c>
      <c r="P165" s="172">
        <v>855.90000000000009</v>
      </c>
      <c r="Q165" s="172">
        <f t="shared" si="2"/>
        <v>1056.5585677749364</v>
      </c>
      <c r="R165" s="173">
        <v>10840</v>
      </c>
      <c r="S165" s="172">
        <v>167.10000000000002</v>
      </c>
      <c r="T165" s="172">
        <f t="shared" si="3"/>
        <v>206.27519181585683</v>
      </c>
      <c r="U165" s="164"/>
      <c r="V165" s="164"/>
      <c r="W165" s="164"/>
      <c r="X165" s="164"/>
      <c r="Y165" s="164"/>
      <c r="Z165" s="164"/>
      <c r="AA165" s="164"/>
      <c r="AB165" s="164"/>
      <c r="AC165" s="164"/>
      <c r="AD165" s="164"/>
      <c r="AE165" s="164"/>
      <c r="AF165" s="164"/>
      <c r="AG165" s="164"/>
      <c r="AH165" s="164"/>
    </row>
    <row r="166" spans="1:34" x14ac:dyDescent="0.25">
      <c r="A166" s="167">
        <v>4</v>
      </c>
      <c r="B166" s="167"/>
      <c r="C166" s="175">
        <f>+E166-E165</f>
        <v>148.56090999999998</v>
      </c>
      <c r="D166" s="167">
        <f>+G166-G165</f>
        <v>131.19532799999996</v>
      </c>
      <c r="E166" s="167">
        <v>594.66890999999998</v>
      </c>
      <c r="F166" s="164"/>
      <c r="G166" s="167">
        <v>526.50132799999994</v>
      </c>
      <c r="H166" s="164"/>
      <c r="I166" s="176">
        <v>119</v>
      </c>
      <c r="J166" s="164">
        <v>4</v>
      </c>
      <c r="K166" s="164"/>
      <c r="L166" s="173">
        <v>16682</v>
      </c>
      <c r="M166" s="172">
        <v>525.60000000000014</v>
      </c>
      <c r="N166" s="172">
        <f t="shared" si="4"/>
        <v>639.55361344537835</v>
      </c>
      <c r="O166" s="173">
        <v>10233</v>
      </c>
      <c r="P166" s="172">
        <v>826</v>
      </c>
      <c r="Q166" s="172">
        <f t="shared" si="2"/>
        <v>1005.0823529411766</v>
      </c>
      <c r="R166" s="173">
        <v>9520</v>
      </c>
      <c r="S166" s="172">
        <v>144.09999999999997</v>
      </c>
      <c r="T166" s="172">
        <f t="shared" si="3"/>
        <v>175.34184873949576</v>
      </c>
      <c r="U166" s="164"/>
      <c r="V166" s="164"/>
      <c r="W166" s="164"/>
      <c r="X166" s="164"/>
      <c r="Y166" s="164"/>
      <c r="Z166" s="164"/>
      <c r="AA166" s="164"/>
      <c r="AB166" s="164"/>
      <c r="AC166" s="164"/>
      <c r="AD166" s="164"/>
      <c r="AE166" s="164"/>
      <c r="AF166" s="164"/>
      <c r="AG166" s="164"/>
      <c r="AH166" s="164"/>
    </row>
    <row r="167" spans="1:34" x14ac:dyDescent="0.25">
      <c r="A167" s="167">
        <v>1</v>
      </c>
      <c r="B167" s="167">
        <v>2007</v>
      </c>
      <c r="C167" s="175">
        <f>+E167</f>
        <v>158.09976</v>
      </c>
      <c r="D167" s="167">
        <f>+G167</f>
        <v>141.08400800000001</v>
      </c>
      <c r="E167" s="167">
        <v>158.09976</v>
      </c>
      <c r="F167" s="164"/>
      <c r="G167" s="167">
        <v>141.08400800000001</v>
      </c>
      <c r="H167" s="164"/>
      <c r="I167" s="176">
        <v>117.5</v>
      </c>
      <c r="J167" s="164">
        <v>1</v>
      </c>
      <c r="K167" s="164">
        <v>2007</v>
      </c>
      <c r="L167" s="173">
        <v>18623</v>
      </c>
      <c r="M167" s="172">
        <v>649.6</v>
      </c>
      <c r="N167" s="172">
        <f t="shared" si="4"/>
        <v>800.52834042553195</v>
      </c>
      <c r="O167" s="173">
        <v>7737</v>
      </c>
      <c r="P167" s="172">
        <v>1092.1999999999998</v>
      </c>
      <c r="Q167" s="172">
        <f t="shared" si="2"/>
        <v>1345.9622127659575</v>
      </c>
      <c r="R167" s="173">
        <v>8112</v>
      </c>
      <c r="S167" s="172">
        <v>167.4</v>
      </c>
      <c r="T167" s="172">
        <f t="shared" si="3"/>
        <v>206.29378723404258</v>
      </c>
      <c r="U167" s="164"/>
      <c r="V167" s="164"/>
      <c r="W167" s="164"/>
      <c r="X167" s="164"/>
      <c r="Y167" s="164"/>
      <c r="Z167" s="164"/>
      <c r="AA167" s="164"/>
      <c r="AB167" s="164"/>
      <c r="AC167" s="164"/>
      <c r="AD167" s="164"/>
      <c r="AE167" s="164"/>
      <c r="AF167" s="164"/>
      <c r="AG167" s="164"/>
      <c r="AH167" s="164"/>
    </row>
    <row r="168" spans="1:34" x14ac:dyDescent="0.25">
      <c r="A168" s="167">
        <v>2</v>
      </c>
      <c r="B168" s="167"/>
      <c r="C168" s="175">
        <f>+E168-E167</f>
        <v>161.61276000000004</v>
      </c>
      <c r="D168" s="167">
        <f>+G168-G167</f>
        <v>142.897008</v>
      </c>
      <c r="E168" s="167">
        <v>319.71252000000004</v>
      </c>
      <c r="F168" s="164"/>
      <c r="G168" s="167">
        <v>283.98101600000001</v>
      </c>
      <c r="H168" s="164"/>
      <c r="I168" s="176">
        <v>118.3</v>
      </c>
      <c r="J168" s="164">
        <v>2</v>
      </c>
      <c r="K168" s="164"/>
      <c r="L168" s="173">
        <v>15831</v>
      </c>
      <c r="M168" s="172">
        <v>514.19999999999993</v>
      </c>
      <c r="N168" s="172">
        <f t="shared" si="4"/>
        <v>629.3842772612004</v>
      </c>
      <c r="O168" s="173">
        <v>5067</v>
      </c>
      <c r="P168" s="172">
        <v>1041.6999999999998</v>
      </c>
      <c r="Q168" s="172">
        <f t="shared" ref="Q168:Q189" si="5">P168/I168*$I$69</f>
        <v>1275.047844463229</v>
      </c>
      <c r="R168" s="173">
        <v>10608</v>
      </c>
      <c r="S168" s="172">
        <v>160.99999999999997</v>
      </c>
      <c r="T168" s="172">
        <f t="shared" ref="T168:T189" si="6">S168/I168*$I$69</f>
        <v>197.06508875739644</v>
      </c>
      <c r="U168" s="164"/>
      <c r="V168" s="164"/>
      <c r="W168" s="164"/>
      <c r="X168" s="164"/>
      <c r="Y168" s="164"/>
      <c r="Z168" s="164"/>
      <c r="AA168" s="164"/>
      <c r="AB168" s="164"/>
      <c r="AC168" s="164"/>
      <c r="AD168" s="164"/>
      <c r="AE168" s="164"/>
      <c r="AF168" s="164"/>
      <c r="AG168" s="164"/>
      <c r="AH168" s="164"/>
    </row>
    <row r="169" spans="1:34" x14ac:dyDescent="0.25">
      <c r="A169" s="167">
        <v>3</v>
      </c>
      <c r="B169" s="167"/>
      <c r="C169" s="175">
        <f>+E169-E168</f>
        <v>135.82058024999998</v>
      </c>
      <c r="D169" s="167">
        <f>+G169-G168</f>
        <v>119.75308425000003</v>
      </c>
      <c r="E169" s="167">
        <v>455.53310025000002</v>
      </c>
      <c r="F169" s="164"/>
      <c r="G169" s="167">
        <v>403.73410025000004</v>
      </c>
      <c r="H169" s="164"/>
      <c r="I169" s="176">
        <v>117.8</v>
      </c>
      <c r="J169" s="164">
        <v>3</v>
      </c>
      <c r="K169" s="164"/>
      <c r="L169" s="173">
        <v>18428</v>
      </c>
      <c r="M169" s="172">
        <v>654.20000000000027</v>
      </c>
      <c r="N169" s="172">
        <f t="shared" si="4"/>
        <v>804.14397283531457</v>
      </c>
      <c r="O169" s="173">
        <v>6417</v>
      </c>
      <c r="P169" s="172">
        <v>679.60000000000036</v>
      </c>
      <c r="Q169" s="172">
        <f t="shared" si="5"/>
        <v>835.36570458404128</v>
      </c>
      <c r="R169" s="173">
        <v>10319</v>
      </c>
      <c r="S169" s="172">
        <v>152.89999999999998</v>
      </c>
      <c r="T169" s="172">
        <f t="shared" si="6"/>
        <v>187.94499151103562</v>
      </c>
      <c r="U169" s="164"/>
      <c r="V169" s="164"/>
      <c r="W169" s="164"/>
      <c r="X169" s="164"/>
      <c r="Y169" s="164"/>
      <c r="Z169" s="164"/>
      <c r="AA169" s="164"/>
      <c r="AB169" s="164"/>
      <c r="AC169" s="164"/>
      <c r="AD169" s="164"/>
      <c r="AE169" s="164"/>
      <c r="AF169" s="164"/>
      <c r="AG169" s="164"/>
      <c r="AH169" s="164"/>
    </row>
    <row r="170" spans="1:34" x14ac:dyDescent="0.25">
      <c r="A170" s="167">
        <v>4</v>
      </c>
      <c r="B170" s="167"/>
      <c r="C170" s="175">
        <f>+E170-E169</f>
        <v>149.79139924999998</v>
      </c>
      <c r="D170" s="167">
        <f>+G170-G169</f>
        <v>133.49839924999998</v>
      </c>
      <c r="E170" s="167">
        <v>605.3244995</v>
      </c>
      <c r="F170" s="164"/>
      <c r="G170" s="167">
        <v>537.23249950000002</v>
      </c>
      <c r="H170" s="164"/>
      <c r="I170" s="176">
        <v>120.8</v>
      </c>
      <c r="J170" s="164">
        <v>4</v>
      </c>
      <c r="K170" s="164"/>
      <c r="L170" s="173">
        <v>15870</v>
      </c>
      <c r="M170" s="172">
        <v>567.19999999999959</v>
      </c>
      <c r="N170" s="172">
        <f t="shared" si="4"/>
        <v>679.88874172185399</v>
      </c>
      <c r="O170" s="173">
        <v>5114</v>
      </c>
      <c r="P170" s="172">
        <v>911.69999999999982</v>
      </c>
      <c r="Q170" s="172">
        <f t="shared" si="5"/>
        <v>1092.8324503311258</v>
      </c>
      <c r="R170" s="173">
        <v>8645</v>
      </c>
      <c r="S170" s="172">
        <v>142.80000000000007</v>
      </c>
      <c r="T170" s="172">
        <f t="shared" si="6"/>
        <v>171.1708609271524</v>
      </c>
      <c r="U170" s="164"/>
      <c r="V170" s="164"/>
      <c r="W170" s="164"/>
      <c r="X170" s="164"/>
      <c r="Y170" s="164"/>
      <c r="Z170" s="164"/>
      <c r="AA170" s="164"/>
      <c r="AB170" s="164"/>
      <c r="AC170" s="164"/>
      <c r="AD170" s="164"/>
      <c r="AE170" s="164"/>
      <c r="AF170" s="164"/>
      <c r="AG170" s="164"/>
      <c r="AH170" s="164"/>
    </row>
    <row r="171" spans="1:34" x14ac:dyDescent="0.25">
      <c r="A171" s="167">
        <v>1</v>
      </c>
      <c r="B171" s="167">
        <v>2008</v>
      </c>
      <c r="C171" s="175">
        <f>+E171</f>
        <v>164.64169099999998</v>
      </c>
      <c r="D171" s="167">
        <f>+G171</f>
        <v>148.61369099999999</v>
      </c>
      <c r="E171" s="167">
        <v>164.64169099999998</v>
      </c>
      <c r="F171" s="164"/>
      <c r="G171" s="167">
        <v>148.61369099999999</v>
      </c>
      <c r="H171" s="164"/>
      <c r="I171" s="176">
        <v>121.9</v>
      </c>
      <c r="J171" s="164">
        <v>1</v>
      </c>
      <c r="K171" s="164">
        <v>2008</v>
      </c>
      <c r="L171" s="173">
        <v>17004</v>
      </c>
      <c r="M171" s="172">
        <v>591.9</v>
      </c>
      <c r="N171" s="172">
        <f t="shared" si="4"/>
        <v>703.09368334700571</v>
      </c>
      <c r="O171" s="173">
        <v>6274</v>
      </c>
      <c r="P171" s="172">
        <v>963.6</v>
      </c>
      <c r="Q171" s="172">
        <f t="shared" si="5"/>
        <v>1144.6208367514357</v>
      </c>
      <c r="R171" s="173">
        <v>7939</v>
      </c>
      <c r="S171" s="172">
        <v>160.1</v>
      </c>
      <c r="T171" s="172">
        <f t="shared" si="6"/>
        <v>190.17621000820344</v>
      </c>
      <c r="U171" s="164"/>
      <c r="V171" s="164"/>
      <c r="W171" s="164"/>
      <c r="X171" s="164"/>
      <c r="Y171" s="164"/>
      <c r="Z171" s="164"/>
      <c r="AA171" s="164"/>
      <c r="AB171" s="164"/>
      <c r="AC171" s="164"/>
      <c r="AD171" s="164"/>
      <c r="AE171" s="164"/>
      <c r="AF171" s="164"/>
      <c r="AG171" s="164"/>
      <c r="AH171" s="164"/>
    </row>
    <row r="172" spans="1:34" x14ac:dyDescent="0.25">
      <c r="A172" s="167">
        <v>2</v>
      </c>
      <c r="B172" s="167"/>
      <c r="C172" s="175">
        <f>+E172-E171</f>
        <v>197.28657850000002</v>
      </c>
      <c r="D172" s="167">
        <f>+G172-G171</f>
        <v>175.71357850000001</v>
      </c>
      <c r="E172" s="167">
        <v>361.9282695</v>
      </c>
      <c r="F172" s="164"/>
      <c r="G172" s="167">
        <v>324.3272695</v>
      </c>
      <c r="H172" s="164"/>
      <c r="I172" s="176">
        <v>122</v>
      </c>
      <c r="J172" s="164">
        <v>2</v>
      </c>
      <c r="K172" s="164"/>
      <c r="L172" s="173">
        <v>14987</v>
      </c>
      <c r="M172" s="172">
        <v>548.4</v>
      </c>
      <c r="N172" s="172">
        <f t="shared" ref="N172:N181" si="7">M172/I172*$I$69</f>
        <v>650.88786885245906</v>
      </c>
      <c r="O172" s="173">
        <v>5831</v>
      </c>
      <c r="P172" s="172">
        <v>1153.8000000000002</v>
      </c>
      <c r="Q172" s="172">
        <f t="shared" si="5"/>
        <v>1369.4281967213119</v>
      </c>
      <c r="R172" s="173">
        <v>10207</v>
      </c>
      <c r="S172" s="172">
        <v>188.4</v>
      </c>
      <c r="T172" s="172">
        <f t="shared" si="6"/>
        <v>223.6091803278689</v>
      </c>
      <c r="U172" s="164"/>
      <c r="V172" s="164"/>
      <c r="W172" s="164"/>
      <c r="X172" s="164"/>
      <c r="Y172" s="164"/>
      <c r="Z172" s="164"/>
      <c r="AA172" s="164"/>
      <c r="AB172" s="164"/>
      <c r="AC172" s="164"/>
      <c r="AD172" s="164"/>
      <c r="AE172" s="164"/>
      <c r="AF172" s="164"/>
      <c r="AG172" s="164"/>
      <c r="AH172" s="164"/>
    </row>
    <row r="173" spans="1:34" x14ac:dyDescent="0.25">
      <c r="A173" s="167">
        <v>3</v>
      </c>
      <c r="B173" s="167"/>
      <c r="C173" s="175">
        <f>+E173-E172</f>
        <v>159.71767174999997</v>
      </c>
      <c r="D173" s="167">
        <f>+G173-G172</f>
        <v>141.40667174999999</v>
      </c>
      <c r="E173" s="167">
        <v>521.64594124999996</v>
      </c>
      <c r="F173" s="164"/>
      <c r="G173" s="167">
        <v>465.73394124999999</v>
      </c>
      <c r="H173" s="164"/>
      <c r="I173" s="176">
        <v>123.1</v>
      </c>
      <c r="J173" s="164">
        <v>3</v>
      </c>
      <c r="K173" s="164"/>
      <c r="L173" s="173">
        <v>19290</v>
      </c>
      <c r="M173" s="172">
        <v>722.70000000000027</v>
      </c>
      <c r="N173" s="172">
        <f t="shared" si="7"/>
        <v>850.09715678310363</v>
      </c>
      <c r="O173" s="173">
        <v>12252</v>
      </c>
      <c r="P173" s="172">
        <v>1486.4999999999995</v>
      </c>
      <c r="Q173" s="172">
        <f t="shared" si="5"/>
        <v>1748.5393988627129</v>
      </c>
      <c r="R173" s="173">
        <v>11007</v>
      </c>
      <c r="S173" s="172">
        <v>186.29999999999995</v>
      </c>
      <c r="T173" s="172">
        <f t="shared" si="6"/>
        <v>219.14086108854588</v>
      </c>
      <c r="U173" s="164"/>
      <c r="V173" s="164"/>
      <c r="W173" s="164"/>
      <c r="X173" s="164"/>
      <c r="Y173" s="164"/>
      <c r="Z173" s="164"/>
      <c r="AA173" s="164"/>
      <c r="AB173" s="164"/>
      <c r="AC173" s="164"/>
      <c r="AD173" s="164"/>
      <c r="AE173" s="164"/>
      <c r="AF173" s="164"/>
      <c r="AG173" s="164"/>
      <c r="AH173" s="164"/>
    </row>
    <row r="174" spans="1:34" x14ac:dyDescent="0.25">
      <c r="A174" s="167">
        <v>4</v>
      </c>
      <c r="B174" s="167"/>
      <c r="C174" s="175">
        <f>+E174-E173</f>
        <v>170.05706974999998</v>
      </c>
      <c r="D174" s="167">
        <f>+G174-G173</f>
        <v>152.54014889999991</v>
      </c>
      <c r="E174" s="167">
        <v>691.70301099999995</v>
      </c>
      <c r="F174" s="164"/>
      <c r="G174" s="167">
        <v>618.27409014999989</v>
      </c>
      <c r="H174" s="164"/>
      <c r="I174" s="172">
        <v>124.7</v>
      </c>
      <c r="J174" s="164">
        <v>4</v>
      </c>
      <c r="K174" s="164"/>
      <c r="L174" s="173">
        <v>16976</v>
      </c>
      <c r="M174" s="172">
        <v>703.10000000000014</v>
      </c>
      <c r="N174" s="172">
        <f t="shared" si="7"/>
        <v>816.43047313552552</v>
      </c>
      <c r="O174" s="173">
        <v>7247</v>
      </c>
      <c r="P174" s="172">
        <v>1160</v>
      </c>
      <c r="Q174" s="172">
        <f t="shared" si="5"/>
        <v>1346.9767441860467</v>
      </c>
      <c r="R174" s="173">
        <v>10145</v>
      </c>
      <c r="S174" s="172">
        <v>269.60000000000014</v>
      </c>
      <c r="T174" s="172">
        <f t="shared" si="6"/>
        <v>313.0559743384124</v>
      </c>
      <c r="U174" s="164"/>
      <c r="V174" s="164"/>
      <c r="W174" s="164"/>
      <c r="X174" s="164"/>
      <c r="Y174" s="164"/>
      <c r="Z174" s="164"/>
      <c r="AA174" s="164"/>
      <c r="AB174" s="164"/>
      <c r="AC174" s="164"/>
      <c r="AD174" s="164"/>
      <c r="AE174" s="164"/>
      <c r="AF174" s="164"/>
      <c r="AG174" s="164"/>
      <c r="AH174" s="164"/>
    </row>
    <row r="175" spans="1:34" x14ac:dyDescent="0.25">
      <c r="A175" s="167">
        <v>1</v>
      </c>
      <c r="B175" s="167">
        <v>2009</v>
      </c>
      <c r="C175" s="175">
        <f>+E175</f>
        <v>191.37959499999999</v>
      </c>
      <c r="D175" s="167">
        <f>+G175</f>
        <v>172.55938714999999</v>
      </c>
      <c r="E175" s="167">
        <v>191.37959499999999</v>
      </c>
      <c r="F175" s="164"/>
      <c r="G175" s="167">
        <v>172.55938714999999</v>
      </c>
      <c r="H175" s="164"/>
      <c r="I175" s="172">
        <v>125</v>
      </c>
      <c r="J175" s="164">
        <v>1</v>
      </c>
      <c r="K175" s="164">
        <v>2009</v>
      </c>
      <c r="L175" s="173">
        <v>18865</v>
      </c>
      <c r="M175" s="172">
        <v>739.59999999999991</v>
      </c>
      <c r="N175" s="172">
        <f t="shared" si="7"/>
        <v>856.75263999999993</v>
      </c>
      <c r="O175" s="173">
        <v>6194</v>
      </c>
      <c r="P175" s="172">
        <v>1049.9000000000001</v>
      </c>
      <c r="Q175" s="172">
        <f t="shared" si="5"/>
        <v>1216.2041600000002</v>
      </c>
      <c r="R175" s="173">
        <v>8619</v>
      </c>
      <c r="S175" s="172">
        <v>213.2</v>
      </c>
      <c r="T175" s="172">
        <f t="shared" si="6"/>
        <v>246.97088000000002</v>
      </c>
      <c r="U175" s="164"/>
      <c r="V175" s="164"/>
      <c r="W175" s="164"/>
      <c r="X175" s="164"/>
      <c r="Y175" s="164"/>
      <c r="Z175" s="164"/>
      <c r="AA175" s="164"/>
      <c r="AB175" s="164"/>
      <c r="AC175" s="164"/>
      <c r="AD175" s="164"/>
      <c r="AE175" s="164"/>
      <c r="AF175" s="164"/>
      <c r="AG175" s="164"/>
      <c r="AH175" s="164"/>
    </row>
    <row r="176" spans="1:34" x14ac:dyDescent="0.25">
      <c r="A176" s="167">
        <v>2</v>
      </c>
      <c r="B176" s="167"/>
      <c r="C176" s="175">
        <f>+E176-E175</f>
        <v>178.90604250000001</v>
      </c>
      <c r="D176" s="167">
        <f>+G176-G175</f>
        <v>160.765232725</v>
      </c>
      <c r="E176" s="167">
        <v>370.28563750000001</v>
      </c>
      <c r="F176" s="164"/>
      <c r="G176" s="167">
        <v>333.324619875</v>
      </c>
      <c r="H176" s="164"/>
      <c r="I176" s="172">
        <v>125.7</v>
      </c>
      <c r="J176" s="164">
        <v>2</v>
      </c>
      <c r="K176" s="164"/>
      <c r="L176" s="173">
        <v>14610</v>
      </c>
      <c r="M176" s="172">
        <v>603.80000000000018</v>
      </c>
      <c r="N176" s="172">
        <f t="shared" si="7"/>
        <v>695.54685759745439</v>
      </c>
      <c r="O176" s="173">
        <v>5486</v>
      </c>
      <c r="P176" s="172">
        <v>1077.9000000000001</v>
      </c>
      <c r="Q176" s="172">
        <f t="shared" si="5"/>
        <v>1241.6859188544154</v>
      </c>
      <c r="R176" s="173">
        <v>11296</v>
      </c>
      <c r="S176" s="172">
        <v>235.3</v>
      </c>
      <c r="T176" s="172">
        <f t="shared" si="6"/>
        <v>271.05361972951476</v>
      </c>
      <c r="U176" s="164"/>
      <c r="V176" s="164"/>
      <c r="W176" s="164"/>
      <c r="X176" s="164"/>
      <c r="Y176" s="164"/>
      <c r="Z176" s="164"/>
      <c r="AA176" s="164"/>
      <c r="AB176" s="164"/>
      <c r="AC176" s="164"/>
      <c r="AD176" s="164"/>
      <c r="AE176" s="164"/>
      <c r="AF176" s="164"/>
      <c r="AG176" s="164"/>
      <c r="AH176" s="164"/>
    </row>
    <row r="177" spans="1:34" x14ac:dyDescent="0.25">
      <c r="A177" s="167">
        <v>3</v>
      </c>
      <c r="B177" s="167"/>
      <c r="C177" s="175">
        <f>+E177-E176</f>
        <v>160.23377500000004</v>
      </c>
      <c r="D177" s="167">
        <f>+G177-G176</f>
        <v>142.31202375000004</v>
      </c>
      <c r="E177" s="167">
        <v>530.51941250000004</v>
      </c>
      <c r="F177" s="164"/>
      <c r="G177" s="167">
        <v>475.63664362500003</v>
      </c>
      <c r="H177" s="164"/>
      <c r="I177" s="172">
        <v>125.4</v>
      </c>
      <c r="J177" s="164">
        <v>3</v>
      </c>
      <c r="K177" s="164"/>
      <c r="L177" s="173">
        <v>19220</v>
      </c>
      <c r="M177" s="172">
        <v>795.69999999999982</v>
      </c>
      <c r="N177" s="172">
        <f t="shared" si="7"/>
        <v>918.79872408293443</v>
      </c>
      <c r="O177" s="173">
        <v>13278</v>
      </c>
      <c r="P177" s="172">
        <v>1278.0999999999999</v>
      </c>
      <c r="Q177" s="172">
        <f t="shared" si="5"/>
        <v>1475.8283891547048</v>
      </c>
      <c r="R177" s="173">
        <v>11383</v>
      </c>
      <c r="S177" s="172">
        <v>231.79999999999995</v>
      </c>
      <c r="T177" s="172">
        <f t="shared" si="6"/>
        <v>267.66060606060603</v>
      </c>
      <c r="U177" s="164"/>
      <c r="V177" s="164"/>
      <c r="W177" s="164"/>
      <c r="X177" s="164"/>
      <c r="Y177" s="164"/>
      <c r="Z177" s="164"/>
      <c r="AA177" s="164"/>
      <c r="AB177" s="164"/>
      <c r="AC177" s="164"/>
      <c r="AD177" s="164"/>
      <c r="AE177" s="164"/>
      <c r="AF177" s="164"/>
      <c r="AG177" s="164"/>
      <c r="AH177" s="164"/>
    </row>
    <row r="178" spans="1:34" x14ac:dyDescent="0.25">
      <c r="A178" s="167">
        <v>4</v>
      </c>
      <c r="B178" s="167"/>
      <c r="C178" s="175">
        <f>+E178-E177</f>
        <v>179.8571388695641</v>
      </c>
      <c r="D178" s="167">
        <f>+G178-G177</f>
        <v>163.53199924456408</v>
      </c>
      <c r="E178" s="167">
        <v>710.37655136956414</v>
      </c>
      <c r="F178" s="164"/>
      <c r="G178" s="167">
        <v>639.16864286956411</v>
      </c>
      <c r="H178" s="164"/>
      <c r="I178" s="172">
        <v>126.6</v>
      </c>
      <c r="J178" s="164">
        <v>4</v>
      </c>
      <c r="K178" s="164"/>
      <c r="L178" s="173">
        <v>16838</v>
      </c>
      <c r="M178" s="172">
        <v>759.30000000000018</v>
      </c>
      <c r="N178" s="172">
        <f t="shared" si="7"/>
        <v>868.45687203791499</v>
      </c>
      <c r="O178" s="173">
        <v>6227</v>
      </c>
      <c r="P178" s="172">
        <v>1192.2000000000003</v>
      </c>
      <c r="Q178" s="172">
        <f t="shared" si="5"/>
        <v>1363.5905213270148</v>
      </c>
      <c r="R178" s="173">
        <v>10409</v>
      </c>
      <c r="S178" s="172">
        <v>276.40000000000009</v>
      </c>
      <c r="T178" s="172">
        <f t="shared" si="6"/>
        <v>316.13522906793065</v>
      </c>
      <c r="U178" s="164"/>
      <c r="V178" s="164"/>
      <c r="W178" s="164"/>
      <c r="X178" s="164"/>
      <c r="Y178" s="164"/>
      <c r="Z178" s="164"/>
      <c r="AA178" s="164"/>
      <c r="AB178" s="164"/>
      <c r="AC178" s="164"/>
      <c r="AD178" s="164"/>
      <c r="AE178" s="164"/>
      <c r="AF178" s="164"/>
      <c r="AG178" s="164"/>
      <c r="AH178" s="164"/>
    </row>
    <row r="179" spans="1:34" x14ac:dyDescent="0.25">
      <c r="A179" s="167">
        <v>1</v>
      </c>
      <c r="B179" s="167">
        <v>2010</v>
      </c>
      <c r="C179" s="175">
        <f>+E179</f>
        <v>204.63648875000001</v>
      </c>
      <c r="D179" s="167">
        <f>+G179</f>
        <v>186.506571025</v>
      </c>
      <c r="E179" s="167">
        <v>204.63648875000001</v>
      </c>
      <c r="F179" s="164"/>
      <c r="G179" s="167">
        <v>186.506571025</v>
      </c>
      <c r="H179" s="164"/>
      <c r="I179" s="172">
        <v>128.69999999999999</v>
      </c>
      <c r="J179" s="164">
        <v>1</v>
      </c>
      <c r="K179" s="164">
        <v>2010</v>
      </c>
      <c r="L179" s="173">
        <v>40484.70904761905</v>
      </c>
      <c r="M179" s="172">
        <v>1693.2251146266974</v>
      </c>
      <c r="N179" s="172">
        <f t="shared" si="7"/>
        <v>1905.0427086087475</v>
      </c>
      <c r="O179" s="173">
        <v>6690</v>
      </c>
      <c r="P179" s="172">
        <v>1648.5</v>
      </c>
      <c r="Q179" s="172">
        <f t="shared" si="5"/>
        <v>1854.7226107226111</v>
      </c>
      <c r="R179" s="173">
        <v>7227</v>
      </c>
      <c r="S179" s="172">
        <v>243.10000000000002</v>
      </c>
      <c r="T179" s="172">
        <f t="shared" si="6"/>
        <v>273.51111111111118</v>
      </c>
      <c r="U179" s="164"/>
      <c r="V179" s="164"/>
      <c r="W179" s="164"/>
      <c r="X179" s="164"/>
      <c r="Y179" s="164"/>
      <c r="Z179" s="164"/>
      <c r="AA179" s="164"/>
      <c r="AB179" s="164"/>
      <c r="AC179" s="164"/>
      <c r="AD179" s="164"/>
      <c r="AE179" s="164"/>
      <c r="AF179" s="164"/>
      <c r="AG179" s="164"/>
      <c r="AH179" s="164"/>
    </row>
    <row r="180" spans="1:34" x14ac:dyDescent="0.25">
      <c r="A180" s="167">
        <v>2</v>
      </c>
      <c r="B180" s="167"/>
      <c r="C180" s="175">
        <f>+E180-E179</f>
        <v>188.95691625000001</v>
      </c>
      <c r="D180" s="167">
        <f>+G180-G179</f>
        <v>170.46253197500002</v>
      </c>
      <c r="E180" s="167">
        <v>393.59340500000002</v>
      </c>
      <c r="F180" s="164"/>
      <c r="G180" s="167">
        <v>356.96910300000002</v>
      </c>
      <c r="H180" s="164"/>
      <c r="I180" s="172">
        <v>128.9</v>
      </c>
      <c r="J180" s="164">
        <v>2</v>
      </c>
      <c r="K180" s="164"/>
      <c r="L180" s="173">
        <v>20633.79583333333</v>
      </c>
      <c r="M180" s="172">
        <v>864.97098885712671</v>
      </c>
      <c r="N180" s="172">
        <f t="shared" si="7"/>
        <v>971.66640175726889</v>
      </c>
      <c r="O180" s="173">
        <v>5716</v>
      </c>
      <c r="P180" s="172">
        <v>1381.6999999999998</v>
      </c>
      <c r="Q180" s="172">
        <f t="shared" si="5"/>
        <v>1552.134678044996</v>
      </c>
      <c r="R180" s="173">
        <v>10696</v>
      </c>
      <c r="S180" s="172">
        <v>201.60000000000002</v>
      </c>
      <c r="T180" s="172">
        <f t="shared" si="6"/>
        <v>226.46764934057413</v>
      </c>
      <c r="U180" s="164"/>
      <c r="V180" s="164"/>
      <c r="W180" s="164"/>
      <c r="X180" s="164"/>
      <c r="Y180" s="164"/>
      <c r="Z180" s="164"/>
      <c r="AA180" s="164"/>
      <c r="AB180" s="164"/>
      <c r="AC180" s="164"/>
      <c r="AD180" s="164"/>
      <c r="AE180" s="164"/>
      <c r="AF180" s="164"/>
      <c r="AG180" s="164"/>
      <c r="AH180" s="164"/>
    </row>
    <row r="181" spans="1:34" x14ac:dyDescent="0.25">
      <c r="A181" s="167">
        <v>3</v>
      </c>
      <c r="B181" s="167"/>
      <c r="C181" s="175">
        <f>+E181-E180</f>
        <v>172.07737875000004</v>
      </c>
      <c r="D181" s="167">
        <f>+G181-G180</f>
        <v>154.15607493749997</v>
      </c>
      <c r="E181" s="167">
        <v>565.67078375000006</v>
      </c>
      <c r="F181" s="164"/>
      <c r="G181" s="167">
        <v>511.12517793749998</v>
      </c>
      <c r="H181" s="164"/>
      <c r="I181" s="172">
        <v>127.8</v>
      </c>
      <c r="J181" s="164">
        <v>3</v>
      </c>
      <c r="K181" s="164"/>
      <c r="L181" s="173">
        <v>19149.335833333338</v>
      </c>
      <c r="M181" s="172">
        <v>861.71516601647909</v>
      </c>
      <c r="N181" s="172">
        <f t="shared" si="7"/>
        <v>976.34081407813926</v>
      </c>
      <c r="O181" s="173">
        <v>9089</v>
      </c>
      <c r="P181" s="172">
        <v>1286.1999999999998</v>
      </c>
      <c r="Q181" s="172">
        <f t="shared" si="5"/>
        <v>1457.2907668231612</v>
      </c>
      <c r="R181" s="173">
        <v>11532</v>
      </c>
      <c r="S181" s="172">
        <v>200.69999999999993</v>
      </c>
      <c r="T181" s="172">
        <f t="shared" si="6"/>
        <v>227.39718309859148</v>
      </c>
      <c r="U181" s="164"/>
      <c r="V181" s="164"/>
      <c r="W181" s="164"/>
      <c r="X181" s="164"/>
      <c r="Y181" s="164"/>
      <c r="Z181" s="164"/>
      <c r="AA181" s="164"/>
      <c r="AB181" s="164"/>
      <c r="AC181" s="164"/>
      <c r="AD181" s="164"/>
      <c r="AE181" s="164"/>
      <c r="AF181" s="164"/>
      <c r="AG181" s="164"/>
      <c r="AH181" s="164"/>
    </row>
    <row r="182" spans="1:34" x14ac:dyDescent="0.25">
      <c r="A182" s="167">
        <v>4</v>
      </c>
      <c r="B182" s="167"/>
      <c r="C182" s="175">
        <f>+E182-E181</f>
        <v>192.96143124999992</v>
      </c>
      <c r="D182" s="167">
        <f>+G182-G181</f>
        <v>174.39946771249993</v>
      </c>
      <c r="E182" s="167">
        <v>758.63221499999997</v>
      </c>
      <c r="F182" s="164"/>
      <c r="G182" s="167">
        <v>685.52464564999991</v>
      </c>
      <c r="H182" s="164"/>
      <c r="I182" s="172">
        <v>129</v>
      </c>
      <c r="J182" s="164">
        <v>4</v>
      </c>
      <c r="K182" s="164"/>
      <c r="L182" s="173">
        <v>22322.361666666664</v>
      </c>
      <c r="M182" s="172">
        <v>889.84894905372039</v>
      </c>
      <c r="N182" s="172">
        <f t="shared" ref="N182" si="8">M182/I182*$I$69</f>
        <v>998.83820017812968</v>
      </c>
      <c r="O182" s="173">
        <v>5858</v>
      </c>
      <c r="P182" s="172">
        <v>1310.8000000000011</v>
      </c>
      <c r="Q182" s="172">
        <f t="shared" si="5"/>
        <v>1471.3475968992261</v>
      </c>
      <c r="R182" s="173">
        <v>9548</v>
      </c>
      <c r="S182" s="172">
        <v>205</v>
      </c>
      <c r="T182" s="172">
        <f t="shared" si="6"/>
        <v>230.10852713178295</v>
      </c>
      <c r="U182" s="164"/>
      <c r="V182" s="164"/>
      <c r="W182" s="164"/>
      <c r="X182" s="164"/>
      <c r="Y182" s="164"/>
      <c r="Z182" s="164"/>
      <c r="AA182" s="164"/>
      <c r="AB182" s="164"/>
      <c r="AC182" s="164"/>
      <c r="AD182" s="164"/>
      <c r="AE182" s="164"/>
      <c r="AF182" s="164"/>
      <c r="AG182" s="164"/>
      <c r="AH182" s="164"/>
    </row>
    <row r="183" spans="1:34" x14ac:dyDescent="0.25">
      <c r="A183" s="167">
        <v>1</v>
      </c>
      <c r="B183" s="167">
        <v>2011</v>
      </c>
      <c r="C183" s="175">
        <f>+E183</f>
        <v>204.00503875000001</v>
      </c>
      <c r="D183" s="167">
        <f>+G183</f>
        <v>184.8599929625</v>
      </c>
      <c r="E183" s="167">
        <v>204.00503875000001</v>
      </c>
      <c r="F183" s="164"/>
      <c r="G183" s="167">
        <v>184.8599929625</v>
      </c>
      <c r="H183" s="164"/>
      <c r="I183" s="172">
        <v>130.19999999999999</v>
      </c>
      <c r="J183" s="164">
        <v>1</v>
      </c>
      <c r="K183" s="164">
        <v>2011</v>
      </c>
      <c r="L183" s="173">
        <v>26141.662648809524</v>
      </c>
      <c r="M183" s="172">
        <v>1061.4209517567813</v>
      </c>
      <c r="N183" s="172">
        <f t="shared" ref="N183:N186" si="9">M183/I183*$I$69</f>
        <v>1180.4435776834252</v>
      </c>
      <c r="O183" s="173">
        <v>5959</v>
      </c>
      <c r="P183" s="172">
        <v>1698.7</v>
      </c>
      <c r="Q183" s="172">
        <f t="shared" si="5"/>
        <v>1889.1840245775732</v>
      </c>
      <c r="R183" s="173">
        <v>6732</v>
      </c>
      <c r="S183" s="172">
        <v>156.5</v>
      </c>
      <c r="T183" s="172">
        <f t="shared" si="6"/>
        <v>174.04915514592938</v>
      </c>
      <c r="U183" s="164"/>
      <c r="V183" s="164"/>
      <c r="W183" s="164"/>
      <c r="X183" s="164"/>
      <c r="Y183" s="164"/>
      <c r="Z183" s="164"/>
      <c r="AA183" s="164"/>
      <c r="AB183" s="164"/>
      <c r="AC183" s="164"/>
      <c r="AD183" s="164"/>
      <c r="AE183" s="164"/>
      <c r="AF183" s="164"/>
      <c r="AG183" s="164"/>
      <c r="AH183" s="164"/>
    </row>
    <row r="184" spans="1:34" x14ac:dyDescent="0.25">
      <c r="A184" s="167">
        <v>2</v>
      </c>
      <c r="B184" s="167"/>
      <c r="C184" s="175">
        <f>+E184-E183</f>
        <v>188.74104374999999</v>
      </c>
      <c r="D184" s="167">
        <f>+G184-G183</f>
        <v>171.33320521249996</v>
      </c>
      <c r="E184" s="164">
        <v>392.7460825</v>
      </c>
      <c r="F184" s="164"/>
      <c r="G184" s="164">
        <v>356.19319817499996</v>
      </c>
      <c r="H184" s="164"/>
      <c r="I184" s="172">
        <v>131</v>
      </c>
      <c r="J184" s="164">
        <v>2</v>
      </c>
      <c r="K184" s="164"/>
      <c r="L184" s="181">
        <v>18851.951101190472</v>
      </c>
      <c r="M184" s="182">
        <v>776.58308820124375</v>
      </c>
      <c r="N184" s="172">
        <f t="shared" si="9"/>
        <v>858.39107764534435</v>
      </c>
      <c r="O184" s="173">
        <v>7524</v>
      </c>
      <c r="P184" s="172">
        <v>1533.4000000000003</v>
      </c>
      <c r="Q184" s="172">
        <f t="shared" si="5"/>
        <v>1694.9337404580156</v>
      </c>
      <c r="R184" s="173">
        <v>10017</v>
      </c>
      <c r="S184" s="172">
        <v>197.79999999999995</v>
      </c>
      <c r="T184" s="172">
        <f t="shared" si="6"/>
        <v>218.63694656488545</v>
      </c>
      <c r="U184" s="164"/>
      <c r="V184" s="164"/>
      <c r="W184" s="164"/>
      <c r="X184" s="164"/>
      <c r="Y184" s="164"/>
      <c r="Z184" s="164"/>
      <c r="AA184" s="164"/>
      <c r="AB184" s="164"/>
      <c r="AC184" s="164"/>
      <c r="AD184" s="164"/>
      <c r="AE184" s="164"/>
      <c r="AF184" s="164"/>
      <c r="AG184" s="164"/>
      <c r="AH184" s="164"/>
    </row>
    <row r="185" spans="1:34" x14ac:dyDescent="0.25">
      <c r="A185" s="167">
        <v>3</v>
      </c>
      <c r="B185" s="164"/>
      <c r="C185" s="175">
        <f>+E185-E184</f>
        <v>169.93391749999995</v>
      </c>
      <c r="D185" s="167">
        <f>+G185-G184</f>
        <v>151.69380182500004</v>
      </c>
      <c r="E185" s="164">
        <v>562.67999999999995</v>
      </c>
      <c r="F185" s="164"/>
      <c r="G185" s="164">
        <v>507.887</v>
      </c>
      <c r="H185" s="164"/>
      <c r="I185" s="172">
        <v>129.4</v>
      </c>
      <c r="J185" s="164">
        <v>3</v>
      </c>
      <c r="K185" s="164"/>
      <c r="L185" s="181">
        <v>24107.386250000007</v>
      </c>
      <c r="M185" s="182">
        <v>914.64669811090494</v>
      </c>
      <c r="N185" s="172">
        <f t="shared" si="9"/>
        <v>1023.4995508999925</v>
      </c>
      <c r="O185" s="173">
        <v>10171</v>
      </c>
      <c r="P185" s="172">
        <v>1285.3999999999996</v>
      </c>
      <c r="Q185" s="172">
        <f t="shared" si="5"/>
        <v>1438.3765069551775</v>
      </c>
      <c r="R185" s="173">
        <v>10339</v>
      </c>
      <c r="S185" s="172">
        <v>167.29999999999995</v>
      </c>
      <c r="T185" s="172">
        <f t="shared" si="6"/>
        <v>187.2105100463678</v>
      </c>
      <c r="U185" s="164"/>
      <c r="V185" s="164"/>
      <c r="W185" s="164"/>
      <c r="X185" s="164"/>
      <c r="Y185" s="164"/>
      <c r="Z185" s="164"/>
      <c r="AA185" s="164"/>
      <c r="AB185" s="164"/>
      <c r="AC185" s="164"/>
      <c r="AD185" s="164"/>
      <c r="AE185" s="164"/>
      <c r="AF185" s="164"/>
      <c r="AG185" s="164"/>
      <c r="AH185" s="164"/>
    </row>
    <row r="186" spans="1:34" x14ac:dyDescent="0.25">
      <c r="A186" s="164">
        <v>4</v>
      </c>
      <c r="B186" s="164"/>
      <c r="C186" s="175">
        <f>+E186-E185</f>
        <v>202.17554500000006</v>
      </c>
      <c r="D186" s="167">
        <f>+G186-G185</f>
        <v>178.91908595000001</v>
      </c>
      <c r="E186" s="164">
        <v>764.85554500000001</v>
      </c>
      <c r="F186" s="164"/>
      <c r="G186" s="164">
        <v>686.80608595000001</v>
      </c>
      <c r="H186" s="164"/>
      <c r="I186" s="164">
        <v>130.5</v>
      </c>
      <c r="J186" s="164">
        <v>4</v>
      </c>
      <c r="K186" s="164"/>
      <c r="L186" s="181">
        <v>18022.572976190484</v>
      </c>
      <c r="M186" s="172">
        <v>777.38419736292576</v>
      </c>
      <c r="N186" s="172">
        <f t="shared" si="9"/>
        <v>862.56882588621966</v>
      </c>
      <c r="O186" s="181">
        <v>8775.7956028314002</v>
      </c>
      <c r="P186" s="172">
        <v>1286.8626975018997</v>
      </c>
      <c r="Q186" s="172">
        <f t="shared" si="5"/>
        <v>1427.8752383009585</v>
      </c>
      <c r="R186" s="181">
        <v>9645.4866500746648</v>
      </c>
      <c r="S186" s="172">
        <v>181.103452008619</v>
      </c>
      <c r="T186" s="172">
        <f t="shared" si="6"/>
        <v>200.94850460419948</v>
      </c>
      <c r="U186" s="164"/>
      <c r="V186" s="164"/>
      <c r="W186" s="164"/>
      <c r="X186" s="164"/>
      <c r="Y186" s="164"/>
      <c r="Z186" s="164"/>
      <c r="AA186" s="164"/>
      <c r="AB186" s="164"/>
      <c r="AC186" s="164"/>
      <c r="AD186" s="164"/>
      <c r="AE186" s="164"/>
      <c r="AF186" s="164"/>
      <c r="AG186" s="164"/>
      <c r="AH186" s="164"/>
    </row>
    <row r="187" spans="1:34" x14ac:dyDescent="0.25">
      <c r="A187" s="164">
        <v>1</v>
      </c>
      <c r="B187" s="164">
        <v>2012</v>
      </c>
      <c r="C187" s="175">
        <f>+E187</f>
        <v>195.82938625</v>
      </c>
      <c r="D187" s="167">
        <f>+G187</f>
        <v>177.0717714875</v>
      </c>
      <c r="E187" s="164">
        <v>195.82938625</v>
      </c>
      <c r="F187" s="164"/>
      <c r="G187" s="164">
        <v>177.0717714875</v>
      </c>
      <c r="H187" s="164"/>
      <c r="I187" s="164">
        <v>131.69999999999999</v>
      </c>
      <c r="J187" s="164">
        <v>1</v>
      </c>
      <c r="K187" s="164">
        <v>2012</v>
      </c>
      <c r="L187" s="181">
        <v>18517.39324404762</v>
      </c>
      <c r="M187" s="172">
        <v>869.15461769403078</v>
      </c>
      <c r="N187" s="172">
        <f t="shared" ref="N187:N193" si="10">M187/I187*$I$69</f>
        <v>955.60811421484948</v>
      </c>
      <c r="O187" s="173">
        <v>6822.44890070785</v>
      </c>
      <c r="P187" s="172">
        <v>1150.314057295883</v>
      </c>
      <c r="Q187" s="172">
        <f t="shared" si="5"/>
        <v>1264.7340584392095</v>
      </c>
      <c r="R187" s="173">
        <v>7564.3716625186662</v>
      </c>
      <c r="S187" s="172">
        <v>175.73767321176348</v>
      </c>
      <c r="T187" s="172">
        <f t="shared" si="6"/>
        <v>193.21803402477872</v>
      </c>
      <c r="U187" s="164"/>
      <c r="V187" s="164"/>
      <c r="W187" s="164"/>
      <c r="X187" s="164"/>
      <c r="Y187" s="164"/>
      <c r="Z187" s="164"/>
      <c r="AA187" s="164"/>
      <c r="AB187" s="164"/>
      <c r="AC187" s="164"/>
      <c r="AD187" s="164"/>
      <c r="AE187" s="164"/>
      <c r="AF187" s="164"/>
      <c r="AG187" s="164"/>
      <c r="AH187" s="164"/>
    </row>
    <row r="188" spans="1:34" x14ac:dyDescent="0.25">
      <c r="A188" s="164">
        <v>2</v>
      </c>
      <c r="B188" s="164"/>
      <c r="C188" s="175">
        <f>+E188-E187</f>
        <v>182.75061374999999</v>
      </c>
      <c r="D188" s="167">
        <f>+G188-G187</f>
        <v>165.12822851249999</v>
      </c>
      <c r="E188" s="183">
        <v>378.58</v>
      </c>
      <c r="F188" s="164"/>
      <c r="G188" s="183">
        <v>342.2</v>
      </c>
      <c r="H188" s="164"/>
      <c r="I188" s="164">
        <v>131.69999999999999</v>
      </c>
      <c r="J188" s="164">
        <v>2</v>
      </c>
      <c r="K188" s="164"/>
      <c r="L188" s="181">
        <v>14087.60675595238</v>
      </c>
      <c r="M188" s="172">
        <v>635.43152402028181</v>
      </c>
      <c r="N188" s="172">
        <f t="shared" si="10"/>
        <v>698.6369375712743</v>
      </c>
      <c r="O188" s="173">
        <v>4838.55109929215</v>
      </c>
      <c r="P188" s="172">
        <v>1037.7970664905204</v>
      </c>
      <c r="Q188" s="172">
        <f t="shared" si="5"/>
        <v>1141.0251725727212</v>
      </c>
      <c r="R188" s="173">
        <v>10002.628337481334</v>
      </c>
      <c r="S188" s="172">
        <v>184.20744441885319</v>
      </c>
      <c r="T188" s="172">
        <f t="shared" si="6"/>
        <v>202.53028057592974</v>
      </c>
      <c r="U188" s="164"/>
      <c r="V188" s="164"/>
      <c r="W188" s="164"/>
      <c r="X188" s="164"/>
      <c r="Y188" s="164"/>
      <c r="Z188" s="164"/>
      <c r="AA188" s="164"/>
      <c r="AB188" s="164"/>
      <c r="AC188" s="164"/>
      <c r="AD188" s="164"/>
      <c r="AE188" s="164"/>
      <c r="AF188" s="164"/>
      <c r="AG188" s="164"/>
      <c r="AH188" s="164"/>
    </row>
    <row r="189" spans="1:34" x14ac:dyDescent="0.25">
      <c r="A189" s="167">
        <v>3</v>
      </c>
      <c r="B189" s="164"/>
      <c r="C189" s="175">
        <f>+E189-E188</f>
        <v>165.72960875000007</v>
      </c>
      <c r="D189" s="167">
        <f>+G189-G188</f>
        <v>148.24155396250001</v>
      </c>
      <c r="E189" s="164">
        <v>544.30960875000005</v>
      </c>
      <c r="F189" s="164"/>
      <c r="G189" s="164">
        <v>490.4415539625</v>
      </c>
      <c r="H189" s="164"/>
      <c r="I189" s="164">
        <v>130</v>
      </c>
      <c r="J189" s="164">
        <v>3</v>
      </c>
      <c r="K189" s="164"/>
      <c r="L189" s="184">
        <v>20999.460714285713</v>
      </c>
      <c r="M189" s="185">
        <v>864.77367174435972</v>
      </c>
      <c r="N189" s="172">
        <f t="shared" si="10"/>
        <v>963.22482821987148</v>
      </c>
      <c r="O189" s="184">
        <v>6828.0536397386386</v>
      </c>
      <c r="P189" s="185">
        <v>1132.0609213635664</v>
      </c>
      <c r="Q189" s="172">
        <f t="shared" si="5"/>
        <v>1260.9417031803418</v>
      </c>
      <c r="R189" s="184">
        <v>10877.781177428844</v>
      </c>
      <c r="S189" s="185">
        <v>190.02859425457928</v>
      </c>
      <c r="T189" s="172">
        <f t="shared" si="6"/>
        <v>211.66261883125446</v>
      </c>
      <c r="U189" s="164"/>
      <c r="V189" s="164"/>
      <c r="W189" s="164"/>
      <c r="X189" s="164"/>
      <c r="Y189" s="164"/>
      <c r="Z189" s="164"/>
      <c r="AA189" s="164"/>
      <c r="AB189" s="164"/>
      <c r="AC189" s="164"/>
      <c r="AD189" s="164"/>
      <c r="AE189" s="164"/>
      <c r="AF189" s="164"/>
      <c r="AG189" s="164"/>
      <c r="AH189" s="164"/>
    </row>
    <row r="190" spans="1:34" x14ac:dyDescent="0.25">
      <c r="A190" s="167">
        <v>4</v>
      </c>
      <c r="B190" s="164"/>
      <c r="C190" s="175">
        <f>+E190-E189</f>
        <v>166.80539124999996</v>
      </c>
      <c r="D190" s="167">
        <f>+G190-G189</f>
        <v>151.72844603749996</v>
      </c>
      <c r="E190" s="164">
        <v>711.11500000000001</v>
      </c>
      <c r="F190" s="164"/>
      <c r="G190" s="164">
        <v>642.16999999999996</v>
      </c>
      <c r="H190" s="164"/>
      <c r="I190" s="164">
        <v>132</v>
      </c>
      <c r="J190" s="164">
        <v>4</v>
      </c>
      <c r="K190" s="164"/>
      <c r="L190" s="184">
        <v>17946.539285714287</v>
      </c>
      <c r="M190" s="185">
        <v>826.79347775776318</v>
      </c>
      <c r="N190" s="172">
        <f t="shared" si="10"/>
        <v>906.96739075245534</v>
      </c>
      <c r="O190" s="184">
        <v>5621.9463602613596</v>
      </c>
      <c r="P190" s="185">
        <v>1071.0118577206574</v>
      </c>
      <c r="Q190" s="172">
        <f t="shared" ref="Q190:Q206" si="11">P190/I190*$I$69</f>
        <v>1174.8675530147818</v>
      </c>
      <c r="R190" s="184">
        <v>8525.2188225711561</v>
      </c>
      <c r="S190" s="185">
        <v>190.41732478586363</v>
      </c>
      <c r="T190" s="172">
        <f t="shared" ref="T190:T206" si="12">S190/I190*$I$69</f>
        <v>208.8820350681292</v>
      </c>
      <c r="U190" s="164"/>
      <c r="V190" s="164"/>
      <c r="W190" s="164"/>
      <c r="X190" s="164"/>
      <c r="Y190" s="164"/>
      <c r="Z190" s="164"/>
      <c r="AA190" s="164"/>
      <c r="AB190" s="164"/>
      <c r="AC190" s="164"/>
      <c r="AD190" s="164"/>
      <c r="AE190" s="164"/>
      <c r="AF190" s="164"/>
      <c r="AG190" s="164"/>
      <c r="AH190" s="164"/>
    </row>
    <row r="191" spans="1:34" x14ac:dyDescent="0.25">
      <c r="A191" s="164">
        <v>1</v>
      </c>
      <c r="B191" s="164">
        <v>2013</v>
      </c>
      <c r="C191" s="175">
        <f>+E191</f>
        <v>199.180995</v>
      </c>
      <c r="D191" s="167">
        <f>+G191</f>
        <v>183.65288545000001</v>
      </c>
      <c r="E191" s="164">
        <v>199.180995</v>
      </c>
      <c r="F191" s="164"/>
      <c r="G191" s="164">
        <v>183.65288545000001</v>
      </c>
      <c r="H191" s="164"/>
      <c r="I191" s="164">
        <v>133</v>
      </c>
      <c r="J191" s="164">
        <v>1</v>
      </c>
      <c r="K191" s="164">
        <f>B191</f>
        <v>2013</v>
      </c>
      <c r="L191" s="184">
        <v>21974.571815476189</v>
      </c>
      <c r="M191" s="185">
        <v>1023.0812127444322</v>
      </c>
      <c r="N191" s="172">
        <f t="shared" si="10"/>
        <v>1113.850824100705</v>
      </c>
      <c r="O191" s="184">
        <v>5520.4451678348678</v>
      </c>
      <c r="P191" s="185">
        <v>1148.1840804128565</v>
      </c>
      <c r="Q191" s="172">
        <f t="shared" si="11"/>
        <v>1250.0530439382078</v>
      </c>
      <c r="R191" s="184">
        <v>5958.3970505452735</v>
      </c>
      <c r="S191" s="185">
        <v>167.84779905693762</v>
      </c>
      <c r="T191" s="172">
        <f t="shared" si="12"/>
        <v>182.73955867251556</v>
      </c>
      <c r="U191" s="164"/>
      <c r="V191" s="164"/>
      <c r="W191" s="164"/>
      <c r="X191" s="164"/>
      <c r="Y191" s="164"/>
      <c r="Z191" s="164"/>
      <c r="AA191" s="164"/>
      <c r="AB191" s="164"/>
      <c r="AC191" s="164"/>
      <c r="AD191" s="164"/>
      <c r="AE191" s="164"/>
      <c r="AF191" s="164"/>
      <c r="AG191" s="164"/>
      <c r="AH191" s="164"/>
    </row>
    <row r="192" spans="1:34" x14ac:dyDescent="0.25">
      <c r="A192" s="164">
        <v>2</v>
      </c>
      <c r="B192" s="164"/>
      <c r="C192" s="175">
        <f>+E192-E191</f>
        <v>205.01500500000003</v>
      </c>
      <c r="D192" s="167">
        <f>+G192-G191</f>
        <v>185.63411454999996</v>
      </c>
      <c r="E192" s="164">
        <v>404.19600000000003</v>
      </c>
      <c r="F192" s="164"/>
      <c r="G192" s="164">
        <v>369.28699999999998</v>
      </c>
      <c r="H192" s="164"/>
      <c r="I192" s="164">
        <v>134.30000000000001</v>
      </c>
      <c r="J192" s="164">
        <v>2</v>
      </c>
      <c r="K192" s="164"/>
      <c r="L192" s="184">
        <v>23960.428184523811</v>
      </c>
      <c r="M192" s="185">
        <v>1011.581560458749</v>
      </c>
      <c r="N192" s="172">
        <f t="shared" si="10"/>
        <v>1090.6702155951366</v>
      </c>
      <c r="O192" s="184">
        <v>6388.5548321651322</v>
      </c>
      <c r="P192" s="185">
        <v>1133.7065185307133</v>
      </c>
      <c r="Q192" s="172">
        <f t="shared" si="11"/>
        <v>1222.3432902698978</v>
      </c>
      <c r="R192" s="184">
        <v>10154.602949454726</v>
      </c>
      <c r="S192" s="185">
        <v>176.1673175310234</v>
      </c>
      <c r="T192" s="172">
        <f t="shared" si="12"/>
        <v>189.9406372188547</v>
      </c>
      <c r="U192" s="164"/>
      <c r="V192" s="164"/>
      <c r="W192" s="164"/>
      <c r="X192" s="164"/>
      <c r="Y192" s="164"/>
      <c r="Z192" s="164"/>
      <c r="AA192" s="164"/>
      <c r="AB192" s="164"/>
      <c r="AC192" s="164"/>
      <c r="AD192" s="164"/>
      <c r="AE192" s="164"/>
      <c r="AF192" s="164"/>
      <c r="AG192" s="164"/>
      <c r="AH192" s="164"/>
    </row>
    <row r="193" spans="1:34" x14ac:dyDescent="0.25">
      <c r="A193" s="164">
        <v>3</v>
      </c>
      <c r="B193" s="164"/>
      <c r="C193" s="175">
        <f>+E193-E192</f>
        <v>172.04383408071794</v>
      </c>
      <c r="D193" s="167">
        <f>+G193-G192</f>
        <v>153.21019910313902</v>
      </c>
      <c r="E193" s="164">
        <v>576.23983408071797</v>
      </c>
      <c r="F193" s="164"/>
      <c r="G193" s="164">
        <v>522.497199103139</v>
      </c>
      <c r="H193" s="164"/>
      <c r="I193" s="164">
        <v>134.19999999999999</v>
      </c>
      <c r="J193" s="164">
        <v>3</v>
      </c>
      <c r="K193" s="164"/>
      <c r="L193" s="184">
        <v>18388.581422924897</v>
      </c>
      <c r="M193" s="185">
        <v>735.52528494140915</v>
      </c>
      <c r="N193" s="172">
        <f t="shared" si="10"/>
        <v>793.62191698596166</v>
      </c>
      <c r="O193" s="184">
        <v>11492.955434782609</v>
      </c>
      <c r="P193" s="185">
        <v>1323.3889549928699</v>
      </c>
      <c r="Q193" s="172">
        <f t="shared" si="11"/>
        <v>1427.9189320638418</v>
      </c>
      <c r="R193" s="184">
        <v>11786.02326086957</v>
      </c>
      <c r="S193" s="185">
        <v>172.41802435151402</v>
      </c>
      <c r="T193" s="172">
        <f t="shared" si="12"/>
        <v>186.03673566392874</v>
      </c>
      <c r="U193" s="164"/>
      <c r="V193" s="164"/>
      <c r="W193" s="164"/>
      <c r="X193" s="164"/>
      <c r="Y193" s="164"/>
      <c r="Z193" s="164"/>
      <c r="AA193" s="164"/>
      <c r="AB193" s="164"/>
      <c r="AC193" s="164"/>
      <c r="AD193" s="164"/>
      <c r="AE193" s="164"/>
      <c r="AF193" s="164"/>
      <c r="AG193" s="164"/>
      <c r="AH193" s="164"/>
    </row>
    <row r="194" spans="1:34" x14ac:dyDescent="0.25">
      <c r="A194" s="167">
        <v>4</v>
      </c>
      <c r="B194" s="164"/>
      <c r="C194" s="175">
        <f>+E194-E193</f>
        <v>204.099832585949</v>
      </c>
      <c r="D194" s="167">
        <f>+G194-G193</f>
        <v>188.07946756352794</v>
      </c>
      <c r="E194" s="164">
        <v>780.33966666666697</v>
      </c>
      <c r="F194" s="164"/>
      <c r="G194" s="164">
        <v>710.57666666666694</v>
      </c>
      <c r="H194" s="164"/>
      <c r="I194" s="164">
        <v>135.30000000000001</v>
      </c>
      <c r="J194" s="164">
        <v>4</v>
      </c>
      <c r="K194" s="164"/>
      <c r="L194" s="184">
        <v>18420.418577075106</v>
      </c>
      <c r="M194" s="184">
        <v>895.71090498583999</v>
      </c>
      <c r="N194" s="172">
        <f>M194/I194*$I$69</f>
        <v>958.6026536729463</v>
      </c>
      <c r="O194" s="184">
        <v>7745.0445652173912</v>
      </c>
      <c r="P194" s="184">
        <v>1212.6630411771803</v>
      </c>
      <c r="Q194" s="172">
        <f t="shared" si="11"/>
        <v>1297.8093744453488</v>
      </c>
      <c r="R194" s="184">
        <v>11621.97673913043</v>
      </c>
      <c r="S194" s="184">
        <v>180.100371437175</v>
      </c>
      <c r="T194" s="172">
        <f t="shared" si="12"/>
        <v>192.74599988250509</v>
      </c>
      <c r="U194" s="164"/>
      <c r="V194" s="164"/>
      <c r="W194" s="164"/>
      <c r="X194" s="164"/>
      <c r="Y194" s="164"/>
      <c r="Z194" s="164"/>
      <c r="AA194" s="164"/>
      <c r="AB194" s="164"/>
      <c r="AC194" s="164"/>
      <c r="AD194" s="164"/>
      <c r="AE194" s="164"/>
      <c r="AF194" s="164"/>
      <c r="AG194" s="164"/>
      <c r="AH194" s="164"/>
    </row>
    <row r="195" spans="1:34" x14ac:dyDescent="0.25">
      <c r="A195" s="167">
        <v>1</v>
      </c>
      <c r="B195" s="164">
        <v>2014</v>
      </c>
      <c r="C195" s="175">
        <f>E195</f>
        <v>196.17699999999999</v>
      </c>
      <c r="D195" s="167">
        <f>G195</f>
        <v>179.55199999999999</v>
      </c>
      <c r="E195" s="164">
        <v>196.17699999999999</v>
      </c>
      <c r="F195" s="164"/>
      <c r="G195" s="164">
        <v>179.55199999999999</v>
      </c>
      <c r="H195" s="164"/>
      <c r="I195" s="164">
        <v>135.80000000000001</v>
      </c>
      <c r="J195" s="164">
        <f>A195</f>
        <v>1</v>
      </c>
      <c r="K195" s="164">
        <f>B195</f>
        <v>2014</v>
      </c>
      <c r="L195" s="184">
        <v>19713</v>
      </c>
      <c r="M195" s="184">
        <v>886.67647724495987</v>
      </c>
      <c r="N195" s="172">
        <f>M195/I195*$I$69</f>
        <v>945.44001402849915</v>
      </c>
      <c r="O195" s="184">
        <v>7032</v>
      </c>
      <c r="P195" s="184">
        <v>1484.9150299297401</v>
      </c>
      <c r="Q195" s="172">
        <f t="shared" ref="Q195" si="13">P195/I195*$I$69</f>
        <v>1583.326188025231</v>
      </c>
      <c r="R195" s="184">
        <v>8004</v>
      </c>
      <c r="S195" s="184">
        <v>165.16263465729782</v>
      </c>
      <c r="T195" s="172">
        <f t="shared" ref="T195" si="14">S195/I195*$I$69</f>
        <v>176.10861191735435</v>
      </c>
      <c r="U195" s="164"/>
      <c r="V195" s="164"/>
      <c r="W195" s="164"/>
      <c r="X195" s="164"/>
      <c r="Y195" s="164"/>
      <c r="Z195" s="164"/>
      <c r="AA195" s="164"/>
      <c r="AB195" s="164"/>
      <c r="AC195" s="164"/>
      <c r="AD195" s="164"/>
      <c r="AE195" s="164"/>
      <c r="AF195" s="164"/>
      <c r="AG195" s="164"/>
      <c r="AH195" s="164"/>
    </row>
    <row r="196" spans="1:34" x14ac:dyDescent="0.25">
      <c r="A196" s="164">
        <v>2</v>
      </c>
      <c r="B196" s="164"/>
      <c r="C196" s="175">
        <f>+E196-E195</f>
        <v>197.965</v>
      </c>
      <c r="D196" s="167">
        <f>+G196-G195</f>
        <v>179.76700000000002</v>
      </c>
      <c r="E196" s="164">
        <v>394.142</v>
      </c>
      <c r="F196" s="164"/>
      <c r="G196" s="164">
        <v>359.31900000000002</v>
      </c>
      <c r="H196" s="164"/>
      <c r="I196" s="164">
        <v>136.69999999999999</v>
      </c>
      <c r="J196" s="164">
        <v>2</v>
      </c>
      <c r="K196" s="164"/>
      <c r="L196" s="184">
        <v>16691</v>
      </c>
      <c r="M196" s="184">
        <v>732.96206934555016</v>
      </c>
      <c r="N196" s="172">
        <f t="shared" ref="N196:N206" si="15">M196/I196*$I$69</f>
        <v>776.39288691467209</v>
      </c>
      <c r="O196" s="184">
        <v>6228</v>
      </c>
      <c r="P196" s="184">
        <v>1158.7677611998799</v>
      </c>
      <c r="Q196" s="172">
        <f t="shared" si="11"/>
        <v>1227.4292013294998</v>
      </c>
      <c r="R196" s="184">
        <v>11579</v>
      </c>
      <c r="S196" s="184">
        <v>167.32102845142202</v>
      </c>
      <c r="T196" s="172">
        <f t="shared" si="12"/>
        <v>177.23544198804618</v>
      </c>
      <c r="U196" s="164"/>
      <c r="V196" s="164"/>
      <c r="W196" s="164"/>
      <c r="X196" s="164"/>
      <c r="Y196" s="164"/>
      <c r="Z196" s="164"/>
      <c r="AA196" s="164"/>
      <c r="AB196" s="164"/>
      <c r="AC196" s="164"/>
      <c r="AD196" s="164"/>
      <c r="AE196" s="164"/>
      <c r="AF196" s="164"/>
      <c r="AG196" s="164"/>
      <c r="AH196" s="164"/>
    </row>
    <row r="197" spans="1:34" x14ac:dyDescent="0.25">
      <c r="A197" s="164">
        <v>3</v>
      </c>
      <c r="B197" s="164"/>
      <c r="C197" s="175">
        <f>+E197-E196</f>
        <v>192.10452006852</v>
      </c>
      <c r="D197" s="167">
        <f>+G197-G196</f>
        <v>173.47352006851992</v>
      </c>
      <c r="E197" s="164">
        <v>586.24652006852</v>
      </c>
      <c r="F197" s="164"/>
      <c r="G197" s="164">
        <v>532.79252006851993</v>
      </c>
      <c r="H197" s="164"/>
      <c r="I197" s="164">
        <v>137</v>
      </c>
      <c r="J197" s="164">
        <v>3</v>
      </c>
      <c r="K197" s="164"/>
      <c r="L197" s="184">
        <v>21817</v>
      </c>
      <c r="M197" s="184">
        <v>1080.59231996894</v>
      </c>
      <c r="N197" s="172">
        <f t="shared" si="15"/>
        <v>1142.1150943905293</v>
      </c>
      <c r="O197" s="184">
        <v>20407</v>
      </c>
      <c r="P197" s="184">
        <v>1259.8740491119995</v>
      </c>
      <c r="Q197" s="172">
        <f t="shared" si="11"/>
        <v>1331.6041044629019</v>
      </c>
      <c r="R197" s="184">
        <v>11684</v>
      </c>
      <c r="S197" s="184">
        <v>177.03184293206914</v>
      </c>
      <c r="T197" s="172">
        <f t="shared" si="12"/>
        <v>187.11102815009937</v>
      </c>
      <c r="U197" s="164"/>
      <c r="V197" s="164"/>
      <c r="W197" s="164"/>
      <c r="X197" s="164"/>
      <c r="Y197" s="164"/>
      <c r="Z197" s="164"/>
      <c r="AA197" s="164"/>
      <c r="AB197" s="164"/>
      <c r="AC197" s="164"/>
      <c r="AD197" s="164"/>
      <c r="AE197" s="164"/>
      <c r="AF197" s="164"/>
      <c r="AG197" s="164"/>
      <c r="AH197" s="164"/>
    </row>
    <row r="198" spans="1:34" x14ac:dyDescent="0.25">
      <c r="A198" s="164">
        <v>4</v>
      </c>
      <c r="B198" s="164"/>
      <c r="C198" s="175">
        <f>+E198-E197</f>
        <v>196.808833167682</v>
      </c>
      <c r="D198" s="167">
        <f>+G198-G197</f>
        <v>184.73883316768206</v>
      </c>
      <c r="E198" s="164">
        <v>783.055353236202</v>
      </c>
      <c r="F198" s="164"/>
      <c r="G198" s="164">
        <v>717.53135323620199</v>
      </c>
      <c r="H198" s="164"/>
      <c r="I198" s="164">
        <v>137.9</v>
      </c>
      <c r="J198" s="164">
        <v>4</v>
      </c>
      <c r="K198" s="164"/>
      <c r="L198" s="184">
        <v>20183</v>
      </c>
      <c r="M198" s="184">
        <v>869.67426416194962</v>
      </c>
      <c r="N198" s="172">
        <f t="shared" si="15"/>
        <v>913.18951015700009</v>
      </c>
      <c r="O198" s="184">
        <v>12863</v>
      </c>
      <c r="P198" s="184">
        <v>1106.850761909501</v>
      </c>
      <c r="Q198" s="172">
        <f t="shared" si="11"/>
        <v>1162.2334323748785</v>
      </c>
      <c r="R198" s="184">
        <v>9690</v>
      </c>
      <c r="S198" s="184">
        <v>175.42101671448501</v>
      </c>
      <c r="T198" s="172">
        <f t="shared" si="12"/>
        <v>184.19842799316481</v>
      </c>
      <c r="U198" s="164"/>
      <c r="V198" s="164"/>
      <c r="W198" s="164"/>
      <c r="X198" s="164"/>
      <c r="Y198" s="164"/>
      <c r="Z198" s="164"/>
      <c r="AA198" s="164"/>
      <c r="AB198" s="164"/>
      <c r="AC198" s="164"/>
      <c r="AD198" s="164"/>
      <c r="AE198" s="164"/>
      <c r="AF198" s="164"/>
      <c r="AG198" s="164"/>
      <c r="AH198" s="164"/>
    </row>
    <row r="199" spans="1:34" x14ac:dyDescent="0.25">
      <c r="A199" s="164">
        <v>1</v>
      </c>
      <c r="B199" s="164">
        <v>2015</v>
      </c>
      <c r="C199" s="175">
        <f>E199</f>
        <v>219.418599054541</v>
      </c>
      <c r="D199" s="167">
        <f>G199</f>
        <v>202.59159905454101</v>
      </c>
      <c r="E199" s="164">
        <v>219.418599054541</v>
      </c>
      <c r="F199" s="164"/>
      <c r="G199" s="164">
        <v>202.59159905454101</v>
      </c>
      <c r="H199" s="164"/>
      <c r="I199" s="164">
        <v>138.4</v>
      </c>
      <c r="J199" s="164">
        <v>1</v>
      </c>
      <c r="K199" s="164">
        <v>2015</v>
      </c>
      <c r="L199" s="184">
        <v>19630</v>
      </c>
      <c r="M199" s="184">
        <v>957.60520650282388</v>
      </c>
      <c r="N199" s="172">
        <f t="shared" si="15"/>
        <v>1001.8875281908158</v>
      </c>
      <c r="O199" s="184">
        <v>9848</v>
      </c>
      <c r="P199" s="184">
        <v>1279.8360091262539</v>
      </c>
      <c r="Q199" s="172">
        <f t="shared" si="11"/>
        <v>1339.019177178335</v>
      </c>
      <c r="R199" s="184">
        <v>7135</v>
      </c>
      <c r="S199" s="184">
        <v>155.36971992416409</v>
      </c>
      <c r="T199" s="172">
        <f t="shared" si="12"/>
        <v>162.55444685707343</v>
      </c>
      <c r="U199" s="164"/>
      <c r="V199" s="164"/>
      <c r="W199" s="164"/>
      <c r="X199" s="164"/>
      <c r="Y199" s="164"/>
      <c r="Z199" s="164"/>
      <c r="AA199" s="164"/>
      <c r="AB199" s="164"/>
      <c r="AC199" s="164"/>
      <c r="AD199" s="164"/>
      <c r="AE199" s="164"/>
      <c r="AF199" s="164"/>
      <c r="AG199" s="164"/>
      <c r="AH199" s="164"/>
    </row>
    <row r="200" spans="1:34" x14ac:dyDescent="0.25">
      <c r="A200" s="164">
        <v>2</v>
      </c>
      <c r="B200" s="164"/>
      <c r="C200" s="175">
        <f>+E200-E199</f>
        <v>188.69592411436798</v>
      </c>
      <c r="D200" s="167">
        <f>+G200-G199</f>
        <v>171.45081948058601</v>
      </c>
      <c r="E200" s="164">
        <v>408.11452316890899</v>
      </c>
      <c r="F200" s="164"/>
      <c r="G200" s="164">
        <v>374.04241853512701</v>
      </c>
      <c r="H200" s="164"/>
      <c r="I200" s="164">
        <v>139.6</v>
      </c>
      <c r="J200" s="164">
        <v>2</v>
      </c>
      <c r="K200" s="164"/>
      <c r="L200" s="184">
        <v>15703.949675889351</v>
      </c>
      <c r="M200" s="184">
        <v>739.71582874915612</v>
      </c>
      <c r="N200" s="172">
        <f t="shared" si="15"/>
        <v>767.26971348766347</v>
      </c>
      <c r="O200" s="184">
        <v>5422.7168724637304</v>
      </c>
      <c r="P200" s="184">
        <v>1206.7408437095464</v>
      </c>
      <c r="Q200" s="172">
        <f t="shared" si="11"/>
        <v>1251.6910757101889</v>
      </c>
      <c r="R200" s="184">
        <v>9988.3050621118018</v>
      </c>
      <c r="S200" s="184">
        <v>168.85276765034422</v>
      </c>
      <c r="T200" s="172">
        <f t="shared" si="12"/>
        <v>175.14241229061494</v>
      </c>
      <c r="U200" s="164"/>
      <c r="V200" s="164"/>
      <c r="W200" s="164"/>
      <c r="X200" s="164"/>
      <c r="Y200" s="164"/>
      <c r="Z200" s="164"/>
      <c r="AA200" s="164"/>
      <c r="AB200" s="164"/>
      <c r="AC200" s="164"/>
      <c r="AD200" s="164"/>
      <c r="AE200" s="164"/>
      <c r="AF200" s="164"/>
      <c r="AG200" s="164"/>
      <c r="AH200" s="164"/>
    </row>
    <row r="201" spans="1:34" x14ac:dyDescent="0.25">
      <c r="A201" s="164">
        <v>3</v>
      </c>
      <c r="B201" s="164"/>
      <c r="C201" s="175">
        <f>+E201-E200</f>
        <v>180.38826158445403</v>
      </c>
      <c r="D201" s="167">
        <f>+G201-G200</f>
        <v>162.29720926756397</v>
      </c>
      <c r="E201" s="164">
        <v>588.50278475336302</v>
      </c>
      <c r="F201" s="164"/>
      <c r="G201" s="164">
        <v>536.33962780269098</v>
      </c>
      <c r="H201" s="164"/>
      <c r="I201" s="164">
        <v>139.69999999999999</v>
      </c>
      <c r="J201" s="164">
        <v>3</v>
      </c>
      <c r="K201" s="164"/>
      <c r="L201" s="184">
        <v>22728.974837944646</v>
      </c>
      <c r="M201" s="184">
        <v>979.87465749478997</v>
      </c>
      <c r="N201" s="172">
        <f t="shared" si="15"/>
        <v>1015.6467459215863</v>
      </c>
      <c r="O201" s="184">
        <v>8619.8584362319707</v>
      </c>
      <c r="P201" s="184">
        <v>1341.1049733657396</v>
      </c>
      <c r="Q201" s="172">
        <f t="shared" si="11"/>
        <v>1390.064424791404</v>
      </c>
      <c r="R201" s="184">
        <v>10649.652531055901</v>
      </c>
      <c r="S201" s="184">
        <v>131.16322330640469</v>
      </c>
      <c r="T201" s="172">
        <f t="shared" si="12"/>
        <v>135.95157290456265</v>
      </c>
      <c r="U201" s="164"/>
      <c r="V201" s="164"/>
      <c r="W201" s="164"/>
      <c r="X201" s="164"/>
      <c r="Y201" s="164"/>
      <c r="Z201" s="164"/>
      <c r="AA201" s="164"/>
      <c r="AB201" s="164"/>
      <c r="AC201" s="164"/>
      <c r="AD201" s="164"/>
      <c r="AE201" s="164"/>
      <c r="AF201" s="164"/>
      <c r="AG201" s="164"/>
      <c r="AH201" s="164"/>
    </row>
    <row r="202" spans="1:34" x14ac:dyDescent="0.25">
      <c r="A202" s="164">
        <v>4</v>
      </c>
      <c r="B202" s="164"/>
      <c r="C202" s="175">
        <f>+E202-E201</f>
        <v>195.22963867497901</v>
      </c>
      <c r="D202" s="167">
        <f>+G202-G201</f>
        <v>179.89113138755602</v>
      </c>
      <c r="E202" s="164">
        <v>783.73242342834203</v>
      </c>
      <c r="F202" s="164"/>
      <c r="G202" s="164">
        <v>716.230759190247</v>
      </c>
      <c r="H202" s="164"/>
      <c r="I202" s="164">
        <v>141.69999999999999</v>
      </c>
      <c r="J202" s="164">
        <v>4</v>
      </c>
      <c r="K202" s="164"/>
      <c r="L202" s="184">
        <v>17661.404213438705</v>
      </c>
      <c r="M202" s="184">
        <v>882.4718984768997</v>
      </c>
      <c r="N202" s="172">
        <f t="shared" si="15"/>
        <v>901.77791742734723</v>
      </c>
      <c r="O202" s="184">
        <v>7193.856491304301</v>
      </c>
      <c r="P202" s="184">
        <v>1425.3376484527203</v>
      </c>
      <c r="Q202" s="172">
        <f t="shared" si="11"/>
        <v>1456.5200529001688</v>
      </c>
      <c r="R202" s="184">
        <v>9159.825978260902</v>
      </c>
      <c r="S202" s="184">
        <v>158.55842389179503</v>
      </c>
      <c r="T202" s="172">
        <f t="shared" si="12"/>
        <v>162.02723909337985</v>
      </c>
      <c r="U202" s="164"/>
      <c r="V202" s="164"/>
      <c r="W202" s="164"/>
      <c r="X202" s="164"/>
      <c r="Y202" s="164"/>
      <c r="Z202" s="164"/>
      <c r="AA202" s="164"/>
      <c r="AB202" s="164"/>
      <c r="AC202" s="164"/>
      <c r="AD202" s="164"/>
      <c r="AE202" s="164"/>
      <c r="AF202" s="164"/>
      <c r="AG202" s="164"/>
      <c r="AH202" s="164"/>
    </row>
    <row r="203" spans="1:34" x14ac:dyDescent="0.25">
      <c r="A203" s="164">
        <v>1</v>
      </c>
      <c r="B203" s="164">
        <v>2016</v>
      </c>
      <c r="C203" s="175">
        <f>E203</f>
        <v>217.297581707322</v>
      </c>
      <c r="D203" s="167">
        <f>G203</f>
        <v>201.19677375494101</v>
      </c>
      <c r="E203" s="164">
        <v>217.297581707322</v>
      </c>
      <c r="F203" s="164"/>
      <c r="G203" s="164">
        <v>201.19677375494101</v>
      </c>
      <c r="H203" s="164"/>
      <c r="I203" s="164">
        <v>142.69999999999999</v>
      </c>
      <c r="J203" s="164">
        <v>1</v>
      </c>
      <c r="K203" s="164">
        <v>2016</v>
      </c>
      <c r="L203" s="184">
        <v>20668.165818181998</v>
      </c>
      <c r="M203" s="184">
        <v>1021.6300324660001</v>
      </c>
      <c r="N203" s="172">
        <f t="shared" si="15"/>
        <v>1036.6645318926198</v>
      </c>
      <c r="O203" s="184">
        <v>6682.5362000000005</v>
      </c>
      <c r="P203" s="184">
        <v>1267.176908724</v>
      </c>
      <c r="Q203" s="172">
        <f t="shared" si="11"/>
        <v>1285.8249220969533</v>
      </c>
      <c r="R203" s="184">
        <v>6340.7358571430004</v>
      </c>
      <c r="S203" s="184">
        <v>128.592957756</v>
      </c>
      <c r="T203" s="172">
        <f t="shared" si="12"/>
        <v>130.48535587294188</v>
      </c>
      <c r="U203" s="164"/>
      <c r="V203" s="164"/>
      <c r="W203" s="164"/>
      <c r="X203" s="164"/>
      <c r="Y203" s="164"/>
      <c r="Z203" s="164"/>
      <c r="AA203" s="164"/>
      <c r="AB203" s="164"/>
      <c r="AC203" s="164"/>
      <c r="AD203" s="164"/>
      <c r="AE203" s="164"/>
      <c r="AF203" s="164"/>
      <c r="AG203" s="164"/>
      <c r="AH203" s="164"/>
    </row>
    <row r="204" spans="1:34" x14ac:dyDescent="0.25">
      <c r="A204" s="164">
        <v>2</v>
      </c>
      <c r="B204" s="164"/>
      <c r="C204" s="175">
        <f>+E204-E203</f>
        <v>210.94903078835901</v>
      </c>
      <c r="D204" s="167">
        <f>+G204-G203</f>
        <v>192.89311593057502</v>
      </c>
      <c r="E204" s="164">
        <v>428.24661249568101</v>
      </c>
      <c r="F204" s="164"/>
      <c r="G204" s="164">
        <v>394.08988968551603</v>
      </c>
      <c r="H204" s="164"/>
      <c r="I204" s="164">
        <v>144.30000000000001</v>
      </c>
      <c r="J204" s="164">
        <v>2</v>
      </c>
      <c r="K204" s="164"/>
      <c r="L204" s="184">
        <v>19039.287573122998</v>
      </c>
      <c r="M204" s="184">
        <v>795.20392340999979</v>
      </c>
      <c r="N204" s="172">
        <f t="shared" si="15"/>
        <v>797.95930775999977</v>
      </c>
      <c r="O204" s="184">
        <v>5385.3991579709982</v>
      </c>
      <c r="P204" s="184">
        <v>991.5183596400002</v>
      </c>
      <c r="Q204" s="172">
        <f t="shared" si="11"/>
        <v>994.95397419176732</v>
      </c>
      <c r="R204" s="184">
        <v>10107.700518632999</v>
      </c>
      <c r="S204" s="184">
        <v>152.61472035099999</v>
      </c>
      <c r="T204" s="172">
        <f t="shared" si="12"/>
        <v>153.14353088582675</v>
      </c>
      <c r="U204" s="164"/>
      <c r="V204" s="164"/>
      <c r="W204" s="164"/>
      <c r="X204" s="164"/>
      <c r="Y204" s="164"/>
      <c r="Z204" s="164"/>
      <c r="AA204" s="164"/>
      <c r="AB204" s="164"/>
      <c r="AC204" s="164"/>
      <c r="AD204" s="164"/>
      <c r="AE204" s="164"/>
      <c r="AF204" s="164"/>
      <c r="AG204" s="164"/>
      <c r="AH204" s="164"/>
    </row>
    <row r="205" spans="1:34" x14ac:dyDescent="0.25">
      <c r="A205" s="164">
        <v>3</v>
      </c>
      <c r="B205" s="164"/>
      <c r="C205" s="175">
        <f>+E205-E204</f>
        <v>193.64755294266695</v>
      </c>
      <c r="D205" s="167">
        <f>+G205-G204</f>
        <v>175.641874720337</v>
      </c>
      <c r="E205" s="164">
        <v>621.89416543834795</v>
      </c>
      <c r="F205" s="164"/>
      <c r="G205" s="164">
        <v>569.73176440585303</v>
      </c>
      <c r="H205" s="164"/>
      <c r="I205" s="164">
        <v>145.30000000000001</v>
      </c>
      <c r="J205" s="164">
        <v>3</v>
      </c>
      <c r="K205" s="164"/>
      <c r="L205" s="184">
        <v>25325.005330874006</v>
      </c>
      <c r="M205" s="184">
        <v>1404.3111468839998</v>
      </c>
      <c r="N205" s="172">
        <f t="shared" si="15"/>
        <v>1399.478692834158</v>
      </c>
      <c r="O205" s="184">
        <v>9666.7747891530034</v>
      </c>
      <c r="P205" s="184">
        <v>1492.4533452979995</v>
      </c>
      <c r="Q205" s="172">
        <f t="shared" si="11"/>
        <v>1487.3175801730924</v>
      </c>
      <c r="R205" s="184">
        <v>10325.156290487997</v>
      </c>
      <c r="S205" s="184">
        <v>149.15188867200001</v>
      </c>
      <c r="T205" s="172">
        <f t="shared" si="12"/>
        <v>148.63863372130487</v>
      </c>
      <c r="U205" s="164"/>
      <c r="V205" s="164"/>
      <c r="W205" s="164"/>
      <c r="X205" s="164"/>
      <c r="Y205" s="164"/>
      <c r="Z205" s="164"/>
      <c r="AA205" s="164"/>
      <c r="AB205" s="164"/>
      <c r="AC205" s="164"/>
      <c r="AD205" s="164"/>
      <c r="AE205" s="164"/>
      <c r="AF205" s="164"/>
      <c r="AG205" s="164"/>
      <c r="AH205" s="164"/>
    </row>
    <row r="206" spans="1:34" x14ac:dyDescent="0.25">
      <c r="A206" s="164">
        <v>4</v>
      </c>
      <c r="B206" s="164"/>
      <c r="C206" s="175">
        <f>+E206-E205</f>
        <v>194.66297676649504</v>
      </c>
      <c r="D206" s="167">
        <f>+G206-G205</f>
        <v>178.45454935802093</v>
      </c>
      <c r="E206" s="164">
        <v>816.55714220484299</v>
      </c>
      <c r="F206" s="164"/>
      <c r="G206" s="164">
        <v>748.18631376387395</v>
      </c>
      <c r="H206" s="164"/>
      <c r="I206" s="164">
        <v>146.69999999999999</v>
      </c>
      <c r="J206" s="164">
        <v>4</v>
      </c>
      <c r="K206" s="164"/>
      <c r="L206" s="184">
        <v>18369.446222722992</v>
      </c>
      <c r="M206" s="184">
        <v>962.00640138500057</v>
      </c>
      <c r="N206" s="172">
        <f t="shared" si="15"/>
        <v>949.54687744068235</v>
      </c>
      <c r="O206" s="184">
        <v>6575.4640743699983</v>
      </c>
      <c r="P206" s="184">
        <v>1222.1149542560006</v>
      </c>
      <c r="Q206" s="172">
        <f t="shared" si="11"/>
        <v>1206.2866078818604</v>
      </c>
      <c r="R206" s="184">
        <v>7957.0224983410008</v>
      </c>
      <c r="S206" s="184">
        <v>147.86469469900001</v>
      </c>
      <c r="T206" s="172">
        <f t="shared" si="12"/>
        <v>145.94961003691347</v>
      </c>
      <c r="U206" s="164"/>
      <c r="V206" s="164"/>
      <c r="W206" s="164"/>
      <c r="X206" s="164"/>
      <c r="Y206" s="164"/>
      <c r="Z206" s="164"/>
      <c r="AA206" s="164"/>
      <c r="AB206" s="164"/>
      <c r="AC206" s="164"/>
      <c r="AD206" s="164"/>
      <c r="AE206" s="164"/>
      <c r="AF206" s="164"/>
      <c r="AG206" s="164"/>
      <c r="AH206" s="164"/>
    </row>
    <row r="207" spans="1:34" x14ac:dyDescent="0.25">
      <c r="A207" s="164"/>
      <c r="B207" s="164"/>
      <c r="C207" s="164"/>
      <c r="D207" s="164"/>
      <c r="E207" s="168" t="s">
        <v>110</v>
      </c>
      <c r="F207" s="164"/>
      <c r="G207" s="164"/>
      <c r="H207" s="164"/>
      <c r="I207" s="164"/>
      <c r="J207" s="186"/>
      <c r="K207" s="187" t="s">
        <v>161</v>
      </c>
      <c r="L207" s="188">
        <f>L208-L203-L204-L205</f>
        <v>18369.446222722992</v>
      </c>
      <c r="M207" s="188">
        <f>M208-M203-M204-M205</f>
        <v>962.00640138500057</v>
      </c>
      <c r="N207" s="189" t="s">
        <v>175</v>
      </c>
      <c r="O207" s="188">
        <f>O208-O203-O204-O205</f>
        <v>6575.4640743699983</v>
      </c>
      <c r="P207" s="188">
        <f>P208-P203-P204-P205</f>
        <v>1222.1149542560006</v>
      </c>
      <c r="Q207" s="189" t="s">
        <v>175</v>
      </c>
      <c r="R207" s="188">
        <f>R208-R203-R204-R205</f>
        <v>7957.0224983410008</v>
      </c>
      <c r="S207" s="188">
        <f>S208-S203-S204-S205</f>
        <v>147.86469469900001</v>
      </c>
      <c r="T207" s="190" t="s">
        <v>175</v>
      </c>
      <c r="U207" s="164"/>
      <c r="V207" s="164"/>
      <c r="W207" s="164"/>
      <c r="X207" s="164"/>
      <c r="Y207" s="164"/>
      <c r="Z207" s="164"/>
      <c r="AA207" s="164"/>
      <c r="AB207" s="164"/>
      <c r="AC207" s="164"/>
      <c r="AD207" s="164"/>
      <c r="AE207" s="164"/>
      <c r="AF207" s="164"/>
      <c r="AG207" s="164"/>
      <c r="AH207" s="164"/>
    </row>
    <row r="208" spans="1:34" x14ac:dyDescent="0.25">
      <c r="A208" s="164"/>
      <c r="B208" s="164"/>
      <c r="C208" s="164"/>
      <c r="D208" s="164"/>
      <c r="E208" s="183">
        <f>IF('Tab5'!E8="",'Tab5'!E7,'Tab5'!E8)/1000</f>
        <v>816.55714220484299</v>
      </c>
      <c r="F208" s="164"/>
      <c r="G208" s="183">
        <f>IF('Tab5'!E10="",'Tab5'!E9,'Tab5'!E10)/1000</f>
        <v>748.18631376387395</v>
      </c>
      <c r="H208" s="164"/>
      <c r="I208" s="164"/>
      <c r="J208" s="164"/>
      <c r="K208" s="170" t="s">
        <v>189</v>
      </c>
      <c r="L208" s="173">
        <f>SUM('Tab7'!E11,'Tab11'!E11)</f>
        <v>83401.904944901995</v>
      </c>
      <c r="M208" s="172">
        <f>SUM('Tab7'!E39,'Tab11'!E39)</f>
        <v>4183.1515041450002</v>
      </c>
      <c r="N208" s="191" t="s">
        <v>174</v>
      </c>
      <c r="O208" s="173">
        <f>SUM('Tab7'!E9,'Tab11'!E9)</f>
        <v>28310.174221493999</v>
      </c>
      <c r="P208" s="172">
        <f>SUM('Tab7'!E37,'Tab11'!E37)</f>
        <v>4973.2635679180003</v>
      </c>
      <c r="Q208" s="191" t="s">
        <v>174</v>
      </c>
      <c r="R208" s="173">
        <f>SUM('Tab7'!E13,'Tab11'!E13)</f>
        <v>34730.615164604998</v>
      </c>
      <c r="S208" s="172">
        <f>SUM('Tab7'!E41,'Tab11'!E41)</f>
        <v>578.22426147800002</v>
      </c>
      <c r="T208" s="191" t="s">
        <v>174</v>
      </c>
      <c r="U208" s="164"/>
      <c r="V208" s="164"/>
      <c r="W208" s="164"/>
      <c r="X208" s="164"/>
      <c r="Y208" s="164"/>
      <c r="Z208" s="164"/>
      <c r="AA208" s="164"/>
      <c r="AB208" s="164"/>
      <c r="AC208" s="164"/>
      <c r="AD208" s="164"/>
      <c r="AE208" s="164"/>
      <c r="AF208" s="164"/>
      <c r="AG208" s="164"/>
      <c r="AH208" s="164"/>
    </row>
    <row r="209" spans="1:34" x14ac:dyDescent="0.25">
      <c r="A209" s="164"/>
      <c r="B209" s="164"/>
      <c r="C209" s="164"/>
      <c r="D209" s="164"/>
      <c r="E209" s="164"/>
      <c r="F209" s="164"/>
      <c r="G209" s="164"/>
      <c r="H209" s="164"/>
      <c r="I209" s="164"/>
      <c r="J209" s="164"/>
      <c r="K209" s="170" t="s">
        <v>188</v>
      </c>
      <c r="L209" s="173">
        <f>SUM('Tab7'!E12,'Tab11'!E12)</f>
        <v>0</v>
      </c>
      <c r="M209" s="172">
        <f>SUM('Tab7'!E40,'Tab11'!E40)</f>
        <v>0</v>
      </c>
      <c r="N209" s="191" t="s">
        <v>174</v>
      </c>
      <c r="O209" s="173">
        <f>SUM('Tab7'!E10,'Tab11'!E10)</f>
        <v>0</v>
      </c>
      <c r="P209" s="172">
        <f>SUM('Tab7'!E38,'Tab11'!E38)</f>
        <v>0</v>
      </c>
      <c r="Q209" s="191" t="s">
        <v>174</v>
      </c>
      <c r="R209" s="173">
        <f>SUM('Tab7'!E14,'Tab11'!E14)</f>
        <v>0</v>
      </c>
      <c r="S209" s="172">
        <f>SUM('Tab7'!E42,'Tab11'!E42)</f>
        <v>0</v>
      </c>
      <c r="T209" s="191" t="s">
        <v>174</v>
      </c>
      <c r="U209" s="164"/>
      <c r="V209" s="164"/>
      <c r="W209" s="164"/>
      <c r="X209" s="164"/>
      <c r="Y209" s="164"/>
      <c r="Z209" s="164"/>
      <c r="AA209" s="164"/>
      <c r="AB209" s="164"/>
      <c r="AC209" s="164"/>
      <c r="AD209" s="164"/>
      <c r="AE209" s="164"/>
      <c r="AF209" s="164"/>
      <c r="AG209" s="164"/>
      <c r="AH209" s="164"/>
    </row>
    <row r="210" spans="1:34" x14ac:dyDescent="0.25">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row>
    <row r="211" spans="1:34" x14ac:dyDescent="0.25">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row>
    <row r="212" spans="1:34" x14ac:dyDescent="0.25">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row>
    <row r="213" spans="1:34" x14ac:dyDescent="0.25">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row>
    <row r="214" spans="1:34" x14ac:dyDescent="0.25">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row>
    <row r="215" spans="1:34" x14ac:dyDescent="0.25">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row>
    <row r="216" spans="1:34" x14ac:dyDescent="0.25">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row>
    <row r="217" spans="1:34" x14ac:dyDescent="0.25">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row>
    <row r="218" spans="1:34" x14ac:dyDescent="0.25">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row>
  </sheetData>
  <autoFilter ref="A2"/>
  <mergeCells count="6">
    <mergeCell ref="AJ61:AJ62"/>
    <mergeCell ref="AC61:AC62"/>
    <mergeCell ref="A4:A5"/>
    <mergeCell ref="H61:H62"/>
    <mergeCell ref="O61:O62"/>
    <mergeCell ref="V61:V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145</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2</v>
      </c>
      <c r="B7" s="19" t="s">
        <v>3</v>
      </c>
      <c r="C7" s="20">
        <v>1812537.9694154561</v>
      </c>
      <c r="D7" s="20">
        <v>1873934.291872282</v>
      </c>
      <c r="E7" s="79">
        <v>1873571.660366575</v>
      </c>
      <c r="F7" s="22" t="s">
        <v>241</v>
      </c>
      <c r="G7" s="23">
        <v>3.3673055119944451</v>
      </c>
      <c r="H7" s="24">
        <v>-1.935134584385878E-2</v>
      </c>
    </row>
    <row r="8" spans="1:8" x14ac:dyDescent="0.25">
      <c r="A8" s="199"/>
      <c r="B8" s="25" t="s">
        <v>241</v>
      </c>
      <c r="C8" s="26" t="s">
        <v>241</v>
      </c>
      <c r="D8" s="26" t="s">
        <v>241</v>
      </c>
      <c r="E8" s="26" t="s">
        <v>241</v>
      </c>
      <c r="F8" s="27"/>
      <c r="G8" s="28" t="s">
        <v>241</v>
      </c>
      <c r="H8" s="29" t="s">
        <v>241</v>
      </c>
    </row>
    <row r="9" spans="1:8" x14ac:dyDescent="0.25">
      <c r="A9" s="30" t="s">
        <v>4</v>
      </c>
      <c r="B9" s="31" t="s">
        <v>3</v>
      </c>
      <c r="C9" s="20">
        <v>634112</v>
      </c>
      <c r="D9" s="20">
        <v>635550.76978571399</v>
      </c>
      <c r="E9" s="20">
        <v>673665.88803002005</v>
      </c>
      <c r="F9" s="22" t="s">
        <v>241</v>
      </c>
      <c r="G9" s="32">
        <v>6.2376816761108529</v>
      </c>
      <c r="H9" s="33">
        <v>5.9971791485921955</v>
      </c>
    </row>
    <row r="10" spans="1:8" x14ac:dyDescent="0.25">
      <c r="A10" s="34"/>
      <c r="B10" s="25" t="s">
        <v>241</v>
      </c>
      <c r="C10" s="26" t="s">
        <v>241</v>
      </c>
      <c r="D10" s="26" t="s">
        <v>241</v>
      </c>
      <c r="E10" s="26" t="s">
        <v>241</v>
      </c>
      <c r="F10" s="27"/>
      <c r="G10" s="28" t="s">
        <v>241</v>
      </c>
      <c r="H10" s="29" t="s">
        <v>241</v>
      </c>
    </row>
    <row r="11" spans="1:8" x14ac:dyDescent="0.25">
      <c r="A11" s="30" t="s">
        <v>5</v>
      </c>
      <c r="B11" s="31" t="s">
        <v>3</v>
      </c>
      <c r="C11" s="20">
        <v>148943.35323620201</v>
      </c>
      <c r="D11" s="20">
        <v>148181.65364262799</v>
      </c>
      <c r="E11" s="20">
        <v>142891.254174823</v>
      </c>
      <c r="F11" s="22" t="s">
        <v>241</v>
      </c>
      <c r="G11" s="37">
        <v>-4.0633562558385989</v>
      </c>
      <c r="H11" s="33">
        <v>-3.5702121941248777</v>
      </c>
    </row>
    <row r="12" spans="1:8" x14ac:dyDescent="0.25">
      <c r="A12" s="34"/>
      <c r="B12" s="25" t="s">
        <v>241</v>
      </c>
      <c r="C12" s="26" t="s">
        <v>241</v>
      </c>
      <c r="D12" s="26" t="s">
        <v>241</v>
      </c>
      <c r="E12" s="26" t="s">
        <v>241</v>
      </c>
      <c r="F12" s="27"/>
      <c r="G12" s="28" t="s">
        <v>241</v>
      </c>
      <c r="H12" s="29" t="s">
        <v>241</v>
      </c>
    </row>
    <row r="13" spans="1:8" x14ac:dyDescent="0.25">
      <c r="A13" s="30" t="s">
        <v>6</v>
      </c>
      <c r="B13" s="31" t="s">
        <v>3</v>
      </c>
      <c r="C13" s="20">
        <v>296649</v>
      </c>
      <c r="D13" s="20">
        <v>305854.777466667</v>
      </c>
      <c r="E13" s="20">
        <v>334517.38835614501</v>
      </c>
      <c r="F13" s="22" t="s">
        <v>241</v>
      </c>
      <c r="G13" s="23">
        <v>12.765385474464779</v>
      </c>
      <c r="H13" s="24">
        <v>9.3713137741004289</v>
      </c>
    </row>
    <row r="14" spans="1:8" x14ac:dyDescent="0.25">
      <c r="A14" s="34"/>
      <c r="B14" s="25" t="s">
        <v>241</v>
      </c>
      <c r="C14" s="26" t="s">
        <v>241</v>
      </c>
      <c r="D14" s="26" t="s">
        <v>241</v>
      </c>
      <c r="E14" s="26" t="s">
        <v>241</v>
      </c>
      <c r="F14" s="27"/>
      <c r="G14" s="38" t="s">
        <v>241</v>
      </c>
      <c r="H14" s="24" t="s">
        <v>241</v>
      </c>
    </row>
    <row r="15" spans="1:8" x14ac:dyDescent="0.25">
      <c r="A15" s="30" t="s">
        <v>169</v>
      </c>
      <c r="B15" s="31" t="s">
        <v>3</v>
      </c>
      <c r="C15" s="20">
        <v>46146</v>
      </c>
      <c r="D15" s="20">
        <v>42956.936227273</v>
      </c>
      <c r="E15" s="20">
        <v>40113.599095906997</v>
      </c>
      <c r="F15" s="22" t="s">
        <v>241</v>
      </c>
      <c r="G15" s="37">
        <v>-13.072424270994247</v>
      </c>
      <c r="H15" s="33">
        <v>-6.6190407908113116</v>
      </c>
    </row>
    <row r="16" spans="1:8" x14ac:dyDescent="0.25">
      <c r="A16" s="34"/>
      <c r="B16" s="25" t="s">
        <v>241</v>
      </c>
      <c r="C16" s="26" t="s">
        <v>241</v>
      </c>
      <c r="D16" s="26" t="s">
        <v>241</v>
      </c>
      <c r="E16" s="26" t="s">
        <v>241</v>
      </c>
      <c r="F16" s="27"/>
      <c r="G16" s="28" t="s">
        <v>241</v>
      </c>
      <c r="H16" s="29" t="s">
        <v>241</v>
      </c>
    </row>
    <row r="17" spans="1:8" x14ac:dyDescent="0.25">
      <c r="A17" s="30" t="s">
        <v>7</v>
      </c>
      <c r="B17" s="31" t="s">
        <v>3</v>
      </c>
      <c r="C17" s="20">
        <v>9129</v>
      </c>
      <c r="D17" s="20">
        <v>9685</v>
      </c>
      <c r="E17" s="20">
        <v>9463</v>
      </c>
      <c r="F17" s="22" t="s">
        <v>241</v>
      </c>
      <c r="G17" s="23">
        <v>3.6586701719794092</v>
      </c>
      <c r="H17" s="24">
        <v>-2.2922044398554533</v>
      </c>
    </row>
    <row r="18" spans="1:8" x14ac:dyDescent="0.25">
      <c r="A18" s="30"/>
      <c r="B18" s="25" t="s">
        <v>241</v>
      </c>
      <c r="C18" s="26" t="s">
        <v>241</v>
      </c>
      <c r="D18" s="26" t="s">
        <v>241</v>
      </c>
      <c r="E18" s="26" t="s">
        <v>241</v>
      </c>
      <c r="F18" s="27"/>
      <c r="G18" s="38" t="s">
        <v>241</v>
      </c>
      <c r="H18" s="24" t="s">
        <v>241</v>
      </c>
    </row>
    <row r="19" spans="1:8" x14ac:dyDescent="0.25">
      <c r="A19" s="39" t="s">
        <v>8</v>
      </c>
      <c r="B19" s="31" t="s">
        <v>3</v>
      </c>
      <c r="C19" s="20">
        <v>4549</v>
      </c>
      <c r="D19" s="20">
        <v>5158</v>
      </c>
      <c r="E19" s="20">
        <v>4979</v>
      </c>
      <c r="F19" s="22" t="s">
        <v>241</v>
      </c>
      <c r="G19" s="37">
        <v>9.4526269509782423</v>
      </c>
      <c r="H19" s="33">
        <v>-3.4703373400542858</v>
      </c>
    </row>
    <row r="20" spans="1:8" x14ac:dyDescent="0.25">
      <c r="A20" s="34"/>
      <c r="B20" s="25" t="s">
        <v>241</v>
      </c>
      <c r="C20" s="26" t="s">
        <v>241</v>
      </c>
      <c r="D20" s="26" t="s">
        <v>241</v>
      </c>
      <c r="E20" s="26" t="s">
        <v>241</v>
      </c>
      <c r="F20" s="27"/>
      <c r="G20" s="28" t="s">
        <v>241</v>
      </c>
      <c r="H20" s="29" t="s">
        <v>241</v>
      </c>
    </row>
    <row r="21" spans="1:8" x14ac:dyDescent="0.25">
      <c r="A21" s="39" t="s">
        <v>9</v>
      </c>
      <c r="B21" s="31" t="s">
        <v>3</v>
      </c>
      <c r="C21" s="20">
        <v>22664</v>
      </c>
      <c r="D21" s="20">
        <v>24133</v>
      </c>
      <c r="E21" s="20">
        <v>25480.007092866999</v>
      </c>
      <c r="F21" s="22" t="s">
        <v>241</v>
      </c>
      <c r="G21" s="37">
        <v>12.425022471174543</v>
      </c>
      <c r="H21" s="33">
        <v>5.5815981969378043</v>
      </c>
    </row>
    <row r="22" spans="1:8" x14ac:dyDescent="0.25">
      <c r="A22" s="34"/>
      <c r="B22" s="25" t="s">
        <v>241</v>
      </c>
      <c r="C22" s="26" t="s">
        <v>241</v>
      </c>
      <c r="D22" s="26" t="s">
        <v>241</v>
      </c>
      <c r="E22" s="26" t="s">
        <v>241</v>
      </c>
      <c r="F22" s="27"/>
      <c r="G22" s="28" t="s">
        <v>241</v>
      </c>
      <c r="H22" s="29" t="s">
        <v>241</v>
      </c>
    </row>
    <row r="23" spans="1:8" x14ac:dyDescent="0.25">
      <c r="A23" s="39" t="s">
        <v>194</v>
      </c>
      <c r="B23" s="31" t="s">
        <v>3</v>
      </c>
      <c r="C23" s="20">
        <v>4802</v>
      </c>
      <c r="D23" s="20">
        <v>4554</v>
      </c>
      <c r="E23" s="20">
        <v>5258</v>
      </c>
      <c r="F23" s="22" t="s">
        <v>241</v>
      </c>
      <c r="G23" s="37">
        <v>9.4960433152853057</v>
      </c>
      <c r="H23" s="33">
        <v>15.45893719806763</v>
      </c>
    </row>
    <row r="24" spans="1:8" x14ac:dyDescent="0.25">
      <c r="A24" s="34"/>
      <c r="B24" s="25" t="s">
        <v>241</v>
      </c>
      <c r="C24" s="26" t="s">
        <v>241</v>
      </c>
      <c r="D24" s="26" t="s">
        <v>241</v>
      </c>
      <c r="E24" s="26" t="s">
        <v>241</v>
      </c>
      <c r="F24" s="27"/>
      <c r="G24" s="28" t="s">
        <v>241</v>
      </c>
      <c r="H24" s="29" t="s">
        <v>241</v>
      </c>
    </row>
    <row r="25" spans="1:8" x14ac:dyDescent="0.25">
      <c r="A25" s="39" t="s">
        <v>195</v>
      </c>
      <c r="B25" s="31" t="s">
        <v>3</v>
      </c>
      <c r="C25" s="20">
        <v>575</v>
      </c>
      <c r="D25" s="20">
        <v>733</v>
      </c>
      <c r="E25" s="20">
        <v>918</v>
      </c>
      <c r="F25" s="22" t="s">
        <v>241</v>
      </c>
      <c r="G25" s="37">
        <v>59.65217391304347</v>
      </c>
      <c r="H25" s="33">
        <v>25.238744884038184</v>
      </c>
    </row>
    <row r="26" spans="1:8" x14ac:dyDescent="0.25">
      <c r="A26" s="34"/>
      <c r="B26" s="25" t="s">
        <v>241</v>
      </c>
      <c r="C26" s="26" t="s">
        <v>241</v>
      </c>
      <c r="D26" s="26" t="s">
        <v>241</v>
      </c>
      <c r="E26" s="26" t="s">
        <v>241</v>
      </c>
      <c r="F26" s="27"/>
      <c r="G26" s="28" t="s">
        <v>241</v>
      </c>
      <c r="H26" s="29" t="s">
        <v>241</v>
      </c>
    </row>
    <row r="27" spans="1:8" x14ac:dyDescent="0.25">
      <c r="A27" s="39" t="s">
        <v>196</v>
      </c>
      <c r="B27" s="31" t="s">
        <v>3</v>
      </c>
      <c r="C27" s="20">
        <v>200240.61617925501</v>
      </c>
      <c r="D27" s="20">
        <v>241263</v>
      </c>
      <c r="E27" s="20">
        <v>247116.93649583799</v>
      </c>
      <c r="F27" s="22" t="s">
        <v>241</v>
      </c>
      <c r="G27" s="37">
        <v>23.409996039274759</v>
      </c>
      <c r="H27" s="33">
        <v>2.4263714269647636</v>
      </c>
    </row>
    <row r="28" spans="1:8" x14ac:dyDescent="0.25">
      <c r="A28" s="34"/>
      <c r="B28" s="25" t="s">
        <v>241</v>
      </c>
      <c r="C28" s="26" t="s">
        <v>241</v>
      </c>
      <c r="D28" s="26" t="s">
        <v>241</v>
      </c>
      <c r="E28" s="26" t="s">
        <v>241</v>
      </c>
      <c r="F28" s="27"/>
      <c r="G28" s="28" t="s">
        <v>241</v>
      </c>
      <c r="H28" s="29" t="s">
        <v>241</v>
      </c>
    </row>
    <row r="29" spans="1:8" x14ac:dyDescent="0.25">
      <c r="A29" s="30" t="s">
        <v>10</v>
      </c>
      <c r="B29" s="31" t="s">
        <v>3</v>
      </c>
      <c r="C29" s="20">
        <v>306308</v>
      </c>
      <c r="D29" s="20">
        <v>320739</v>
      </c>
      <c r="E29" s="20">
        <v>311962</v>
      </c>
      <c r="F29" s="22" t="s">
        <v>241</v>
      </c>
      <c r="G29" s="37">
        <v>1.8458544993927575</v>
      </c>
      <c r="H29" s="33">
        <v>-2.7364929116820917</v>
      </c>
    </row>
    <row r="30" spans="1:8" x14ac:dyDescent="0.25">
      <c r="A30" s="30"/>
      <c r="B30" s="25" t="s">
        <v>241</v>
      </c>
      <c r="C30" s="26" t="s">
        <v>241</v>
      </c>
      <c r="D30" s="26" t="s">
        <v>241</v>
      </c>
      <c r="E30" s="26" t="s">
        <v>241</v>
      </c>
      <c r="F30" s="27"/>
      <c r="G30" s="28" t="s">
        <v>241</v>
      </c>
      <c r="H30" s="29" t="s">
        <v>241</v>
      </c>
    </row>
    <row r="31" spans="1:8" x14ac:dyDescent="0.25">
      <c r="A31" s="39" t="s">
        <v>11</v>
      </c>
      <c r="B31" s="31" t="s">
        <v>3</v>
      </c>
      <c r="C31" s="20">
        <v>10634</v>
      </c>
      <c r="D31" s="20">
        <v>10720.65475</v>
      </c>
      <c r="E31" s="20">
        <v>10018.849101247</v>
      </c>
      <c r="F31" s="22" t="s">
        <v>241</v>
      </c>
      <c r="G31" s="37">
        <v>-5.7847554894959501</v>
      </c>
      <c r="H31" s="33">
        <v>-6.5462946538130069</v>
      </c>
    </row>
    <row r="32" spans="1:8" x14ac:dyDescent="0.25">
      <c r="A32" s="34"/>
      <c r="B32" s="25" t="s">
        <v>241</v>
      </c>
      <c r="C32" s="26" t="s">
        <v>241</v>
      </c>
      <c r="D32" s="26" t="s">
        <v>241</v>
      </c>
      <c r="E32" s="26" t="s">
        <v>241</v>
      </c>
      <c r="F32" s="27"/>
      <c r="G32" s="28" t="s">
        <v>241</v>
      </c>
      <c r="H32" s="29" t="s">
        <v>241</v>
      </c>
    </row>
    <row r="33" spans="1:8" x14ac:dyDescent="0.25">
      <c r="A33" s="30" t="s">
        <v>12</v>
      </c>
      <c r="B33" s="31" t="s">
        <v>3</v>
      </c>
      <c r="C33" s="20">
        <v>8890</v>
      </c>
      <c r="D33" s="20">
        <v>9026</v>
      </c>
      <c r="E33" s="20">
        <v>8825.3934933599994</v>
      </c>
      <c r="F33" s="22" t="s">
        <v>241</v>
      </c>
      <c r="G33" s="37">
        <v>-0.72673235815523185</v>
      </c>
      <c r="H33" s="33">
        <v>-2.2225405122978117</v>
      </c>
    </row>
    <row r="34" spans="1:8" x14ac:dyDescent="0.25">
      <c r="A34" s="30"/>
      <c r="B34" s="25" t="s">
        <v>241</v>
      </c>
      <c r="C34" s="26" t="s">
        <v>241</v>
      </c>
      <c r="D34" s="26" t="s">
        <v>241</v>
      </c>
      <c r="E34" s="26" t="s">
        <v>241</v>
      </c>
      <c r="F34" s="27"/>
      <c r="G34" s="28" t="s">
        <v>241</v>
      </c>
      <c r="H34" s="29" t="s">
        <v>241</v>
      </c>
    </row>
    <row r="35" spans="1:8" x14ac:dyDescent="0.25">
      <c r="A35" s="39" t="s">
        <v>13</v>
      </c>
      <c r="B35" s="31" t="s">
        <v>3</v>
      </c>
      <c r="C35" s="20">
        <v>145</v>
      </c>
      <c r="D35" s="20">
        <v>86</v>
      </c>
      <c r="E35" s="20">
        <v>73</v>
      </c>
      <c r="F35" s="22" t="s">
        <v>241</v>
      </c>
      <c r="G35" s="23">
        <v>-49.655172413793103</v>
      </c>
      <c r="H35" s="24">
        <v>-15.116279069767444</v>
      </c>
    </row>
    <row r="36" spans="1:8" x14ac:dyDescent="0.25">
      <c r="A36" s="34"/>
      <c r="B36" s="25" t="s">
        <v>241</v>
      </c>
      <c r="C36" s="26" t="s">
        <v>241</v>
      </c>
      <c r="D36" s="26" t="s">
        <v>241</v>
      </c>
      <c r="E36" s="26" t="s">
        <v>241</v>
      </c>
      <c r="F36" s="27"/>
      <c r="G36" s="28" t="s">
        <v>241</v>
      </c>
      <c r="H36" s="29" t="s">
        <v>241</v>
      </c>
    </row>
    <row r="37" spans="1:8" x14ac:dyDescent="0.25">
      <c r="A37" s="30" t="s">
        <v>14</v>
      </c>
      <c r="B37" s="31" t="s">
        <v>3</v>
      </c>
      <c r="C37" s="40">
        <v>118751</v>
      </c>
      <c r="D37" s="40">
        <v>115292.5</v>
      </c>
      <c r="E37" s="20">
        <v>58289.344526369001</v>
      </c>
      <c r="F37" s="22" t="s">
        <v>241</v>
      </c>
      <c r="G37" s="23">
        <v>-50.914649538640518</v>
      </c>
      <c r="H37" s="24">
        <v>-49.442206105020702</v>
      </c>
    </row>
    <row r="38" spans="1:8" ht="13.8" thickBot="1" x14ac:dyDescent="0.3">
      <c r="A38" s="41"/>
      <c r="B38" s="42" t="s">
        <v>241</v>
      </c>
      <c r="C38" s="43" t="s">
        <v>241</v>
      </c>
      <c r="D38" s="43" t="s">
        <v>241</v>
      </c>
      <c r="E38" s="43" t="s">
        <v>241</v>
      </c>
      <c r="F38" s="44"/>
      <c r="G38" s="45" t="s">
        <v>241</v>
      </c>
      <c r="H38" s="46" t="s">
        <v>241</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98"/>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G61" s="53"/>
      <c r="H61" s="201">
        <v>9</v>
      </c>
    </row>
    <row r="62" spans="1:8" ht="12.75" customHeight="1" x14ac:dyDescent="0.25">
      <c r="A62" s="54" t="s">
        <v>243</v>
      </c>
      <c r="G62" s="53"/>
      <c r="H62" s="194"/>
    </row>
    <row r="63" spans="1:8" x14ac:dyDescent="0.25">
      <c r="H63" s="87"/>
    </row>
    <row r="64" spans="1:8" x14ac:dyDescent="0.25">
      <c r="A64" s="200"/>
      <c r="H64" s="53"/>
    </row>
    <row r="65" spans="1:8" x14ac:dyDescent="0.25">
      <c r="A65" s="200"/>
      <c r="H65" s="53"/>
    </row>
    <row r="67" spans="1:8" ht="12.75" customHeight="1" x14ac:dyDescent="0.25"/>
    <row r="68" spans="1:8" ht="12.75" customHeight="1" x14ac:dyDescent="0.25"/>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10" ht="5.25" customHeight="1" x14ac:dyDescent="0.25"/>
    <row r="2" spans="1:10" x14ac:dyDescent="0.25">
      <c r="A2" s="92" t="s">
        <v>0</v>
      </c>
      <c r="B2" s="2"/>
      <c r="C2" s="2"/>
      <c r="D2" s="2"/>
      <c r="E2" s="2"/>
      <c r="F2" s="2"/>
      <c r="G2" s="2"/>
    </row>
    <row r="3" spans="1:10" ht="6" customHeight="1" x14ac:dyDescent="0.25">
      <c r="A3" s="3"/>
      <c r="B3" s="2"/>
      <c r="C3" s="2"/>
      <c r="D3" s="2"/>
      <c r="E3" s="2"/>
      <c r="F3" s="2"/>
      <c r="G3" s="2"/>
    </row>
    <row r="4" spans="1:10" ht="16.2" thickBot="1" x14ac:dyDescent="0.35">
      <c r="A4" s="4" t="s">
        <v>15</v>
      </c>
      <c r="B4" s="5"/>
      <c r="C4" s="5"/>
      <c r="D4" s="5"/>
      <c r="E4" s="5"/>
      <c r="F4" s="5"/>
      <c r="G4" s="5"/>
      <c r="H4" s="6"/>
    </row>
    <row r="5" spans="1:10" x14ac:dyDescent="0.25">
      <c r="A5" s="7"/>
      <c r="B5" s="8"/>
      <c r="C5" s="202" t="s">
        <v>16</v>
      </c>
      <c r="D5" s="196"/>
      <c r="E5" s="196"/>
      <c r="F5" s="203"/>
      <c r="G5" s="196" t="s">
        <v>1</v>
      </c>
      <c r="H5" s="197"/>
    </row>
    <row r="6" spans="1:10" x14ac:dyDescent="0.25">
      <c r="A6" s="12"/>
      <c r="B6" s="13"/>
      <c r="C6" s="14" t="s">
        <v>236</v>
      </c>
      <c r="D6" s="15" t="s">
        <v>237</v>
      </c>
      <c r="E6" s="15" t="s">
        <v>238</v>
      </c>
      <c r="F6" s="16"/>
      <c r="G6" s="17" t="s">
        <v>239</v>
      </c>
      <c r="H6" s="18" t="s">
        <v>240</v>
      </c>
    </row>
    <row r="7" spans="1:10" x14ac:dyDescent="0.25">
      <c r="A7" s="198" t="s">
        <v>2</v>
      </c>
      <c r="B7" s="19" t="s">
        <v>3</v>
      </c>
      <c r="C7" s="80">
        <v>35784.130962898998</v>
      </c>
      <c r="D7" s="80">
        <v>36303.954413655003</v>
      </c>
      <c r="E7" s="81">
        <v>36539.078417285004</v>
      </c>
      <c r="F7" s="22" t="s">
        <v>241</v>
      </c>
      <c r="G7" s="23">
        <v>2.1097269489895893</v>
      </c>
      <c r="H7" s="24">
        <v>0.6476539744154195</v>
      </c>
    </row>
    <row r="8" spans="1:10" x14ac:dyDescent="0.25">
      <c r="A8" s="199"/>
      <c r="B8" s="25" t="s">
        <v>241</v>
      </c>
      <c r="C8" s="82" t="s">
        <v>241</v>
      </c>
      <c r="D8" s="82" t="s">
        <v>241</v>
      </c>
      <c r="E8" s="82" t="s">
        <v>241</v>
      </c>
      <c r="F8" s="27"/>
      <c r="G8" s="28" t="s">
        <v>241</v>
      </c>
      <c r="H8" s="29" t="s">
        <v>241</v>
      </c>
      <c r="J8" s="95"/>
    </row>
    <row r="9" spans="1:10" x14ac:dyDescent="0.25">
      <c r="A9" s="30" t="s">
        <v>4</v>
      </c>
      <c r="B9" s="31" t="s">
        <v>3</v>
      </c>
      <c r="C9" s="80">
        <v>9146.2261513070007</v>
      </c>
      <c r="D9" s="80">
        <v>8762.4370246910003</v>
      </c>
      <c r="E9" s="80">
        <v>9443.6952770820008</v>
      </c>
      <c r="F9" s="22" t="s">
        <v>241</v>
      </c>
      <c r="G9" s="32">
        <v>3.2523701125900146</v>
      </c>
      <c r="H9" s="33">
        <v>7.7747577582735801</v>
      </c>
    </row>
    <row r="10" spans="1:10" x14ac:dyDescent="0.25">
      <c r="A10" s="34"/>
      <c r="B10" s="25" t="s">
        <v>241</v>
      </c>
      <c r="C10" s="82" t="s">
        <v>241</v>
      </c>
      <c r="D10" s="82" t="s">
        <v>241</v>
      </c>
      <c r="E10" s="82" t="s">
        <v>241</v>
      </c>
      <c r="F10" s="27"/>
      <c r="G10" s="35" t="s">
        <v>241</v>
      </c>
      <c r="H10" s="29" t="s">
        <v>241</v>
      </c>
      <c r="J10" s="95"/>
    </row>
    <row r="11" spans="1:10" x14ac:dyDescent="0.25">
      <c r="A11" s="30" t="s">
        <v>5</v>
      </c>
      <c r="B11" s="31" t="s">
        <v>3</v>
      </c>
      <c r="C11" s="80">
        <v>3477.7495477900002</v>
      </c>
      <c r="D11" s="80">
        <v>3194.3181110219998</v>
      </c>
      <c r="E11" s="80">
        <v>3312.059159337</v>
      </c>
      <c r="F11" s="22" t="s">
        <v>241</v>
      </c>
      <c r="G11" s="37">
        <v>-4.7642990438541233</v>
      </c>
      <c r="H11" s="33">
        <v>3.685952501372185</v>
      </c>
    </row>
    <row r="12" spans="1:10" x14ac:dyDescent="0.25">
      <c r="A12" s="34"/>
      <c r="B12" s="25" t="s">
        <v>241</v>
      </c>
      <c r="C12" s="82" t="s">
        <v>241</v>
      </c>
      <c r="D12" s="82" t="s">
        <v>241</v>
      </c>
      <c r="E12" s="82" t="s">
        <v>241</v>
      </c>
      <c r="F12" s="27"/>
      <c r="G12" s="28" t="s">
        <v>241</v>
      </c>
      <c r="H12" s="29" t="s">
        <v>241</v>
      </c>
    </row>
    <row r="13" spans="1:10" x14ac:dyDescent="0.25">
      <c r="A13" s="30" t="s">
        <v>6</v>
      </c>
      <c r="B13" s="31" t="s">
        <v>3</v>
      </c>
      <c r="C13" s="80">
        <v>6807.4207896280004</v>
      </c>
      <c r="D13" s="80">
        <v>6790.1078110569997</v>
      </c>
      <c r="E13" s="80">
        <v>7461.0390863120001</v>
      </c>
      <c r="F13" s="22" t="s">
        <v>241</v>
      </c>
      <c r="G13" s="23">
        <v>9.6015556681889507</v>
      </c>
      <c r="H13" s="24">
        <v>9.881010639661099</v>
      </c>
    </row>
    <row r="14" spans="1:10" x14ac:dyDescent="0.25">
      <c r="A14" s="34"/>
      <c r="B14" s="25" t="s">
        <v>241</v>
      </c>
      <c r="C14" s="82" t="s">
        <v>241</v>
      </c>
      <c r="D14" s="82" t="s">
        <v>241</v>
      </c>
      <c r="E14" s="82" t="s">
        <v>241</v>
      </c>
      <c r="F14" s="27"/>
      <c r="G14" s="38" t="s">
        <v>241</v>
      </c>
      <c r="H14" s="24" t="s">
        <v>241</v>
      </c>
    </row>
    <row r="15" spans="1:10" x14ac:dyDescent="0.25">
      <c r="A15" s="30" t="s">
        <v>169</v>
      </c>
      <c r="B15" s="31" t="s">
        <v>3</v>
      </c>
      <c r="C15" s="80">
        <v>5057.4810805440002</v>
      </c>
      <c r="D15" s="80">
        <v>5832.965228219</v>
      </c>
      <c r="E15" s="80">
        <v>5391.969568126</v>
      </c>
      <c r="F15" s="22" t="s">
        <v>241</v>
      </c>
      <c r="G15" s="37">
        <v>6.6137368040538576</v>
      </c>
      <c r="H15" s="33">
        <v>-7.5604026912337758</v>
      </c>
    </row>
    <row r="16" spans="1:10" x14ac:dyDescent="0.25">
      <c r="A16" s="34"/>
      <c r="B16" s="25" t="s">
        <v>241</v>
      </c>
      <c r="C16" s="82" t="s">
        <v>241</v>
      </c>
      <c r="D16" s="82" t="s">
        <v>241</v>
      </c>
      <c r="E16" s="82" t="s">
        <v>241</v>
      </c>
      <c r="F16" s="27"/>
      <c r="G16" s="28" t="s">
        <v>241</v>
      </c>
      <c r="H16" s="29" t="s">
        <v>241</v>
      </c>
    </row>
    <row r="17" spans="1:8" x14ac:dyDescent="0.25">
      <c r="A17" s="30" t="s">
        <v>7</v>
      </c>
      <c r="B17" s="31" t="s">
        <v>3</v>
      </c>
      <c r="C17" s="80">
        <v>2434.703342413</v>
      </c>
      <c r="D17" s="80">
        <v>2427.3984782100001</v>
      </c>
      <c r="E17" s="80">
        <v>1966.977229306</v>
      </c>
      <c r="F17" s="22" t="s">
        <v>241</v>
      </c>
      <c r="G17" s="23">
        <v>-19.21080506849114</v>
      </c>
      <c r="H17" s="24">
        <v>-18.96768301690301</v>
      </c>
    </row>
    <row r="18" spans="1:8" x14ac:dyDescent="0.25">
      <c r="A18" s="30"/>
      <c r="B18" s="25" t="s">
        <v>241</v>
      </c>
      <c r="C18" s="82" t="s">
        <v>241</v>
      </c>
      <c r="D18" s="82" t="s">
        <v>241</v>
      </c>
      <c r="E18" s="82" t="s">
        <v>241</v>
      </c>
      <c r="F18" s="27"/>
      <c r="G18" s="38" t="s">
        <v>241</v>
      </c>
      <c r="H18" s="24" t="s">
        <v>241</v>
      </c>
    </row>
    <row r="19" spans="1:8" x14ac:dyDescent="0.25">
      <c r="A19" s="39" t="s">
        <v>8</v>
      </c>
      <c r="B19" s="31" t="s">
        <v>3</v>
      </c>
      <c r="C19" s="80">
        <v>1700.2929333249999</v>
      </c>
      <c r="D19" s="80">
        <v>1969.2178060450001</v>
      </c>
      <c r="E19" s="80">
        <v>1986.7947992970001</v>
      </c>
      <c r="F19" s="22" t="s">
        <v>241</v>
      </c>
      <c r="G19" s="37">
        <v>16.850147427933649</v>
      </c>
      <c r="H19" s="33">
        <v>0.8925875643640353</v>
      </c>
    </row>
    <row r="20" spans="1:8" x14ac:dyDescent="0.25">
      <c r="A20" s="34"/>
      <c r="B20" s="25" t="s">
        <v>241</v>
      </c>
      <c r="C20" s="82" t="s">
        <v>241</v>
      </c>
      <c r="D20" s="82" t="s">
        <v>241</v>
      </c>
      <c r="E20" s="82" t="s">
        <v>241</v>
      </c>
      <c r="F20" s="27"/>
      <c r="G20" s="28" t="s">
        <v>241</v>
      </c>
      <c r="H20" s="29" t="s">
        <v>241</v>
      </c>
    </row>
    <row r="21" spans="1:8" x14ac:dyDescent="0.25">
      <c r="A21" s="39" t="s">
        <v>9</v>
      </c>
      <c r="B21" s="31" t="s">
        <v>3</v>
      </c>
      <c r="C21" s="80">
        <v>643.95455599599995</v>
      </c>
      <c r="D21" s="80">
        <v>617.195755996</v>
      </c>
      <c r="E21" s="80">
        <v>507.423043302</v>
      </c>
      <c r="F21" s="22" t="s">
        <v>241</v>
      </c>
      <c r="G21" s="37">
        <v>-21.202041576183532</v>
      </c>
      <c r="H21" s="33">
        <v>-17.785720596353457</v>
      </c>
    </row>
    <row r="22" spans="1:8" x14ac:dyDescent="0.25">
      <c r="A22" s="34"/>
      <c r="B22" s="25" t="s">
        <v>241</v>
      </c>
      <c r="C22" s="82" t="s">
        <v>241</v>
      </c>
      <c r="D22" s="82" t="s">
        <v>241</v>
      </c>
      <c r="E22" s="82" t="s">
        <v>241</v>
      </c>
      <c r="F22" s="27"/>
      <c r="G22" s="28" t="s">
        <v>241</v>
      </c>
      <c r="H22" s="29" t="s">
        <v>241</v>
      </c>
    </row>
    <row r="23" spans="1:8" x14ac:dyDescent="0.25">
      <c r="A23" s="39" t="s">
        <v>194</v>
      </c>
      <c r="B23" s="31" t="s">
        <v>3</v>
      </c>
      <c r="C23" s="80">
        <v>901.02329223499999</v>
      </c>
      <c r="D23" s="80">
        <v>800.24281891500004</v>
      </c>
      <c r="E23" s="80">
        <v>831.72795936499995</v>
      </c>
      <c r="F23" s="22" t="s">
        <v>241</v>
      </c>
      <c r="G23" s="23">
        <v>-7.6907371282391637</v>
      </c>
      <c r="H23" s="24">
        <v>3.934448358148174</v>
      </c>
    </row>
    <row r="24" spans="1:8" x14ac:dyDescent="0.25">
      <c r="A24" s="34"/>
      <c r="B24" s="25" t="s">
        <v>241</v>
      </c>
      <c r="C24" s="82" t="s">
        <v>241</v>
      </c>
      <c r="D24" s="82" t="s">
        <v>241</v>
      </c>
      <c r="E24" s="82" t="s">
        <v>241</v>
      </c>
      <c r="F24" s="27"/>
      <c r="G24" s="38" t="s">
        <v>241</v>
      </c>
      <c r="H24" s="24" t="s">
        <v>241</v>
      </c>
    </row>
    <row r="25" spans="1:8" x14ac:dyDescent="0.25">
      <c r="A25" s="39" t="s">
        <v>195</v>
      </c>
      <c r="B25" s="31" t="s">
        <v>3</v>
      </c>
      <c r="C25" s="80">
        <v>290.80328065399999</v>
      </c>
      <c r="D25" s="80">
        <v>307.38186722199998</v>
      </c>
      <c r="E25" s="80">
        <v>330.10029545899999</v>
      </c>
      <c r="F25" s="22" t="s">
        <v>241</v>
      </c>
      <c r="G25" s="37">
        <v>13.513263920758817</v>
      </c>
      <c r="H25" s="33">
        <v>7.3909461356066686</v>
      </c>
    </row>
    <row r="26" spans="1:8" x14ac:dyDescent="0.25">
      <c r="A26" s="34"/>
      <c r="B26" s="25" t="s">
        <v>241</v>
      </c>
      <c r="C26" s="82" t="s">
        <v>241</v>
      </c>
      <c r="D26" s="82" t="s">
        <v>241</v>
      </c>
      <c r="E26" s="82" t="s">
        <v>241</v>
      </c>
      <c r="F26" s="27"/>
      <c r="G26" s="38" t="s">
        <v>241</v>
      </c>
      <c r="H26" s="24" t="s">
        <v>241</v>
      </c>
    </row>
    <row r="27" spans="1:8" x14ac:dyDescent="0.25">
      <c r="A27" s="39" t="s">
        <v>196</v>
      </c>
      <c r="B27" s="31" t="s">
        <v>3</v>
      </c>
      <c r="C27" s="80">
        <v>698.64237269399996</v>
      </c>
      <c r="D27" s="80">
        <v>802.17088901099999</v>
      </c>
      <c r="E27" s="80">
        <v>889.62084010800004</v>
      </c>
      <c r="F27" s="22" t="s">
        <v>241</v>
      </c>
      <c r="G27" s="37">
        <v>27.335654818298181</v>
      </c>
      <c r="H27" s="33">
        <v>10.901661016995703</v>
      </c>
    </row>
    <row r="28" spans="1:8" x14ac:dyDescent="0.25">
      <c r="A28" s="34"/>
      <c r="B28" s="25" t="s">
        <v>241</v>
      </c>
      <c r="C28" s="82" t="s">
        <v>241</v>
      </c>
      <c r="D28" s="82" t="s">
        <v>241</v>
      </c>
      <c r="E28" s="82" t="s">
        <v>241</v>
      </c>
      <c r="F28" s="27"/>
      <c r="G28" s="38" t="s">
        <v>241</v>
      </c>
      <c r="H28" s="24" t="s">
        <v>241</v>
      </c>
    </row>
    <row r="29" spans="1:8" x14ac:dyDescent="0.25">
      <c r="A29" s="30" t="s">
        <v>10</v>
      </c>
      <c r="B29" s="31" t="s">
        <v>3</v>
      </c>
      <c r="C29" s="80">
        <v>1854.3190241750001</v>
      </c>
      <c r="D29" s="80">
        <v>2002.9648543779999</v>
      </c>
      <c r="E29" s="80">
        <v>2043.508105676</v>
      </c>
      <c r="F29" s="22" t="s">
        <v>241</v>
      </c>
      <c r="G29" s="37">
        <v>10.20261772836912</v>
      </c>
      <c r="H29" s="33">
        <v>2.0241618922759699</v>
      </c>
    </row>
    <row r="30" spans="1:8" x14ac:dyDescent="0.25">
      <c r="A30" s="30"/>
      <c r="B30" s="25" t="s">
        <v>241</v>
      </c>
      <c r="C30" s="82" t="s">
        <v>241</v>
      </c>
      <c r="D30" s="82" t="s">
        <v>241</v>
      </c>
      <c r="E30" s="82" t="s">
        <v>241</v>
      </c>
      <c r="F30" s="27"/>
      <c r="G30" s="28" t="s">
        <v>241</v>
      </c>
      <c r="H30" s="29" t="s">
        <v>241</v>
      </c>
    </row>
    <row r="31" spans="1:8" x14ac:dyDescent="0.25">
      <c r="A31" s="39" t="s">
        <v>11</v>
      </c>
      <c r="B31" s="31" t="s">
        <v>3</v>
      </c>
      <c r="C31" s="80">
        <v>477.56383193200003</v>
      </c>
      <c r="D31" s="80">
        <v>470.83394949500001</v>
      </c>
      <c r="E31" s="80">
        <v>453.98179332199999</v>
      </c>
      <c r="F31" s="22" t="s">
        <v>241</v>
      </c>
      <c r="G31" s="23">
        <v>-4.9379867220258546</v>
      </c>
      <c r="H31" s="24">
        <v>-3.5792143262131049</v>
      </c>
    </row>
    <row r="32" spans="1:8" x14ac:dyDescent="0.25">
      <c r="A32" s="34"/>
      <c r="B32" s="25" t="s">
        <v>241</v>
      </c>
      <c r="C32" s="82" t="s">
        <v>241</v>
      </c>
      <c r="D32" s="82" t="s">
        <v>241</v>
      </c>
      <c r="E32" s="82" t="s">
        <v>241</v>
      </c>
      <c r="F32" s="27"/>
      <c r="G32" s="38" t="s">
        <v>241</v>
      </c>
      <c r="H32" s="24" t="s">
        <v>241</v>
      </c>
    </row>
    <row r="33" spans="1:8" x14ac:dyDescent="0.25">
      <c r="A33" s="30" t="s">
        <v>12</v>
      </c>
      <c r="B33" s="31" t="s">
        <v>3</v>
      </c>
      <c r="C33" s="80">
        <v>1175.4142453750001</v>
      </c>
      <c r="D33" s="80">
        <v>1175.9397378880001</v>
      </c>
      <c r="E33" s="80">
        <v>1026.4393155570001</v>
      </c>
      <c r="F33" s="22" t="s">
        <v>241</v>
      </c>
      <c r="G33" s="37">
        <v>-12.67424913422515</v>
      </c>
      <c r="H33" s="33">
        <v>-12.713272416450877</v>
      </c>
    </row>
    <row r="34" spans="1:8" x14ac:dyDescent="0.25">
      <c r="A34" s="30"/>
      <c r="B34" s="25" t="s">
        <v>241</v>
      </c>
      <c r="C34" s="82" t="s">
        <v>241</v>
      </c>
      <c r="D34" s="82" t="s">
        <v>241</v>
      </c>
      <c r="E34" s="82" t="s">
        <v>241</v>
      </c>
      <c r="F34" s="27"/>
      <c r="G34" s="28" t="s">
        <v>241</v>
      </c>
      <c r="H34" s="29" t="s">
        <v>241</v>
      </c>
    </row>
    <row r="35" spans="1:8" x14ac:dyDescent="0.25">
      <c r="A35" s="39" t="s">
        <v>13</v>
      </c>
      <c r="B35" s="31" t="s">
        <v>3</v>
      </c>
      <c r="C35" s="80">
        <v>238.074885722</v>
      </c>
      <c r="D35" s="80">
        <v>239.90116805900001</v>
      </c>
      <c r="E35" s="80">
        <v>144.28091435900001</v>
      </c>
      <c r="F35" s="22" t="s">
        <v>241</v>
      </c>
      <c r="G35" s="23">
        <v>-39.396835612691717</v>
      </c>
      <c r="H35" s="24">
        <v>-39.858185966182404</v>
      </c>
    </row>
    <row r="36" spans="1:8" x14ac:dyDescent="0.25">
      <c r="A36" s="34"/>
      <c r="B36" s="25" t="s">
        <v>241</v>
      </c>
      <c r="C36" s="82" t="s">
        <v>241</v>
      </c>
      <c r="D36" s="82" t="s">
        <v>241</v>
      </c>
      <c r="E36" s="82" t="s">
        <v>241</v>
      </c>
      <c r="F36" s="27"/>
      <c r="G36" s="28" t="s">
        <v>241</v>
      </c>
      <c r="H36" s="29" t="s">
        <v>241</v>
      </c>
    </row>
    <row r="37" spans="1:8" x14ac:dyDescent="0.25">
      <c r="A37" s="30" t="s">
        <v>14</v>
      </c>
      <c r="B37" s="31" t="s">
        <v>3</v>
      </c>
      <c r="C37" s="85">
        <v>880.461629109</v>
      </c>
      <c r="D37" s="85">
        <v>910.87891344699995</v>
      </c>
      <c r="E37" s="83">
        <v>749.46103067699994</v>
      </c>
      <c r="F37" s="22" t="s">
        <v>241</v>
      </c>
      <c r="G37" s="23">
        <v>-14.878626631869082</v>
      </c>
      <c r="H37" s="24">
        <v>-17.721113134472859</v>
      </c>
    </row>
    <row r="38" spans="1:8" ht="13.8" thickBot="1" x14ac:dyDescent="0.3">
      <c r="A38" s="41"/>
      <c r="B38" s="42" t="s">
        <v>241</v>
      </c>
      <c r="C38" s="86" t="s">
        <v>241</v>
      </c>
      <c r="D38" s="86" t="s">
        <v>241</v>
      </c>
      <c r="E38" s="86" t="s">
        <v>241</v>
      </c>
      <c r="F38" s="44"/>
      <c r="G38" s="45" t="s">
        <v>241</v>
      </c>
      <c r="H38" s="46" t="s">
        <v>241</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98"/>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H61" s="193">
        <v>10</v>
      </c>
    </row>
    <row r="62" spans="1:8" ht="12.75" customHeight="1" x14ac:dyDescent="0.25">
      <c r="A62" s="54" t="s">
        <v>243</v>
      </c>
      <c r="H62" s="194"/>
    </row>
    <row r="67" ht="12.75" customHeight="1" x14ac:dyDescent="0.25"/>
    <row r="68" ht="12.75" customHeight="1" x14ac:dyDescent="0.25"/>
  </sheetData>
  <mergeCells count="4">
    <mergeCell ref="G5:H5"/>
    <mergeCell ref="A7:A8"/>
    <mergeCell ref="C5:F5"/>
    <mergeCell ref="H61:H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146</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26</v>
      </c>
      <c r="B7" s="19" t="s">
        <v>3</v>
      </c>
      <c r="C7" s="20">
        <v>783055.35323620203</v>
      </c>
      <c r="D7" s="20">
        <v>783732.42342834198</v>
      </c>
      <c r="E7" s="21">
        <v>816557.142204843</v>
      </c>
      <c r="F7" s="22" t="s">
        <v>241</v>
      </c>
      <c r="G7" s="23">
        <v>4.2783423713515418</v>
      </c>
      <c r="H7" s="24">
        <v>4.1882558122213709</v>
      </c>
    </row>
    <row r="8" spans="1:8" x14ac:dyDescent="0.25">
      <c r="A8" s="199"/>
      <c r="B8" s="25" t="s">
        <v>241</v>
      </c>
      <c r="C8" s="26" t="s">
        <v>241</v>
      </c>
      <c r="D8" s="26" t="s">
        <v>241</v>
      </c>
      <c r="E8" s="26" t="s">
        <v>241</v>
      </c>
      <c r="F8" s="27"/>
      <c r="G8" s="28" t="s">
        <v>241</v>
      </c>
      <c r="H8" s="29" t="s">
        <v>241</v>
      </c>
    </row>
    <row r="9" spans="1:8" x14ac:dyDescent="0.25">
      <c r="A9" s="30" t="s">
        <v>28</v>
      </c>
      <c r="B9" s="31" t="s">
        <v>3</v>
      </c>
      <c r="C9" s="20">
        <v>717531.35323620203</v>
      </c>
      <c r="D9" s="20">
        <v>716230.75919024704</v>
      </c>
      <c r="E9" s="21">
        <v>748186.313763874</v>
      </c>
      <c r="F9" s="22" t="s">
        <v>241</v>
      </c>
      <c r="G9" s="32">
        <v>4.2722816765305538</v>
      </c>
      <c r="H9" s="33">
        <v>4.4616283458357913</v>
      </c>
    </row>
    <row r="10" spans="1:8" x14ac:dyDescent="0.25">
      <c r="A10" s="34"/>
      <c r="B10" s="25" t="s">
        <v>241</v>
      </c>
      <c r="C10" s="26" t="s">
        <v>241</v>
      </c>
      <c r="D10" s="26" t="s">
        <v>241</v>
      </c>
      <c r="E10" s="26" t="s">
        <v>241</v>
      </c>
      <c r="F10" s="27"/>
      <c r="G10" s="35" t="s">
        <v>241</v>
      </c>
      <c r="H10" s="29" t="s">
        <v>241</v>
      </c>
    </row>
    <row r="11" spans="1:8" x14ac:dyDescent="0.25">
      <c r="A11" s="30" t="s">
        <v>29</v>
      </c>
      <c r="B11" s="31" t="s">
        <v>3</v>
      </c>
      <c r="C11" s="20">
        <v>33203</v>
      </c>
      <c r="D11" s="20">
        <v>34516.146404762003</v>
      </c>
      <c r="E11" s="21">
        <v>34519.914220484003</v>
      </c>
      <c r="F11" s="22" t="s">
        <v>241</v>
      </c>
      <c r="G11" s="37">
        <v>3.9662507016956283</v>
      </c>
      <c r="H11" s="33">
        <v>1.0916096130245023E-2</v>
      </c>
    </row>
    <row r="12" spans="1:8" x14ac:dyDescent="0.25">
      <c r="A12" s="34"/>
      <c r="B12" s="25" t="s">
        <v>241</v>
      </c>
      <c r="C12" s="26" t="s">
        <v>241</v>
      </c>
      <c r="D12" s="26" t="s">
        <v>241</v>
      </c>
      <c r="E12" s="26" t="s">
        <v>241</v>
      </c>
      <c r="F12" s="27"/>
      <c r="G12" s="28" t="s">
        <v>241</v>
      </c>
      <c r="H12" s="29" t="s">
        <v>241</v>
      </c>
    </row>
    <row r="13" spans="1:8" x14ac:dyDescent="0.25">
      <c r="A13" s="30" t="s">
        <v>27</v>
      </c>
      <c r="B13" s="31" t="s">
        <v>3</v>
      </c>
      <c r="C13" s="20">
        <v>8788</v>
      </c>
      <c r="D13" s="20">
        <v>8654.8519285710008</v>
      </c>
      <c r="E13" s="21">
        <v>9364.5742661450004</v>
      </c>
      <c r="F13" s="22" t="s">
        <v>241</v>
      </c>
      <c r="G13" s="23">
        <v>6.5609270157601145</v>
      </c>
      <c r="H13" s="24">
        <v>8.2002828405544079</v>
      </c>
    </row>
    <row r="14" spans="1:8" x14ac:dyDescent="0.25">
      <c r="A14" s="34"/>
      <c r="B14" s="25" t="s">
        <v>241</v>
      </c>
      <c r="C14" s="26" t="s">
        <v>241</v>
      </c>
      <c r="D14" s="26" t="s">
        <v>241</v>
      </c>
      <c r="E14" s="26" t="s">
        <v>241</v>
      </c>
      <c r="F14" s="27"/>
      <c r="G14" s="38" t="s">
        <v>241</v>
      </c>
      <c r="H14" s="24" t="s">
        <v>241</v>
      </c>
    </row>
    <row r="15" spans="1:8" x14ac:dyDescent="0.25">
      <c r="A15" s="30" t="s">
        <v>30</v>
      </c>
      <c r="B15" s="31" t="s">
        <v>3</v>
      </c>
      <c r="C15" s="20">
        <v>11190</v>
      </c>
      <c r="D15" s="20">
        <v>11511.665904762</v>
      </c>
      <c r="E15" s="21">
        <v>12045.765688194</v>
      </c>
      <c r="F15" s="22" t="s">
        <v>241</v>
      </c>
      <c r="G15" s="37">
        <v>7.6475932814477261</v>
      </c>
      <c r="H15" s="33">
        <v>4.6396393697550025</v>
      </c>
    </row>
    <row r="16" spans="1:8" x14ac:dyDescent="0.25">
      <c r="A16" s="34"/>
      <c r="B16" s="25" t="s">
        <v>241</v>
      </c>
      <c r="C16" s="26" t="s">
        <v>241</v>
      </c>
      <c r="D16" s="26" t="s">
        <v>241</v>
      </c>
      <c r="E16" s="26" t="s">
        <v>241</v>
      </c>
      <c r="F16" s="27"/>
      <c r="G16" s="28" t="s">
        <v>241</v>
      </c>
      <c r="H16" s="29" t="s">
        <v>241</v>
      </c>
    </row>
    <row r="17" spans="1:9" x14ac:dyDescent="0.25">
      <c r="A17" s="30" t="s">
        <v>31</v>
      </c>
      <c r="B17" s="31" t="s">
        <v>3</v>
      </c>
      <c r="C17" s="20">
        <v>12343</v>
      </c>
      <c r="D17" s="20">
        <v>12819</v>
      </c>
      <c r="E17" s="21">
        <v>12440.574266145</v>
      </c>
      <c r="F17" s="22" t="s">
        <v>241</v>
      </c>
      <c r="G17" s="37">
        <v>0.7905230992870429</v>
      </c>
      <c r="H17" s="33">
        <v>-2.9520690682190462</v>
      </c>
    </row>
    <row r="18" spans="1:9" ht="13.8" thickBot="1" x14ac:dyDescent="0.3">
      <c r="A18" s="56"/>
      <c r="B18" s="42" t="s">
        <v>241</v>
      </c>
      <c r="C18" s="43" t="s">
        <v>241</v>
      </c>
      <c r="D18" s="43" t="s">
        <v>241</v>
      </c>
      <c r="E18" s="43" t="s">
        <v>241</v>
      </c>
      <c r="F18" s="44"/>
      <c r="G18" s="57" t="s">
        <v>241</v>
      </c>
      <c r="H18" s="46" t="s">
        <v>241</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32</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26</v>
      </c>
      <c r="B35" s="19" t="s">
        <v>3</v>
      </c>
      <c r="C35" s="80">
        <v>12623.975699097</v>
      </c>
      <c r="D35" s="80">
        <v>11956.755135713</v>
      </c>
      <c r="E35" s="83">
        <v>12755.754436417999</v>
      </c>
      <c r="F35" s="22" t="s">
        <v>241</v>
      </c>
      <c r="G35" s="23">
        <v>1.0438766713597687</v>
      </c>
      <c r="H35" s="24">
        <v>6.6824091623195443</v>
      </c>
    </row>
    <row r="36" spans="1:9" ht="12.75" customHeight="1" x14ac:dyDescent="0.25">
      <c r="A36" s="199"/>
      <c r="B36" s="25" t="s">
        <v>241</v>
      </c>
      <c r="C36" s="82" t="s">
        <v>241</v>
      </c>
      <c r="D36" s="82" t="s">
        <v>241</v>
      </c>
      <c r="E36" s="82" t="s">
        <v>241</v>
      </c>
      <c r="F36" s="27"/>
      <c r="G36" s="28" t="s">
        <v>241</v>
      </c>
      <c r="H36" s="29" t="s">
        <v>241</v>
      </c>
    </row>
    <row r="37" spans="1:9" x14ac:dyDescent="0.25">
      <c r="A37" s="30" t="s">
        <v>28</v>
      </c>
      <c r="B37" s="31" t="s">
        <v>3</v>
      </c>
      <c r="C37" s="80">
        <v>10502.614219315001</v>
      </c>
      <c r="D37" s="80">
        <v>9841.7234037479993</v>
      </c>
      <c r="E37" s="83">
        <v>10754.520929132999</v>
      </c>
      <c r="F37" s="22" t="s">
        <v>241</v>
      </c>
      <c r="G37" s="32">
        <v>2.3985143561183548</v>
      </c>
      <c r="H37" s="33">
        <v>9.2747732072756719</v>
      </c>
    </row>
    <row r="38" spans="1:9" x14ac:dyDescent="0.25">
      <c r="A38" s="34"/>
      <c r="B38" s="25" t="s">
        <v>241</v>
      </c>
      <c r="C38" s="82" t="s">
        <v>241</v>
      </c>
      <c r="D38" s="82" t="s">
        <v>241</v>
      </c>
      <c r="E38" s="82" t="s">
        <v>241</v>
      </c>
      <c r="F38" s="27"/>
      <c r="G38" s="35" t="s">
        <v>241</v>
      </c>
      <c r="H38" s="29" t="s">
        <v>241</v>
      </c>
    </row>
    <row r="39" spans="1:9" x14ac:dyDescent="0.25">
      <c r="A39" s="30" t="s">
        <v>29</v>
      </c>
      <c r="B39" s="31" t="s">
        <v>3</v>
      </c>
      <c r="C39" s="80">
        <v>999.78531446399995</v>
      </c>
      <c r="D39" s="80">
        <v>945.74782281</v>
      </c>
      <c r="E39" s="83">
        <v>892.27423895000004</v>
      </c>
      <c r="F39" s="22" t="s">
        <v>241</v>
      </c>
      <c r="G39" s="37">
        <v>-10.753416154310912</v>
      </c>
      <c r="H39" s="33">
        <v>-5.6541059434976688</v>
      </c>
    </row>
    <row r="40" spans="1:9" x14ac:dyDescent="0.25">
      <c r="A40" s="34"/>
      <c r="B40" s="25" t="s">
        <v>241</v>
      </c>
      <c r="C40" s="82" t="s">
        <v>241</v>
      </c>
      <c r="D40" s="82" t="s">
        <v>241</v>
      </c>
      <c r="E40" s="82" t="s">
        <v>241</v>
      </c>
      <c r="F40" s="27"/>
      <c r="G40" s="28" t="s">
        <v>241</v>
      </c>
      <c r="H40" s="29" t="s">
        <v>241</v>
      </c>
    </row>
    <row r="41" spans="1:9" x14ac:dyDescent="0.25">
      <c r="A41" s="30" t="s">
        <v>27</v>
      </c>
      <c r="B41" s="31" t="s">
        <v>3</v>
      </c>
      <c r="C41" s="80">
        <v>261.28511093200001</v>
      </c>
      <c r="D41" s="80">
        <v>310.81555923600001</v>
      </c>
      <c r="E41" s="83">
        <v>244.73397585800001</v>
      </c>
      <c r="F41" s="22" t="s">
        <v>241</v>
      </c>
      <c r="G41" s="23">
        <v>-6.3345113753180726</v>
      </c>
      <c r="H41" s="24">
        <v>-21.260706362458748</v>
      </c>
    </row>
    <row r="42" spans="1:9" x14ac:dyDescent="0.25">
      <c r="A42" s="34"/>
      <c r="B42" s="25" t="s">
        <v>241</v>
      </c>
      <c r="C42" s="82" t="s">
        <v>241</v>
      </c>
      <c r="D42" s="82" t="s">
        <v>241</v>
      </c>
      <c r="E42" s="82" t="s">
        <v>241</v>
      </c>
      <c r="F42" s="27"/>
      <c r="G42" s="38" t="s">
        <v>241</v>
      </c>
      <c r="H42" s="24" t="s">
        <v>241</v>
      </c>
    </row>
    <row r="43" spans="1:9" x14ac:dyDescent="0.25">
      <c r="A43" s="30" t="s">
        <v>30</v>
      </c>
      <c r="B43" s="31" t="s">
        <v>3</v>
      </c>
      <c r="C43" s="80">
        <v>534.2553805</v>
      </c>
      <c r="D43" s="80">
        <v>549.290368758</v>
      </c>
      <c r="E43" s="83">
        <v>547.12021663999997</v>
      </c>
      <c r="F43" s="22" t="s">
        <v>241</v>
      </c>
      <c r="G43" s="37">
        <v>2.4079937441079124</v>
      </c>
      <c r="H43" s="33">
        <v>-0.39508286353299127</v>
      </c>
    </row>
    <row r="44" spans="1:9" x14ac:dyDescent="0.25">
      <c r="A44" s="34"/>
      <c r="B44" s="25" t="s">
        <v>241</v>
      </c>
      <c r="C44" s="82" t="s">
        <v>241</v>
      </c>
      <c r="D44" s="82" t="s">
        <v>241</v>
      </c>
      <c r="E44" s="82" t="s">
        <v>241</v>
      </c>
      <c r="F44" s="27"/>
      <c r="G44" s="28" t="s">
        <v>241</v>
      </c>
      <c r="H44" s="29" t="s">
        <v>241</v>
      </c>
    </row>
    <row r="45" spans="1:9" x14ac:dyDescent="0.25">
      <c r="A45" s="30" t="s">
        <v>31</v>
      </c>
      <c r="B45" s="31" t="s">
        <v>3</v>
      </c>
      <c r="C45" s="80">
        <v>326.03567388599998</v>
      </c>
      <c r="D45" s="80">
        <v>309.17798116199998</v>
      </c>
      <c r="E45" s="83">
        <v>317.10507583600003</v>
      </c>
      <c r="F45" s="22" t="s">
        <v>241</v>
      </c>
      <c r="G45" s="37">
        <v>-2.739147512159235</v>
      </c>
      <c r="H45" s="33">
        <v>2.5639260092867033</v>
      </c>
    </row>
    <row r="46" spans="1:9" ht="13.8" thickBot="1" x14ac:dyDescent="0.3">
      <c r="A46" s="56"/>
      <c r="B46" s="42" t="s">
        <v>241</v>
      </c>
      <c r="C46" s="86" t="s">
        <v>241</v>
      </c>
      <c r="D46" s="86" t="s">
        <v>241</v>
      </c>
      <c r="E46" s="86" t="s">
        <v>241</v>
      </c>
      <c r="F46" s="44"/>
      <c r="G46" s="57" t="s">
        <v>241</v>
      </c>
      <c r="H46" s="46" t="s">
        <v>241</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58"/>
      <c r="B58" s="58"/>
      <c r="C58" s="64"/>
      <c r="D58" s="64"/>
      <c r="E58" s="21"/>
      <c r="F58" s="59"/>
      <c r="G58" s="38"/>
      <c r="H58" s="60"/>
      <c r="I58" s="61"/>
    </row>
    <row r="59" spans="1:9" x14ac:dyDescent="0.25">
      <c r="A59" s="65"/>
      <c r="B59" s="62"/>
      <c r="C59" s="21"/>
      <c r="D59" s="21"/>
      <c r="E59" s="21"/>
      <c r="F59" s="63"/>
      <c r="G59" s="38"/>
      <c r="H59" s="60"/>
      <c r="I59" s="61"/>
    </row>
    <row r="60" spans="1:9" x14ac:dyDescent="0.25">
      <c r="A60" s="52"/>
      <c r="B60" s="52"/>
      <c r="C60" s="52"/>
      <c r="D60" s="52"/>
      <c r="E60" s="52"/>
      <c r="F60" s="52"/>
      <c r="G60" s="52"/>
      <c r="H60" s="52"/>
    </row>
    <row r="61" spans="1:9" ht="12.75" customHeight="1" x14ac:dyDescent="0.25">
      <c r="A61" s="54" t="s">
        <v>242</v>
      </c>
      <c r="G61" s="53"/>
      <c r="H61" s="201">
        <v>11</v>
      </c>
    </row>
    <row r="62" spans="1:9" ht="12.75" customHeight="1" x14ac:dyDescent="0.25">
      <c r="A62" s="54" t="s">
        <v>243</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147</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ht="12.75" customHeight="1" x14ac:dyDescent="0.25">
      <c r="A7" s="198" t="s">
        <v>26</v>
      </c>
      <c r="B7" s="19" t="s">
        <v>3</v>
      </c>
      <c r="C7" s="20">
        <v>783055.35323620203</v>
      </c>
      <c r="D7" s="20">
        <v>783732.42342834198</v>
      </c>
      <c r="E7" s="21">
        <v>816557.142204843</v>
      </c>
      <c r="F7" s="22" t="s">
        <v>241</v>
      </c>
      <c r="G7" s="23">
        <v>4.2783423713515418</v>
      </c>
      <c r="H7" s="24">
        <v>4.1882558122213709</v>
      </c>
    </row>
    <row r="8" spans="1:8" ht="12.75" customHeight="1" x14ac:dyDescent="0.25">
      <c r="A8" s="199"/>
      <c r="B8" s="25" t="s">
        <v>241</v>
      </c>
      <c r="C8" s="26" t="s">
        <v>241</v>
      </c>
      <c r="D8" s="26" t="s">
        <v>241</v>
      </c>
      <c r="E8" s="26" t="s">
        <v>241</v>
      </c>
      <c r="F8" s="27"/>
      <c r="G8" s="28" t="s">
        <v>241</v>
      </c>
      <c r="H8" s="29" t="s">
        <v>241</v>
      </c>
    </row>
    <row r="9" spans="1:8" x14ac:dyDescent="0.25">
      <c r="A9" s="30" t="s">
        <v>34</v>
      </c>
      <c r="B9" s="31" t="s">
        <v>3</v>
      </c>
      <c r="C9" s="20">
        <v>11411</v>
      </c>
      <c r="D9" s="20">
        <v>10374.36</v>
      </c>
      <c r="E9" s="21">
        <v>11095.500766880001</v>
      </c>
      <c r="F9" s="22" t="s">
        <v>241</v>
      </c>
      <c r="G9" s="32">
        <v>-2.764869276312325</v>
      </c>
      <c r="H9" s="33">
        <v>6.951183175444072</v>
      </c>
    </row>
    <row r="10" spans="1:8" x14ac:dyDescent="0.25">
      <c r="A10" s="34"/>
      <c r="B10" s="25" t="s">
        <v>241</v>
      </c>
      <c r="C10" s="26" t="s">
        <v>241</v>
      </c>
      <c r="D10" s="26" t="s">
        <v>241</v>
      </c>
      <c r="E10" s="26" t="s">
        <v>241</v>
      </c>
      <c r="F10" s="27"/>
      <c r="G10" s="35" t="s">
        <v>241</v>
      </c>
      <c r="H10" s="29" t="s">
        <v>241</v>
      </c>
    </row>
    <row r="11" spans="1:8" x14ac:dyDescent="0.25">
      <c r="A11" s="30" t="s">
        <v>35</v>
      </c>
      <c r="B11" s="31" t="s">
        <v>3</v>
      </c>
      <c r="C11" s="20">
        <v>4110</v>
      </c>
      <c r="D11" s="20">
        <v>3596.4288000000001</v>
      </c>
      <c r="E11" s="21">
        <v>3859.4800613500001</v>
      </c>
      <c r="F11" s="22" t="s">
        <v>241</v>
      </c>
      <c r="G11" s="37">
        <v>-6.0953756362530385</v>
      </c>
      <c r="H11" s="33">
        <v>7.3142352032660796</v>
      </c>
    </row>
    <row r="12" spans="1:8" x14ac:dyDescent="0.25">
      <c r="A12" s="34"/>
      <c r="B12" s="25" t="s">
        <v>241</v>
      </c>
      <c r="C12" s="26" t="s">
        <v>241</v>
      </c>
      <c r="D12" s="26" t="s">
        <v>241</v>
      </c>
      <c r="E12" s="26" t="s">
        <v>241</v>
      </c>
      <c r="F12" s="27"/>
      <c r="G12" s="28" t="s">
        <v>241</v>
      </c>
      <c r="H12" s="29" t="s">
        <v>241</v>
      </c>
    </row>
    <row r="13" spans="1:8" x14ac:dyDescent="0.25">
      <c r="A13" s="30" t="s">
        <v>36</v>
      </c>
      <c r="B13" s="31" t="s">
        <v>3</v>
      </c>
      <c r="C13" s="20">
        <v>149580</v>
      </c>
      <c r="D13" s="20">
        <v>154955.770666667</v>
      </c>
      <c r="E13" s="21">
        <v>162594.069018432</v>
      </c>
      <c r="F13" s="22" t="s">
        <v>241</v>
      </c>
      <c r="G13" s="23">
        <v>8.700407152314483</v>
      </c>
      <c r="H13" s="24">
        <v>4.9293410106010924</v>
      </c>
    </row>
    <row r="14" spans="1:8" x14ac:dyDescent="0.25">
      <c r="A14" s="34"/>
      <c r="B14" s="25" t="s">
        <v>241</v>
      </c>
      <c r="C14" s="26" t="s">
        <v>241</v>
      </c>
      <c r="D14" s="26" t="s">
        <v>241</v>
      </c>
      <c r="E14" s="26" t="s">
        <v>241</v>
      </c>
      <c r="F14" s="27"/>
      <c r="G14" s="38" t="s">
        <v>241</v>
      </c>
      <c r="H14" s="24" t="s">
        <v>241</v>
      </c>
    </row>
    <row r="15" spans="1:8" x14ac:dyDescent="0.25">
      <c r="A15" s="30" t="s">
        <v>18</v>
      </c>
      <c r="B15" s="31" t="s">
        <v>3</v>
      </c>
      <c r="C15" s="20">
        <v>3451</v>
      </c>
      <c r="D15" s="20">
        <v>3159.1634285710002</v>
      </c>
      <c r="E15" s="21">
        <v>3290.914329536</v>
      </c>
      <c r="F15" s="22" t="s">
        <v>241</v>
      </c>
      <c r="G15" s="37">
        <v>-4.6388197758330989</v>
      </c>
      <c r="H15" s="33">
        <v>4.1704363811464873</v>
      </c>
    </row>
    <row r="16" spans="1:8" x14ac:dyDescent="0.25">
      <c r="A16" s="34"/>
      <c r="B16" s="25" t="s">
        <v>241</v>
      </c>
      <c r="C16" s="26" t="s">
        <v>241</v>
      </c>
      <c r="D16" s="26" t="s">
        <v>241</v>
      </c>
      <c r="E16" s="26" t="s">
        <v>241</v>
      </c>
      <c r="F16" s="27"/>
      <c r="G16" s="28" t="s">
        <v>241</v>
      </c>
      <c r="H16" s="29" t="s">
        <v>241</v>
      </c>
    </row>
    <row r="17" spans="1:9" x14ac:dyDescent="0.25">
      <c r="A17" s="30" t="s">
        <v>37</v>
      </c>
      <c r="B17" s="31" t="s">
        <v>3</v>
      </c>
      <c r="C17" s="20">
        <v>4973</v>
      </c>
      <c r="D17" s="20">
        <v>4523.6432000000004</v>
      </c>
      <c r="E17" s="21">
        <v>3854.2200920260002</v>
      </c>
      <c r="F17" s="22" t="s">
        <v>241</v>
      </c>
      <c r="G17" s="37">
        <v>-22.497082404464095</v>
      </c>
      <c r="H17" s="33">
        <v>-14.798318045375467</v>
      </c>
    </row>
    <row r="18" spans="1:9" x14ac:dyDescent="0.25">
      <c r="A18" s="34"/>
      <c r="B18" s="25" t="s">
        <v>241</v>
      </c>
      <c r="C18" s="26" t="s">
        <v>241</v>
      </c>
      <c r="D18" s="26" t="s">
        <v>241</v>
      </c>
      <c r="E18" s="26" t="s">
        <v>241</v>
      </c>
      <c r="F18" s="27"/>
      <c r="G18" s="28" t="s">
        <v>241</v>
      </c>
      <c r="H18" s="29" t="s">
        <v>241</v>
      </c>
    </row>
    <row r="19" spans="1:9" x14ac:dyDescent="0.25">
      <c r="A19" s="30" t="s">
        <v>38</v>
      </c>
      <c r="B19" s="31" t="s">
        <v>3</v>
      </c>
      <c r="C19" s="20">
        <v>5924</v>
      </c>
      <c r="D19" s="20">
        <v>5706.3813333329999</v>
      </c>
      <c r="E19" s="21">
        <v>5040.1334355839999</v>
      </c>
      <c r="F19" s="22" t="s">
        <v>241</v>
      </c>
      <c r="G19" s="23">
        <v>-14.920097306144498</v>
      </c>
      <c r="H19" s="24">
        <v>-11.67548852470145</v>
      </c>
    </row>
    <row r="20" spans="1:9" x14ac:dyDescent="0.25">
      <c r="A20" s="30"/>
      <c r="B20" s="25" t="s">
        <v>241</v>
      </c>
      <c r="C20" s="26" t="s">
        <v>241</v>
      </c>
      <c r="D20" s="26" t="s">
        <v>241</v>
      </c>
      <c r="E20" s="26" t="s">
        <v>241</v>
      </c>
      <c r="F20" s="27"/>
      <c r="G20" s="38" t="s">
        <v>241</v>
      </c>
      <c r="H20" s="24" t="s">
        <v>241</v>
      </c>
    </row>
    <row r="21" spans="1:9" x14ac:dyDescent="0.25">
      <c r="A21" s="39" t="s">
        <v>39</v>
      </c>
      <c r="B21" s="31" t="s">
        <v>3</v>
      </c>
      <c r="C21" s="20">
        <v>232256</v>
      </c>
      <c r="D21" s="20">
        <v>237578.008</v>
      </c>
      <c r="E21" s="21">
        <v>249681.80214726401</v>
      </c>
      <c r="F21" s="22" t="s">
        <v>241</v>
      </c>
      <c r="G21" s="37">
        <v>7.5028426164508204</v>
      </c>
      <c r="H21" s="33">
        <v>5.0946610122532832</v>
      </c>
    </row>
    <row r="22" spans="1:9" x14ac:dyDescent="0.25">
      <c r="A22" s="34"/>
      <c r="B22" s="25" t="s">
        <v>241</v>
      </c>
      <c r="C22" s="26" t="s">
        <v>241</v>
      </c>
      <c r="D22" s="26" t="s">
        <v>241</v>
      </c>
      <c r="E22" s="26" t="s">
        <v>241</v>
      </c>
      <c r="F22" s="27"/>
      <c r="G22" s="28" t="s">
        <v>241</v>
      </c>
      <c r="H22" s="29" t="s">
        <v>241</v>
      </c>
    </row>
    <row r="23" spans="1:9" x14ac:dyDescent="0.25">
      <c r="A23" s="39" t="s">
        <v>40</v>
      </c>
      <c r="B23" s="31" t="s">
        <v>3</v>
      </c>
      <c r="C23" s="20">
        <v>171062.35323620201</v>
      </c>
      <c r="D23" s="20">
        <v>175910.12266620799</v>
      </c>
      <c r="E23" s="21">
        <v>187068.53734760301</v>
      </c>
      <c r="F23" s="22" t="s">
        <v>241</v>
      </c>
      <c r="G23" s="23">
        <v>9.356929685925536</v>
      </c>
      <c r="H23" s="24">
        <v>6.343247626839684</v>
      </c>
    </row>
    <row r="24" spans="1:9" x14ac:dyDescent="0.25">
      <c r="A24" s="34"/>
      <c r="B24" s="25" t="s">
        <v>241</v>
      </c>
      <c r="C24" s="26" t="s">
        <v>241</v>
      </c>
      <c r="D24" s="26" t="s">
        <v>241</v>
      </c>
      <c r="E24" s="26" t="s">
        <v>241</v>
      </c>
      <c r="F24" s="27"/>
      <c r="G24" s="38" t="s">
        <v>241</v>
      </c>
      <c r="H24" s="24" t="s">
        <v>241</v>
      </c>
    </row>
    <row r="25" spans="1:9" x14ac:dyDescent="0.25">
      <c r="A25" s="30" t="s">
        <v>41</v>
      </c>
      <c r="B25" s="31" t="s">
        <v>3</v>
      </c>
      <c r="C25" s="20">
        <v>257888</v>
      </c>
      <c r="D25" s="20">
        <v>264970.76</v>
      </c>
      <c r="E25" s="21">
        <v>266816.75268407998</v>
      </c>
      <c r="F25" s="22" t="s">
        <v>241</v>
      </c>
      <c r="G25" s="37">
        <v>3.4622598508189668</v>
      </c>
      <c r="H25" s="33">
        <v>0.69667788403519637</v>
      </c>
    </row>
    <row r="26" spans="1:9" x14ac:dyDescent="0.25">
      <c r="A26" s="34"/>
      <c r="B26" s="25" t="s">
        <v>241</v>
      </c>
      <c r="C26" s="26" t="s">
        <v>241</v>
      </c>
      <c r="D26" s="26" t="s">
        <v>241</v>
      </c>
      <c r="E26" s="26" t="s">
        <v>241</v>
      </c>
      <c r="F26" s="27"/>
      <c r="G26" s="28" t="s">
        <v>241</v>
      </c>
      <c r="H26" s="29" t="s">
        <v>241</v>
      </c>
    </row>
    <row r="27" spans="1:9" x14ac:dyDescent="0.25">
      <c r="A27" s="30" t="s">
        <v>24</v>
      </c>
      <c r="B27" s="31" t="s">
        <v>3</v>
      </c>
      <c r="C27" s="20">
        <v>176845</v>
      </c>
      <c r="D27" s="20">
        <v>188967.626666667</v>
      </c>
      <c r="E27" s="21">
        <v>182927.66871167999</v>
      </c>
      <c r="F27" s="22" t="s">
        <v>241</v>
      </c>
      <c r="G27" s="23">
        <v>3.4395480288840474</v>
      </c>
      <c r="H27" s="24">
        <v>-3.1962924345985044</v>
      </c>
    </row>
    <row r="28" spans="1:9" ht="13.8" thickBot="1" x14ac:dyDescent="0.3">
      <c r="A28" s="56"/>
      <c r="B28" s="42" t="s">
        <v>241</v>
      </c>
      <c r="C28" s="43" t="s">
        <v>241</v>
      </c>
      <c r="D28" s="43" t="s">
        <v>241</v>
      </c>
      <c r="E28" s="43" t="s">
        <v>241</v>
      </c>
      <c r="F28" s="44"/>
      <c r="G28" s="57" t="s">
        <v>241</v>
      </c>
      <c r="H28" s="46" t="s">
        <v>241</v>
      </c>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33</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26</v>
      </c>
      <c r="B35" s="19" t="s">
        <v>3</v>
      </c>
      <c r="C35" s="80">
        <v>12623.975699097</v>
      </c>
      <c r="D35" s="80">
        <v>11956.755135713</v>
      </c>
      <c r="E35" s="83">
        <v>12755.754436417999</v>
      </c>
      <c r="F35" s="22" t="s">
        <v>241</v>
      </c>
      <c r="G35" s="23">
        <v>1.0438766713597687</v>
      </c>
      <c r="H35" s="24">
        <v>6.6824091623195443</v>
      </c>
    </row>
    <row r="36" spans="1:8" ht="12.75" customHeight="1" x14ac:dyDescent="0.25">
      <c r="A36" s="199"/>
      <c r="B36" s="25" t="s">
        <v>241</v>
      </c>
      <c r="C36" s="82" t="s">
        <v>241</v>
      </c>
      <c r="D36" s="82" t="s">
        <v>241</v>
      </c>
      <c r="E36" s="82" t="s">
        <v>241</v>
      </c>
      <c r="F36" s="27"/>
      <c r="G36" s="28" t="s">
        <v>241</v>
      </c>
      <c r="H36" s="29" t="s">
        <v>241</v>
      </c>
    </row>
    <row r="37" spans="1:8" x14ac:dyDescent="0.25">
      <c r="A37" s="30" t="s">
        <v>34</v>
      </c>
      <c r="B37" s="31" t="s">
        <v>3</v>
      </c>
      <c r="C37" s="84">
        <v>1871.226720527</v>
      </c>
      <c r="D37" s="84">
        <v>1319.5820462839999</v>
      </c>
      <c r="E37" s="83">
        <v>1136.098904063</v>
      </c>
      <c r="F37" s="22" t="s">
        <v>241</v>
      </c>
      <c r="G37" s="32">
        <v>-39.28587639326588</v>
      </c>
      <c r="H37" s="33">
        <v>-13.904640695718498</v>
      </c>
    </row>
    <row r="38" spans="1:8" x14ac:dyDescent="0.25">
      <c r="A38" s="34"/>
      <c r="B38" s="25" t="s">
        <v>241</v>
      </c>
      <c r="C38" s="82" t="s">
        <v>241</v>
      </c>
      <c r="D38" s="82" t="s">
        <v>241</v>
      </c>
      <c r="E38" s="82" t="s">
        <v>241</v>
      </c>
      <c r="F38" s="27"/>
      <c r="G38" s="35" t="s">
        <v>241</v>
      </c>
      <c r="H38" s="29" t="s">
        <v>241</v>
      </c>
    </row>
    <row r="39" spans="1:8" x14ac:dyDescent="0.25">
      <c r="A39" s="30" t="s">
        <v>35</v>
      </c>
      <c r="B39" s="31" t="s">
        <v>3</v>
      </c>
      <c r="C39" s="84">
        <v>55.670048815000001</v>
      </c>
      <c r="D39" s="84">
        <v>47.751041209999997</v>
      </c>
      <c r="E39" s="83">
        <v>42.049639632000002</v>
      </c>
      <c r="F39" s="22" t="s">
        <v>241</v>
      </c>
      <c r="G39" s="37">
        <v>-24.46631442387033</v>
      </c>
      <c r="H39" s="33">
        <v>-11.939847663062082</v>
      </c>
    </row>
    <row r="40" spans="1:8" x14ac:dyDescent="0.25">
      <c r="A40" s="34"/>
      <c r="B40" s="25" t="s">
        <v>241</v>
      </c>
      <c r="C40" s="82" t="s">
        <v>241</v>
      </c>
      <c r="D40" s="82" t="s">
        <v>241</v>
      </c>
      <c r="E40" s="82" t="s">
        <v>241</v>
      </c>
      <c r="F40" s="27"/>
      <c r="G40" s="28" t="s">
        <v>241</v>
      </c>
      <c r="H40" s="29" t="s">
        <v>241</v>
      </c>
    </row>
    <row r="41" spans="1:8" x14ac:dyDescent="0.25">
      <c r="A41" s="30" t="s">
        <v>36</v>
      </c>
      <c r="B41" s="31" t="s">
        <v>3</v>
      </c>
      <c r="C41" s="84">
        <v>2476.9249229030002</v>
      </c>
      <c r="D41" s="84">
        <v>2456.5618422779999</v>
      </c>
      <c r="E41" s="83">
        <v>2640.3074502240001</v>
      </c>
      <c r="F41" s="22" t="s">
        <v>241</v>
      </c>
      <c r="G41" s="23">
        <v>6.596184075273186</v>
      </c>
      <c r="H41" s="24">
        <v>7.4797875951541499</v>
      </c>
    </row>
    <row r="42" spans="1:8" x14ac:dyDescent="0.25">
      <c r="A42" s="34"/>
      <c r="B42" s="25" t="s">
        <v>241</v>
      </c>
      <c r="C42" s="82" t="s">
        <v>241</v>
      </c>
      <c r="D42" s="82" t="s">
        <v>241</v>
      </c>
      <c r="E42" s="82" t="s">
        <v>241</v>
      </c>
      <c r="F42" s="27"/>
      <c r="G42" s="38" t="s">
        <v>241</v>
      </c>
      <c r="H42" s="24" t="s">
        <v>241</v>
      </c>
    </row>
    <row r="43" spans="1:8" x14ac:dyDescent="0.25">
      <c r="A43" s="30" t="s">
        <v>18</v>
      </c>
      <c r="B43" s="31" t="s">
        <v>3</v>
      </c>
      <c r="C43" s="84">
        <v>221.26991658099999</v>
      </c>
      <c r="D43" s="84">
        <v>194.72224163300001</v>
      </c>
      <c r="E43" s="83">
        <v>196.17641437899999</v>
      </c>
      <c r="F43" s="22" t="s">
        <v>241</v>
      </c>
      <c r="G43" s="37">
        <v>-11.340675040573828</v>
      </c>
      <c r="H43" s="33">
        <v>0.74679334718254609</v>
      </c>
    </row>
    <row r="44" spans="1:8" x14ac:dyDescent="0.25">
      <c r="A44" s="34"/>
      <c r="B44" s="25" t="s">
        <v>241</v>
      </c>
      <c r="C44" s="82" t="s">
        <v>241</v>
      </c>
      <c r="D44" s="82" t="s">
        <v>241</v>
      </c>
      <c r="E44" s="82" t="s">
        <v>241</v>
      </c>
      <c r="F44" s="27"/>
      <c r="G44" s="28" t="s">
        <v>241</v>
      </c>
      <c r="H44" s="29" t="s">
        <v>241</v>
      </c>
    </row>
    <row r="45" spans="1:8" x14ac:dyDescent="0.25">
      <c r="A45" s="30" t="s">
        <v>37</v>
      </c>
      <c r="B45" s="31" t="s">
        <v>3</v>
      </c>
      <c r="C45" s="84">
        <v>192.07964608699999</v>
      </c>
      <c r="D45" s="84">
        <v>168.51131024700001</v>
      </c>
      <c r="E45" s="83">
        <v>141.65397763000001</v>
      </c>
      <c r="F45" s="22" t="s">
        <v>241</v>
      </c>
      <c r="G45" s="37">
        <v>-26.252478846280425</v>
      </c>
      <c r="H45" s="33">
        <v>-15.937999993966656</v>
      </c>
    </row>
    <row r="46" spans="1:8" x14ac:dyDescent="0.25">
      <c r="A46" s="34"/>
      <c r="B46" s="25" t="s">
        <v>241</v>
      </c>
      <c r="C46" s="82" t="s">
        <v>241</v>
      </c>
      <c r="D46" s="82" t="s">
        <v>241</v>
      </c>
      <c r="E46" s="82" t="s">
        <v>241</v>
      </c>
      <c r="F46" s="27"/>
      <c r="G46" s="28" t="s">
        <v>241</v>
      </c>
      <c r="H46" s="29" t="s">
        <v>241</v>
      </c>
    </row>
    <row r="47" spans="1:8" x14ac:dyDescent="0.25">
      <c r="A47" s="30" t="s">
        <v>38</v>
      </c>
      <c r="B47" s="31" t="s">
        <v>3</v>
      </c>
      <c r="C47" s="84">
        <v>79.424079148000004</v>
      </c>
      <c r="D47" s="84">
        <v>77.686620947999998</v>
      </c>
      <c r="E47" s="83">
        <v>81.554477374000001</v>
      </c>
      <c r="F47" s="22" t="s">
        <v>241</v>
      </c>
      <c r="G47" s="23">
        <v>2.6823077445193633</v>
      </c>
      <c r="H47" s="24">
        <v>4.9787934895365993</v>
      </c>
    </row>
    <row r="48" spans="1:8" x14ac:dyDescent="0.25">
      <c r="A48" s="30"/>
      <c r="B48" s="25" t="s">
        <v>241</v>
      </c>
      <c r="C48" s="82" t="s">
        <v>241</v>
      </c>
      <c r="D48" s="82" t="s">
        <v>241</v>
      </c>
      <c r="E48" s="82" t="s">
        <v>241</v>
      </c>
      <c r="F48" s="27"/>
      <c r="G48" s="38" t="s">
        <v>241</v>
      </c>
      <c r="H48" s="24" t="s">
        <v>241</v>
      </c>
    </row>
    <row r="49" spans="1:9" x14ac:dyDescent="0.25">
      <c r="A49" s="39" t="s">
        <v>39</v>
      </c>
      <c r="B49" s="31" t="s">
        <v>3</v>
      </c>
      <c r="C49" s="84">
        <v>1413.4321085219999</v>
      </c>
      <c r="D49" s="84">
        <v>1361.081784921</v>
      </c>
      <c r="E49" s="83">
        <v>1471.146694841</v>
      </c>
      <c r="F49" s="22" t="s">
        <v>241</v>
      </c>
      <c r="G49" s="37">
        <v>4.0832938470140618</v>
      </c>
      <c r="H49" s="33">
        <v>8.0865757766634516</v>
      </c>
    </row>
    <row r="50" spans="1:9" x14ac:dyDescent="0.25">
      <c r="A50" s="34"/>
      <c r="B50" s="25" t="s">
        <v>241</v>
      </c>
      <c r="C50" s="82" t="s">
        <v>241</v>
      </c>
      <c r="D50" s="82" t="s">
        <v>241</v>
      </c>
      <c r="E50" s="82" t="s">
        <v>241</v>
      </c>
      <c r="F50" s="27"/>
      <c r="G50" s="28" t="s">
        <v>241</v>
      </c>
      <c r="H50" s="29" t="s">
        <v>241</v>
      </c>
    </row>
    <row r="51" spans="1:9" x14ac:dyDescent="0.25">
      <c r="A51" s="39" t="s">
        <v>40</v>
      </c>
      <c r="B51" s="31" t="s">
        <v>3</v>
      </c>
      <c r="C51" s="84">
        <v>516.95530979900002</v>
      </c>
      <c r="D51" s="84">
        <v>509.45798247300002</v>
      </c>
      <c r="E51" s="83">
        <v>679.94174092699996</v>
      </c>
      <c r="F51" s="22" t="s">
        <v>241</v>
      </c>
      <c r="G51" s="23">
        <v>31.528147218638964</v>
      </c>
      <c r="H51" s="24">
        <v>33.463752521148336</v>
      </c>
    </row>
    <row r="52" spans="1:9" x14ac:dyDescent="0.25">
      <c r="A52" s="34"/>
      <c r="B52" s="25" t="s">
        <v>241</v>
      </c>
      <c r="C52" s="82" t="s">
        <v>241</v>
      </c>
      <c r="D52" s="82" t="s">
        <v>241</v>
      </c>
      <c r="E52" s="82" t="s">
        <v>241</v>
      </c>
      <c r="F52" s="27"/>
      <c r="G52" s="38" t="s">
        <v>241</v>
      </c>
      <c r="H52" s="24" t="s">
        <v>241</v>
      </c>
    </row>
    <row r="53" spans="1:9" x14ac:dyDescent="0.25">
      <c r="A53" s="30" t="s">
        <v>41</v>
      </c>
      <c r="B53" s="31" t="s">
        <v>3</v>
      </c>
      <c r="C53" s="84">
        <v>5163.9192047639999</v>
      </c>
      <c r="D53" s="84">
        <v>5167.8049845570004</v>
      </c>
      <c r="E53" s="83">
        <v>5704.8063058059997</v>
      </c>
      <c r="F53" s="22" t="s">
        <v>241</v>
      </c>
      <c r="G53" s="37">
        <v>10.474352513939451</v>
      </c>
      <c r="H53" s="33">
        <v>10.391284556087641</v>
      </c>
    </row>
    <row r="54" spans="1:9" x14ac:dyDescent="0.25">
      <c r="A54" s="34"/>
      <c r="B54" s="25" t="s">
        <v>241</v>
      </c>
      <c r="C54" s="82" t="s">
        <v>241</v>
      </c>
      <c r="D54" s="82" t="s">
        <v>241</v>
      </c>
      <c r="E54" s="82" t="s">
        <v>241</v>
      </c>
      <c r="F54" s="27"/>
      <c r="G54" s="28" t="s">
        <v>241</v>
      </c>
      <c r="H54" s="29" t="s">
        <v>241</v>
      </c>
    </row>
    <row r="55" spans="1:9" x14ac:dyDescent="0.25">
      <c r="A55" s="30" t="s">
        <v>24</v>
      </c>
      <c r="B55" s="31" t="s">
        <v>3</v>
      </c>
      <c r="C55" s="84">
        <v>633.07374195099999</v>
      </c>
      <c r="D55" s="84">
        <v>653.59528116299998</v>
      </c>
      <c r="E55" s="83">
        <v>662.01883154200004</v>
      </c>
      <c r="F55" s="22" t="s">
        <v>241</v>
      </c>
      <c r="G55" s="23">
        <v>4.572151342400872</v>
      </c>
      <c r="H55" s="24">
        <v>1.2888022024901034</v>
      </c>
    </row>
    <row r="56" spans="1:9" ht="13.8" thickBot="1" x14ac:dyDescent="0.3">
      <c r="A56" s="56"/>
      <c r="B56" s="42" t="s">
        <v>241</v>
      </c>
      <c r="C56" s="86" t="s">
        <v>241</v>
      </c>
      <c r="D56" s="86" t="s">
        <v>241</v>
      </c>
      <c r="E56" s="86" t="s">
        <v>241</v>
      </c>
      <c r="F56" s="44"/>
      <c r="G56" s="57" t="s">
        <v>241</v>
      </c>
      <c r="H56" s="46" t="s">
        <v>241</v>
      </c>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
        <v>242</v>
      </c>
      <c r="H61" s="193">
        <v>12</v>
      </c>
    </row>
    <row r="62" spans="1:9" ht="12.75" customHeight="1" x14ac:dyDescent="0.25">
      <c r="A62" s="54" t="s">
        <v>243</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148</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17</v>
      </c>
      <c r="B7" s="19" t="s">
        <v>3</v>
      </c>
      <c r="C7" s="20">
        <v>296649</v>
      </c>
      <c r="D7" s="20">
        <v>305854.777466667</v>
      </c>
      <c r="E7" s="21">
        <v>334517.38835614501</v>
      </c>
      <c r="F7" s="22" t="s">
        <v>241</v>
      </c>
      <c r="G7" s="23">
        <v>12.765385474464779</v>
      </c>
      <c r="H7" s="24">
        <v>9.3713137741004289</v>
      </c>
    </row>
    <row r="8" spans="1:8" x14ac:dyDescent="0.25">
      <c r="A8" s="199"/>
      <c r="B8" s="25" t="s">
        <v>241</v>
      </c>
      <c r="C8" s="26" t="s">
        <v>241</v>
      </c>
      <c r="D8" s="26" t="s">
        <v>241</v>
      </c>
      <c r="E8" s="26" t="s">
        <v>241</v>
      </c>
      <c r="F8" s="27"/>
      <c r="G8" s="28" t="s">
        <v>241</v>
      </c>
      <c r="H8" s="29" t="s">
        <v>241</v>
      </c>
    </row>
    <row r="9" spans="1:8" x14ac:dyDescent="0.25">
      <c r="A9" s="30" t="s">
        <v>18</v>
      </c>
      <c r="B9" s="31" t="s">
        <v>3</v>
      </c>
      <c r="C9" s="20">
        <v>38637</v>
      </c>
      <c r="D9" s="20">
        <v>25038.106800000001</v>
      </c>
      <c r="E9" s="21">
        <v>23536.523630186999</v>
      </c>
      <c r="F9" s="22" t="s">
        <v>241</v>
      </c>
      <c r="G9" s="32">
        <v>-39.082942179291869</v>
      </c>
      <c r="H9" s="33">
        <v>-5.9971913284314411</v>
      </c>
    </row>
    <row r="10" spans="1:8" x14ac:dyDescent="0.25">
      <c r="A10" s="34"/>
      <c r="B10" s="25" t="s">
        <v>241</v>
      </c>
      <c r="C10" s="26" t="s">
        <v>241</v>
      </c>
      <c r="D10" s="26" t="s">
        <v>241</v>
      </c>
      <c r="E10" s="26" t="s">
        <v>241</v>
      </c>
      <c r="F10" s="27"/>
      <c r="G10" s="35" t="s">
        <v>241</v>
      </c>
      <c r="H10" s="29" t="s">
        <v>241</v>
      </c>
    </row>
    <row r="11" spans="1:8" x14ac:dyDescent="0.25">
      <c r="A11" s="30" t="s">
        <v>19</v>
      </c>
      <c r="B11" s="31" t="s">
        <v>3</v>
      </c>
      <c r="C11" s="20">
        <v>59334</v>
      </c>
      <c r="D11" s="20">
        <v>57478.356</v>
      </c>
      <c r="E11" s="21">
        <v>65001.412100624002</v>
      </c>
      <c r="F11" s="22" t="s">
        <v>241</v>
      </c>
      <c r="G11" s="37">
        <v>9.5517108245255713</v>
      </c>
      <c r="H11" s="33">
        <v>13.088502567164582</v>
      </c>
    </row>
    <row r="12" spans="1:8" x14ac:dyDescent="0.25">
      <c r="A12" s="34"/>
      <c r="B12" s="25" t="s">
        <v>241</v>
      </c>
      <c r="C12" s="26" t="s">
        <v>241</v>
      </c>
      <c r="D12" s="26" t="s">
        <v>241</v>
      </c>
      <c r="E12" s="26" t="s">
        <v>241</v>
      </c>
      <c r="F12" s="27"/>
      <c r="G12" s="28" t="s">
        <v>241</v>
      </c>
      <c r="H12" s="29" t="s">
        <v>241</v>
      </c>
    </row>
    <row r="13" spans="1:8" x14ac:dyDescent="0.25">
      <c r="A13" s="30" t="s">
        <v>20</v>
      </c>
      <c r="B13" s="31" t="s">
        <v>3</v>
      </c>
      <c r="C13" s="20">
        <v>37089</v>
      </c>
      <c r="D13" s="20">
        <v>33529.788571429002</v>
      </c>
      <c r="E13" s="21">
        <v>31805.624809821002</v>
      </c>
      <c r="F13" s="22" t="s">
        <v>241</v>
      </c>
      <c r="G13" s="23">
        <v>-14.245127100161767</v>
      </c>
      <c r="H13" s="24">
        <v>-5.1421850094133106</v>
      </c>
    </row>
    <row r="14" spans="1:8" x14ac:dyDescent="0.25">
      <c r="A14" s="34"/>
      <c r="B14" s="25" t="s">
        <v>241</v>
      </c>
      <c r="C14" s="26" t="s">
        <v>241</v>
      </c>
      <c r="D14" s="26" t="s">
        <v>241</v>
      </c>
      <c r="E14" s="26" t="s">
        <v>241</v>
      </c>
      <c r="F14" s="27"/>
      <c r="G14" s="38" t="s">
        <v>241</v>
      </c>
      <c r="H14" s="24" t="s">
        <v>241</v>
      </c>
    </row>
    <row r="15" spans="1:8" x14ac:dyDescent="0.25">
      <c r="A15" s="30" t="s">
        <v>21</v>
      </c>
      <c r="B15" s="31" t="s">
        <v>3</v>
      </c>
      <c r="C15" s="20">
        <v>4933</v>
      </c>
      <c r="D15" s="20">
        <v>4967.9383333329997</v>
      </c>
      <c r="E15" s="21">
        <v>7423.0572361980003</v>
      </c>
      <c r="F15" s="22" t="s">
        <v>241</v>
      </c>
      <c r="G15" s="37">
        <v>50.477543811027772</v>
      </c>
      <c r="H15" s="33">
        <v>49.419270895374751</v>
      </c>
    </row>
    <row r="16" spans="1:8" x14ac:dyDescent="0.25">
      <c r="A16" s="34"/>
      <c r="B16" s="25" t="s">
        <v>241</v>
      </c>
      <c r="C16" s="26" t="s">
        <v>241</v>
      </c>
      <c r="D16" s="26" t="s">
        <v>241</v>
      </c>
      <c r="E16" s="26" t="s">
        <v>241</v>
      </c>
      <c r="F16" s="27"/>
      <c r="G16" s="28" t="s">
        <v>241</v>
      </c>
      <c r="H16" s="29" t="s">
        <v>241</v>
      </c>
    </row>
    <row r="17" spans="1:8" x14ac:dyDescent="0.25">
      <c r="A17" s="30" t="s">
        <v>22</v>
      </c>
      <c r="B17" s="31" t="s">
        <v>3</v>
      </c>
      <c r="C17" s="20">
        <v>6603</v>
      </c>
      <c r="D17" s="20">
        <v>5735.9383333329997</v>
      </c>
      <c r="E17" s="21">
        <v>6049.0572361980003</v>
      </c>
      <c r="F17" s="22" t="s">
        <v>241</v>
      </c>
      <c r="G17" s="37">
        <v>-8.3892588793275706</v>
      </c>
      <c r="H17" s="33">
        <v>5.4588959062789542</v>
      </c>
    </row>
    <row r="18" spans="1:8" x14ac:dyDescent="0.25">
      <c r="A18" s="34"/>
      <c r="B18" s="25" t="s">
        <v>241</v>
      </c>
      <c r="C18" s="26" t="s">
        <v>241</v>
      </c>
      <c r="D18" s="26" t="s">
        <v>241</v>
      </c>
      <c r="E18" s="26" t="s">
        <v>241</v>
      </c>
      <c r="F18" s="27"/>
      <c r="G18" s="28" t="s">
        <v>241</v>
      </c>
      <c r="H18" s="29" t="s">
        <v>241</v>
      </c>
    </row>
    <row r="19" spans="1:8" x14ac:dyDescent="0.25">
      <c r="A19" s="30" t="s">
        <v>190</v>
      </c>
      <c r="B19" s="31" t="s">
        <v>3</v>
      </c>
      <c r="C19" s="20">
        <v>100920</v>
      </c>
      <c r="D19" s="20">
        <v>117767.47142857101</v>
      </c>
      <c r="E19" s="21">
        <v>141955.06202455299</v>
      </c>
      <c r="F19" s="22" t="s">
        <v>241</v>
      </c>
      <c r="G19" s="23">
        <v>40.660980999358884</v>
      </c>
      <c r="H19" s="24">
        <v>20.538430775982448</v>
      </c>
    </row>
    <row r="20" spans="1:8" x14ac:dyDescent="0.25">
      <c r="A20" s="30"/>
      <c r="B20" s="25" t="s">
        <v>241</v>
      </c>
      <c r="C20" s="26" t="s">
        <v>241</v>
      </c>
      <c r="D20" s="26" t="s">
        <v>241</v>
      </c>
      <c r="E20" s="26" t="s">
        <v>241</v>
      </c>
      <c r="F20" s="27"/>
      <c r="G20" s="38" t="s">
        <v>241</v>
      </c>
      <c r="H20" s="24" t="s">
        <v>241</v>
      </c>
    </row>
    <row r="21" spans="1:8" x14ac:dyDescent="0.25">
      <c r="A21" s="39" t="s">
        <v>12</v>
      </c>
      <c r="B21" s="31" t="s">
        <v>3</v>
      </c>
      <c r="C21" s="20">
        <v>2013</v>
      </c>
      <c r="D21" s="20">
        <v>1933.3630000000001</v>
      </c>
      <c r="E21" s="21">
        <v>1743.0343417189999</v>
      </c>
      <c r="F21" s="22" t="s">
        <v>241</v>
      </c>
      <c r="G21" s="37">
        <v>-13.411110694535523</v>
      </c>
      <c r="H21" s="33">
        <v>-9.8444347120018421</v>
      </c>
    </row>
    <row r="22" spans="1:8" x14ac:dyDescent="0.25">
      <c r="A22" s="34"/>
      <c r="B22" s="25" t="s">
        <v>241</v>
      </c>
      <c r="C22" s="26" t="s">
        <v>241</v>
      </c>
      <c r="D22" s="26" t="s">
        <v>241</v>
      </c>
      <c r="E22" s="26" t="s">
        <v>241</v>
      </c>
      <c r="F22" s="27"/>
      <c r="G22" s="28" t="s">
        <v>241</v>
      </c>
      <c r="H22" s="29" t="s">
        <v>241</v>
      </c>
    </row>
    <row r="23" spans="1:8" x14ac:dyDescent="0.25">
      <c r="A23" s="39" t="s">
        <v>23</v>
      </c>
      <c r="B23" s="31" t="s">
        <v>3</v>
      </c>
      <c r="C23" s="20">
        <v>11293</v>
      </c>
      <c r="D23" s="20">
        <v>11701.938333333001</v>
      </c>
      <c r="E23" s="21">
        <v>12473.057236197999</v>
      </c>
      <c r="F23" s="22" t="s">
        <v>241</v>
      </c>
      <c r="G23" s="23">
        <v>10.449457506402183</v>
      </c>
      <c r="H23" s="24">
        <v>6.5896681464169546</v>
      </c>
    </row>
    <row r="24" spans="1:8" x14ac:dyDescent="0.25">
      <c r="A24" s="34"/>
      <c r="B24" s="25" t="s">
        <v>241</v>
      </c>
      <c r="C24" s="26" t="s">
        <v>241</v>
      </c>
      <c r="D24" s="26" t="s">
        <v>241</v>
      </c>
      <c r="E24" s="26" t="s">
        <v>241</v>
      </c>
      <c r="F24" s="27"/>
      <c r="G24" s="28" t="s">
        <v>241</v>
      </c>
      <c r="H24" s="29" t="s">
        <v>241</v>
      </c>
    </row>
    <row r="25" spans="1:8" x14ac:dyDescent="0.25">
      <c r="A25" s="30" t="s">
        <v>24</v>
      </c>
      <c r="B25" s="31" t="s">
        <v>3</v>
      </c>
      <c r="C25" s="20">
        <v>41291</v>
      </c>
      <c r="D25" s="20">
        <v>54000.876666666998</v>
      </c>
      <c r="E25" s="21">
        <v>51892.114472396002</v>
      </c>
      <c r="F25" s="22" t="s">
        <v>241</v>
      </c>
      <c r="G25" s="23">
        <v>25.674152896263109</v>
      </c>
      <c r="H25" s="24">
        <v>-3.9050517777476443</v>
      </c>
    </row>
    <row r="26" spans="1:8" ht="13.8" thickBot="1" x14ac:dyDescent="0.3">
      <c r="A26" s="41"/>
      <c r="B26" s="42" t="s">
        <v>241</v>
      </c>
      <c r="C26" s="43" t="s">
        <v>241</v>
      </c>
      <c r="D26" s="43" t="s">
        <v>241</v>
      </c>
      <c r="E26" s="43" t="s">
        <v>241</v>
      </c>
      <c r="F26" s="44"/>
      <c r="G26" s="45" t="s">
        <v>241</v>
      </c>
      <c r="H26" s="46" t="s">
        <v>241</v>
      </c>
    </row>
    <row r="31" spans="1:8" x14ac:dyDescent="0.25">
      <c r="A31" s="47"/>
      <c r="B31" s="48"/>
      <c r="C31" s="49"/>
      <c r="D31" s="55"/>
      <c r="E31" s="49"/>
      <c r="F31" s="49"/>
      <c r="G31" s="50"/>
      <c r="H31" s="51"/>
    </row>
    <row r="32" spans="1:8" ht="16.2" thickBot="1" x14ac:dyDescent="0.35">
      <c r="A32" s="4" t="s">
        <v>25</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x14ac:dyDescent="0.25">
      <c r="A35" s="198" t="s">
        <v>17</v>
      </c>
      <c r="B35" s="19" t="s">
        <v>3</v>
      </c>
      <c r="C35" s="80">
        <v>6807.4207896280004</v>
      </c>
      <c r="D35" s="80">
        <v>6790.1078110569997</v>
      </c>
      <c r="E35" s="83">
        <v>7461.0390863120001</v>
      </c>
      <c r="F35" s="22" t="s">
        <v>241</v>
      </c>
      <c r="G35" s="23">
        <v>9.6015556681889507</v>
      </c>
      <c r="H35" s="24">
        <v>9.881010639661099</v>
      </c>
    </row>
    <row r="36" spans="1:8" x14ac:dyDescent="0.25">
      <c r="A36" s="199"/>
      <c r="B36" s="25" t="s">
        <v>241</v>
      </c>
      <c r="C36" s="82" t="s">
        <v>241</v>
      </c>
      <c r="D36" s="82" t="s">
        <v>241</v>
      </c>
      <c r="E36" s="82" t="s">
        <v>241</v>
      </c>
      <c r="F36" s="27"/>
      <c r="G36" s="28" t="s">
        <v>241</v>
      </c>
      <c r="H36" s="29" t="s">
        <v>241</v>
      </c>
    </row>
    <row r="37" spans="1:8" x14ac:dyDescent="0.25">
      <c r="A37" s="30" t="s">
        <v>18</v>
      </c>
      <c r="B37" s="31" t="s">
        <v>3</v>
      </c>
      <c r="C37" s="80">
        <v>2830.8001216910002</v>
      </c>
      <c r="D37" s="80">
        <v>2564.4249916889999</v>
      </c>
      <c r="E37" s="83">
        <v>2583.8458609519998</v>
      </c>
      <c r="F37" s="22" t="s">
        <v>241</v>
      </c>
      <c r="G37" s="32">
        <v>-8.7238324898573296</v>
      </c>
      <c r="H37" s="33">
        <v>0.75731867088882154</v>
      </c>
    </row>
    <row r="38" spans="1:8" x14ac:dyDescent="0.25">
      <c r="A38" s="34"/>
      <c r="B38" s="25" t="s">
        <v>241</v>
      </c>
      <c r="C38" s="82" t="s">
        <v>241</v>
      </c>
      <c r="D38" s="82" t="s">
        <v>241</v>
      </c>
      <c r="E38" s="82" t="s">
        <v>241</v>
      </c>
      <c r="F38" s="27"/>
      <c r="G38" s="35" t="s">
        <v>241</v>
      </c>
      <c r="H38" s="29" t="s">
        <v>241</v>
      </c>
    </row>
    <row r="39" spans="1:8" x14ac:dyDescent="0.25">
      <c r="A39" s="30" t="s">
        <v>19</v>
      </c>
      <c r="B39" s="31" t="s">
        <v>3</v>
      </c>
      <c r="C39" s="80">
        <v>2120.99150964</v>
      </c>
      <c r="D39" s="80">
        <v>2088.270554571</v>
      </c>
      <c r="E39" s="83">
        <v>2736.5334327549999</v>
      </c>
      <c r="F39" s="22" t="s">
        <v>241</v>
      </c>
      <c r="G39" s="37">
        <v>29.021423250273983</v>
      </c>
      <c r="H39" s="33">
        <v>31.043050277418416</v>
      </c>
    </row>
    <row r="40" spans="1:8" x14ac:dyDescent="0.25">
      <c r="A40" s="34"/>
      <c r="B40" s="25" t="s">
        <v>241</v>
      </c>
      <c r="C40" s="82" t="s">
        <v>241</v>
      </c>
      <c r="D40" s="82" t="s">
        <v>241</v>
      </c>
      <c r="E40" s="82" t="s">
        <v>241</v>
      </c>
      <c r="F40" s="27"/>
      <c r="G40" s="28" t="s">
        <v>241</v>
      </c>
      <c r="H40" s="29" t="s">
        <v>241</v>
      </c>
    </row>
    <row r="41" spans="1:8" x14ac:dyDescent="0.25">
      <c r="A41" s="30" t="s">
        <v>20</v>
      </c>
      <c r="B41" s="31" t="s">
        <v>3</v>
      </c>
      <c r="C41" s="80">
        <v>485.46638707900001</v>
      </c>
      <c r="D41" s="80">
        <v>448.54219735800001</v>
      </c>
      <c r="E41" s="83">
        <v>423.23251028499999</v>
      </c>
      <c r="F41" s="22" t="s">
        <v>241</v>
      </c>
      <c r="G41" s="23">
        <v>-12.81939974638712</v>
      </c>
      <c r="H41" s="24">
        <v>-5.6426546313989974</v>
      </c>
    </row>
    <row r="42" spans="1:8" x14ac:dyDescent="0.25">
      <c r="A42" s="34"/>
      <c r="B42" s="25" t="s">
        <v>241</v>
      </c>
      <c r="C42" s="82" t="s">
        <v>241</v>
      </c>
      <c r="D42" s="82" t="s">
        <v>241</v>
      </c>
      <c r="E42" s="82" t="s">
        <v>241</v>
      </c>
      <c r="F42" s="27"/>
      <c r="G42" s="38" t="s">
        <v>241</v>
      </c>
      <c r="H42" s="24" t="s">
        <v>241</v>
      </c>
    </row>
    <row r="43" spans="1:8" x14ac:dyDescent="0.25">
      <c r="A43" s="30" t="s">
        <v>21</v>
      </c>
      <c r="B43" s="31" t="s">
        <v>3</v>
      </c>
      <c r="C43" s="80">
        <v>39.793208067999998</v>
      </c>
      <c r="D43" s="80">
        <v>39.498257234</v>
      </c>
      <c r="E43" s="83">
        <v>44.045885796999997</v>
      </c>
      <c r="F43" s="22" t="s">
        <v>241</v>
      </c>
      <c r="G43" s="37">
        <v>10.686943665695097</v>
      </c>
      <c r="H43" s="33">
        <v>11.51349168662918</v>
      </c>
    </row>
    <row r="44" spans="1:8" x14ac:dyDescent="0.25">
      <c r="A44" s="34"/>
      <c r="B44" s="25" t="s">
        <v>241</v>
      </c>
      <c r="C44" s="82" t="s">
        <v>241</v>
      </c>
      <c r="D44" s="82" t="s">
        <v>241</v>
      </c>
      <c r="E44" s="82" t="s">
        <v>241</v>
      </c>
      <c r="F44" s="27"/>
      <c r="G44" s="28" t="s">
        <v>241</v>
      </c>
      <c r="H44" s="29" t="s">
        <v>241</v>
      </c>
    </row>
    <row r="45" spans="1:8" x14ac:dyDescent="0.25">
      <c r="A45" s="30" t="s">
        <v>22</v>
      </c>
      <c r="B45" s="31" t="s">
        <v>3</v>
      </c>
      <c r="C45" s="80">
        <v>34.833901992999998</v>
      </c>
      <c r="D45" s="80">
        <v>29.563462560000001</v>
      </c>
      <c r="E45" s="83">
        <v>29.401197695</v>
      </c>
      <c r="F45" s="22" t="s">
        <v>241</v>
      </c>
      <c r="G45" s="37">
        <v>-15.596025673758049</v>
      </c>
      <c r="H45" s="33">
        <v>-0.54886962131271844</v>
      </c>
    </row>
    <row r="46" spans="1:8" x14ac:dyDescent="0.25">
      <c r="A46" s="34"/>
      <c r="B46" s="25" t="s">
        <v>241</v>
      </c>
      <c r="C46" s="82" t="s">
        <v>241</v>
      </c>
      <c r="D46" s="82" t="s">
        <v>241</v>
      </c>
      <c r="E46" s="82" t="s">
        <v>241</v>
      </c>
      <c r="F46" s="27"/>
      <c r="G46" s="28" t="s">
        <v>241</v>
      </c>
      <c r="H46" s="29" t="s">
        <v>241</v>
      </c>
    </row>
    <row r="47" spans="1:8" x14ac:dyDescent="0.25">
      <c r="A47" s="30" t="s">
        <v>190</v>
      </c>
      <c r="B47" s="31" t="s">
        <v>3</v>
      </c>
      <c r="C47" s="80">
        <v>637.97423078500003</v>
      </c>
      <c r="D47" s="80">
        <v>771.24210641699995</v>
      </c>
      <c r="E47" s="83">
        <v>862.62571507600001</v>
      </c>
      <c r="F47" s="22" t="s">
        <v>241</v>
      </c>
      <c r="G47" s="23">
        <v>35.213253678691046</v>
      </c>
      <c r="H47" s="24">
        <v>11.848887385511887</v>
      </c>
    </row>
    <row r="48" spans="1:8" x14ac:dyDescent="0.25">
      <c r="A48" s="30"/>
      <c r="B48" s="25" t="s">
        <v>241</v>
      </c>
      <c r="C48" s="82" t="s">
        <v>241</v>
      </c>
      <c r="D48" s="82" t="s">
        <v>241</v>
      </c>
      <c r="E48" s="82" t="s">
        <v>241</v>
      </c>
      <c r="F48" s="27"/>
      <c r="G48" s="38" t="s">
        <v>241</v>
      </c>
      <c r="H48" s="24" t="s">
        <v>241</v>
      </c>
    </row>
    <row r="49" spans="1:8" x14ac:dyDescent="0.25">
      <c r="A49" s="39" t="s">
        <v>12</v>
      </c>
      <c r="B49" s="31" t="s">
        <v>3</v>
      </c>
      <c r="C49" s="80">
        <v>24.998838828</v>
      </c>
      <c r="D49" s="80">
        <v>19.986266241999999</v>
      </c>
      <c r="E49" s="83">
        <v>19.688462147999999</v>
      </c>
      <c r="F49" s="22" t="s">
        <v>241</v>
      </c>
      <c r="G49" s="37">
        <v>-21.242493367540348</v>
      </c>
      <c r="H49" s="33">
        <v>-1.4900436649551949</v>
      </c>
    </row>
    <row r="50" spans="1:8" x14ac:dyDescent="0.25">
      <c r="A50" s="34"/>
      <c r="B50" s="25" t="s">
        <v>241</v>
      </c>
      <c r="C50" s="82" t="s">
        <v>241</v>
      </c>
      <c r="D50" s="82" t="s">
        <v>241</v>
      </c>
      <c r="E50" s="82" t="s">
        <v>241</v>
      </c>
      <c r="F50" s="27"/>
      <c r="G50" s="28" t="s">
        <v>241</v>
      </c>
      <c r="H50" s="29" t="s">
        <v>241</v>
      </c>
    </row>
    <row r="51" spans="1:8" x14ac:dyDescent="0.25">
      <c r="A51" s="39" t="s">
        <v>23</v>
      </c>
      <c r="B51" s="31" t="s">
        <v>3</v>
      </c>
      <c r="C51" s="80">
        <v>272.01475705500002</v>
      </c>
      <c r="D51" s="80">
        <v>279.49904548299997</v>
      </c>
      <c r="E51" s="83">
        <v>284.09974607999999</v>
      </c>
      <c r="F51" s="22" t="s">
        <v>241</v>
      </c>
      <c r="G51" s="23">
        <v>4.4427696334711868</v>
      </c>
      <c r="H51" s="24">
        <v>1.6460523466366652</v>
      </c>
    </row>
    <row r="52" spans="1:8" x14ac:dyDescent="0.25">
      <c r="A52" s="34"/>
      <c r="B52" s="25" t="s">
        <v>241</v>
      </c>
      <c r="C52" s="82" t="s">
        <v>241</v>
      </c>
      <c r="D52" s="82" t="s">
        <v>241</v>
      </c>
      <c r="E52" s="82" t="s">
        <v>241</v>
      </c>
      <c r="F52" s="27"/>
      <c r="G52" s="28" t="s">
        <v>241</v>
      </c>
      <c r="H52" s="29" t="s">
        <v>241</v>
      </c>
    </row>
    <row r="53" spans="1:8" x14ac:dyDescent="0.25">
      <c r="A53" s="30" t="s">
        <v>24</v>
      </c>
      <c r="B53" s="31" t="s">
        <v>3</v>
      </c>
      <c r="C53" s="80">
        <v>360.54683448999998</v>
      </c>
      <c r="D53" s="80">
        <v>549.080929502</v>
      </c>
      <c r="E53" s="83">
        <v>477.56627552399999</v>
      </c>
      <c r="F53" s="22" t="s">
        <v>241</v>
      </c>
      <c r="G53" s="23">
        <v>32.45609996812928</v>
      </c>
      <c r="H53" s="24">
        <v>-13.024428665344772</v>
      </c>
    </row>
    <row r="54" spans="1:8" ht="13.8" thickBot="1" x14ac:dyDescent="0.3">
      <c r="A54" s="41"/>
      <c r="B54" s="42" t="s">
        <v>241</v>
      </c>
      <c r="C54" s="86" t="s">
        <v>241</v>
      </c>
      <c r="D54" s="86" t="s">
        <v>241</v>
      </c>
      <c r="E54" s="86" t="s">
        <v>241</v>
      </c>
      <c r="F54" s="44"/>
      <c r="G54" s="45" t="s">
        <v>241</v>
      </c>
      <c r="H54" s="46" t="s">
        <v>241</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242</v>
      </c>
      <c r="G61" s="53"/>
      <c r="H61" s="201">
        <v>13</v>
      </c>
    </row>
    <row r="62" spans="1:8" ht="12.75" customHeight="1" x14ac:dyDescent="0.25">
      <c r="A62" s="54" t="s">
        <v>243</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8</vt:i4>
      </vt:variant>
    </vt:vector>
  </HeadingPairs>
  <TitlesOfParts>
    <vt:vector size="31"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Print_Area</vt:lpstr>
      <vt:lpstr>pros_1</vt:lpstr>
      <vt:lpstr>pros_2</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Harald Moseby</cp:lastModifiedBy>
  <cp:lastPrinted>2014-09-12T11:46:46Z</cp:lastPrinted>
  <dcterms:created xsi:type="dcterms:W3CDTF">2002-02-09T09:48:14Z</dcterms:created>
  <dcterms:modified xsi:type="dcterms:W3CDTF">2017-02-14T14:04:46Z</dcterms:modified>
</cp:coreProperties>
</file>