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charts/chart10.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4.xml" ContentType="application/vnd.openxmlformats-officedocument.drawingml.chart+xml"/>
  <Override PartName="/xl/worksheets/sheet1.xml" ContentType="application/vnd.openxmlformats-officedocument.spreadsheetml.worksheet+xml"/>
  <Override PartName="/xl/charts/chart2.xml" ContentType="application/vnd.openxmlformats-officedocument.drawingml.char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3.xml" ContentType="application/vnd.openxmlformats-officedocument.drawingml.chart+xml"/>
  <Override PartName="/xl/drawings/drawing3.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7665" yWindow="-15" windowWidth="7350" windowHeight="5295" tabRatio="721" activeTab="1"/>
  </bookViews>
  <sheets>
    <sheet name="Forside " sheetId="42"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15" r:id="rId17"/>
    <sheet name="Tab16" sheetId="16" r:id="rId18"/>
    <sheet name="Tab17" sheetId="17" r:id="rId19"/>
    <sheet name="Tab18" sheetId="24" r:id="rId20"/>
  </sheets>
  <externalReferences>
    <externalReference r:id="rId21"/>
  </externalReferences>
  <definedNames>
    <definedName name="aar">'Tab3'!$E$6</definedName>
    <definedName name="aar_1">'Tab3'!$D$6</definedName>
    <definedName name="aar_2">'Tab3'!$C$6</definedName>
    <definedName name="aaret_i_alt">'Tab3'!$B$7</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#REF!</definedName>
    <definedName name="_xlnm.Print_Area" localSheetId="0">'Forside '!$A$1:$H$56</definedName>
    <definedName name="_xlnm.Print_Area" localSheetId="1">Innhold!$B$4:$H$124</definedName>
    <definedName name="_xlnm.Print_Area" localSheetId="2">'Tab1'!$A$3:$G$52</definedName>
    <definedName name="_xlnm.Print_Area" localSheetId="11">'Tab10'!$A$4:$H$62</definedName>
    <definedName name="_xlnm.Print_Area" localSheetId="12">'Tab11'!$A$4:$H$62</definedName>
    <definedName name="_xlnm.Print_Area" localSheetId="13">'Tab12'!$A$4:$H$62</definedName>
    <definedName name="_xlnm.Print_Area" localSheetId="14">'Tab13'!$A$4:$H$62</definedName>
    <definedName name="_xlnm.Print_Area" localSheetId="15">'Tab14'!$A$4:$H$62</definedName>
    <definedName name="_xlnm.Print_Area" localSheetId="16">'Tab15'!$A$4:$H$62</definedName>
    <definedName name="_xlnm.Print_Area" localSheetId="17">'Tab16'!$A$4:$H$62</definedName>
    <definedName name="_xlnm.Print_Area" localSheetId="18">'Tab17'!$A$4:$H$62</definedName>
    <definedName name="_xlnm.Print_Area" localSheetId="19">'Tab18'!$A$4:$N$53</definedName>
    <definedName name="_xlnm.Print_Area" localSheetId="3">'Tab2'!$A$4:$AJ$62</definedName>
    <definedName name="_xlnm.Print_Area" localSheetId="4">'Tab3'!$A$4:$H$62</definedName>
    <definedName name="_xlnm.Print_Area" localSheetId="5">'Tab4'!$A$4:$H$62</definedName>
    <definedName name="_xlnm.Print_Area" localSheetId="6">'Tab5'!$A$4:$H$62</definedName>
    <definedName name="_xlnm.Print_Area" localSheetId="7">'Tab6'!$A$4:$H$62</definedName>
    <definedName name="_xlnm.Print_Area" localSheetId="8">'Tab7'!$A$4:$H$62</definedName>
    <definedName name="_xlnm.Print_Area" localSheetId="9">'Tab8'!$A$4:$H$62</definedName>
    <definedName name="_xlnm.Print_Area" localSheetId="10">'Tab9'!$A$4:$H$62</definedName>
    <definedName name="_xlnm.Print_Area">'Tab9'!$A$4:$H$62</definedName>
    <definedName name="pros_1">'Tab3'!$H$6</definedName>
    <definedName name="pros_2">'Tab3'!$G$6</definedName>
  </definedNames>
  <calcPr calcId="125725"/>
</workbook>
</file>

<file path=xl/calcChain.xml><?xml version="1.0" encoding="utf-8"?>
<calcChain xmlns="http://schemas.openxmlformats.org/spreadsheetml/2006/main">
  <c r="I69" i="19"/>
  <c r="D194"/>
  <c r="C194"/>
  <c r="H124" i="21" l="1"/>
  <c r="H123"/>
  <c r="C193" i="19"/>
  <c r="D193"/>
  <c r="D192"/>
  <c r="C192"/>
  <c r="D191"/>
  <c r="C191"/>
  <c r="Q191"/>
  <c r="C190"/>
  <c r="D190"/>
  <c r="D189"/>
  <c r="C189"/>
  <c r="D188"/>
  <c r="C188"/>
  <c r="D187"/>
  <c r="C187"/>
  <c r="C186"/>
  <c r="D186"/>
  <c r="B15" i="21"/>
  <c r="AD32" i="19"/>
  <c r="B20" i="21" s="1"/>
  <c r="AD6" i="19"/>
  <c r="B19" i="21" s="1"/>
  <c r="X112" i="19" l="1"/>
  <c r="W112"/>
  <c r="T193"/>
  <c r="Q193"/>
  <c r="N193"/>
  <c r="T192"/>
  <c r="T191"/>
  <c r="Q192"/>
  <c r="N192"/>
  <c r="T189"/>
  <c r="Q188"/>
  <c r="N186"/>
  <c r="T187"/>
  <c r="N188"/>
  <c r="N190"/>
  <c r="N191"/>
  <c r="Q186"/>
  <c r="Q187"/>
  <c r="N187"/>
  <c r="N189"/>
  <c r="Q190"/>
  <c r="T188"/>
  <c r="Q189"/>
  <c r="T190"/>
  <c r="T186"/>
  <c r="D185"/>
  <c r="C185"/>
  <c r="D184"/>
  <c r="C184"/>
  <c r="N181"/>
  <c r="D183"/>
  <c r="C183"/>
  <c r="D182"/>
  <c r="C182"/>
  <c r="C181"/>
  <c r="D181"/>
  <c r="C180"/>
  <c r="D180"/>
  <c r="I32"/>
  <c r="B14" i="21" s="1"/>
  <c r="N108" i="19"/>
  <c r="D179"/>
  <c r="C179"/>
  <c r="D178"/>
  <c r="C178"/>
  <c r="C177"/>
  <c r="D177"/>
  <c r="D176"/>
  <c r="C176"/>
  <c r="D175"/>
  <c r="C175"/>
  <c r="D174"/>
  <c r="C174"/>
  <c r="D173"/>
  <c r="C173"/>
  <c r="D172"/>
  <c r="C172"/>
  <c r="D171"/>
  <c r="C171"/>
  <c r="D170"/>
  <c r="C170"/>
  <c r="D169"/>
  <c r="C169"/>
  <c r="D168"/>
  <c r="C168"/>
  <c r="D167"/>
  <c r="C167"/>
  <c r="D166"/>
  <c r="C166"/>
  <c r="D165"/>
  <c r="C165"/>
  <c r="D164"/>
  <c r="C164"/>
  <c r="D163"/>
  <c r="C163"/>
  <c r="D162"/>
  <c r="C162"/>
  <c r="D161"/>
  <c r="C161"/>
  <c r="D160"/>
  <c r="C160"/>
  <c r="D156"/>
  <c r="D159"/>
  <c r="C159"/>
  <c r="C158"/>
  <c r="D158"/>
  <c r="D157"/>
  <c r="C157"/>
  <c r="C156"/>
  <c r="C112"/>
  <c r="C113" s="1"/>
  <c r="C114" s="1"/>
  <c r="D112"/>
  <c r="D113" s="1"/>
  <c r="D114" s="1"/>
  <c r="C116"/>
  <c r="D116"/>
  <c r="D117" s="1"/>
  <c r="D118" s="1"/>
  <c r="C120"/>
  <c r="C121" s="1"/>
  <c r="C122" s="1"/>
  <c r="D120"/>
  <c r="D121" s="1"/>
  <c r="D122" s="1"/>
  <c r="C124"/>
  <c r="C125" s="1"/>
  <c r="C126" s="1"/>
  <c r="D124"/>
  <c r="D125" s="1"/>
  <c r="D126" s="1"/>
  <c r="C128"/>
  <c r="C129" s="1"/>
  <c r="C130" s="1"/>
  <c r="D128"/>
  <c r="D129" s="1"/>
  <c r="D130" s="1"/>
  <c r="C132"/>
  <c r="C133" s="1"/>
  <c r="D132"/>
  <c r="D133" s="1"/>
  <c r="C134"/>
  <c r="D134"/>
  <c r="C135"/>
  <c r="D135"/>
  <c r="C136"/>
  <c r="D136"/>
  <c r="C137"/>
  <c r="D137"/>
  <c r="C138"/>
  <c r="D138"/>
  <c r="C139"/>
  <c r="D139"/>
  <c r="C140"/>
  <c r="D140"/>
  <c r="C141"/>
  <c r="D141"/>
  <c r="C142"/>
  <c r="D142"/>
  <c r="C143"/>
  <c r="D143"/>
  <c r="C144"/>
  <c r="D144"/>
  <c r="C145"/>
  <c r="D145"/>
  <c r="C146"/>
  <c r="D146"/>
  <c r="C147"/>
  <c r="D147"/>
  <c r="C148"/>
  <c r="D148"/>
  <c r="C149"/>
  <c r="D149"/>
  <c r="C150"/>
  <c r="D150"/>
  <c r="C151"/>
  <c r="D151"/>
  <c r="C152"/>
  <c r="D152"/>
  <c r="C153"/>
  <c r="D153"/>
  <c r="C154"/>
  <c r="D154"/>
  <c r="C155"/>
  <c r="D155"/>
  <c r="H24" i="21"/>
  <c r="H26" s="1"/>
  <c r="Y112" i="19" l="1"/>
  <c r="N185"/>
  <c r="N184"/>
  <c r="T104"/>
  <c r="T108"/>
  <c r="T112"/>
  <c r="T116"/>
  <c r="T120"/>
  <c r="T124"/>
  <c r="T128"/>
  <c r="T132"/>
  <c r="T136"/>
  <c r="T140"/>
  <c r="T144"/>
  <c r="T148"/>
  <c r="T152"/>
  <c r="T156"/>
  <c r="T160"/>
  <c r="T164"/>
  <c r="T168"/>
  <c r="T172"/>
  <c r="T176"/>
  <c r="T180"/>
  <c r="T184"/>
  <c r="Q106"/>
  <c r="Q110"/>
  <c r="Q114"/>
  <c r="Q118"/>
  <c r="Q122"/>
  <c r="Q126"/>
  <c r="Q130"/>
  <c r="Q134"/>
  <c r="Q138"/>
  <c r="Q142"/>
  <c r="Q146"/>
  <c r="Q150"/>
  <c r="Q154"/>
  <c r="Q158"/>
  <c r="Q162"/>
  <c r="Q166"/>
  <c r="Q170"/>
  <c r="Q174"/>
  <c r="Q178"/>
  <c r="Q182"/>
  <c r="T103"/>
  <c r="T145"/>
  <c r="T161"/>
  <c r="T173"/>
  <c r="T185"/>
  <c r="Q111"/>
  <c r="Q123"/>
  <c r="Q139"/>
  <c r="Q155"/>
  <c r="Q167"/>
  <c r="Q175"/>
  <c r="Q103"/>
  <c r="T107"/>
  <c r="T111"/>
  <c r="T115"/>
  <c r="T119"/>
  <c r="T123"/>
  <c r="T127"/>
  <c r="T131"/>
  <c r="T135"/>
  <c r="T139"/>
  <c r="T143"/>
  <c r="T147"/>
  <c r="T151"/>
  <c r="T155"/>
  <c r="T159"/>
  <c r="T163"/>
  <c r="T167"/>
  <c r="T171"/>
  <c r="T175"/>
  <c r="T179"/>
  <c r="T183"/>
  <c r="Q105"/>
  <c r="Q109"/>
  <c r="Q113"/>
  <c r="Q117"/>
  <c r="Q121"/>
  <c r="Q125"/>
  <c r="Q129"/>
  <c r="Q133"/>
  <c r="Q137"/>
  <c r="Q141"/>
  <c r="Q145"/>
  <c r="Q149"/>
  <c r="Q153"/>
  <c r="Q157"/>
  <c r="Q161"/>
  <c r="Q165"/>
  <c r="Q169"/>
  <c r="Q173"/>
  <c r="Q177"/>
  <c r="Q181"/>
  <c r="Q185"/>
  <c r="T137"/>
  <c r="T153"/>
  <c r="T169"/>
  <c r="T181"/>
  <c r="Q115"/>
  <c r="Q127"/>
  <c r="Q135"/>
  <c r="Q151"/>
  <c r="Q163"/>
  <c r="Q179"/>
  <c r="T106"/>
  <c r="T110"/>
  <c r="T114"/>
  <c r="T118"/>
  <c r="T122"/>
  <c r="T126"/>
  <c r="T130"/>
  <c r="T134"/>
  <c r="T138"/>
  <c r="T142"/>
  <c r="T146"/>
  <c r="T150"/>
  <c r="T154"/>
  <c r="T158"/>
  <c r="T162"/>
  <c r="T166"/>
  <c r="T170"/>
  <c r="T174"/>
  <c r="T178"/>
  <c r="T182"/>
  <c r="Q104"/>
  <c r="Q108"/>
  <c r="Q112"/>
  <c r="Q116"/>
  <c r="Q120"/>
  <c r="Q124"/>
  <c r="Q128"/>
  <c r="Q132"/>
  <c r="Q136"/>
  <c r="Q140"/>
  <c r="Q144"/>
  <c r="Q148"/>
  <c r="Q152"/>
  <c r="Q156"/>
  <c r="Q160"/>
  <c r="Q164"/>
  <c r="Q168"/>
  <c r="Q172"/>
  <c r="Q176"/>
  <c r="Q180"/>
  <c r="Q184"/>
  <c r="T105"/>
  <c r="T109"/>
  <c r="T113"/>
  <c r="T117"/>
  <c r="T121"/>
  <c r="T125"/>
  <c r="T129"/>
  <c r="T133"/>
  <c r="T141"/>
  <c r="T149"/>
  <c r="T157"/>
  <c r="T165"/>
  <c r="T177"/>
  <c r="Q107"/>
  <c r="Q119"/>
  <c r="Q131"/>
  <c r="Q143"/>
  <c r="Q147"/>
  <c r="Q159"/>
  <c r="Q171"/>
  <c r="Q183"/>
  <c r="N183"/>
  <c r="N180"/>
  <c r="I6"/>
  <c r="B13" i="21" s="1"/>
  <c r="AJ61" i="19"/>
  <c r="V62"/>
  <c r="N53" i="24"/>
  <c r="AJ62" i="19"/>
  <c r="H28" i="21"/>
  <c r="H29" s="1"/>
  <c r="H31" s="1"/>
  <c r="H32" s="1"/>
  <c r="H27"/>
  <c r="H62" i="19"/>
  <c r="N106"/>
  <c r="N104"/>
  <c r="N102"/>
  <c r="N100"/>
  <c r="N98"/>
  <c r="N96"/>
  <c r="N94"/>
  <c r="N92"/>
  <c r="N90"/>
  <c r="N88"/>
  <c r="N86"/>
  <c r="N84"/>
  <c r="N82"/>
  <c r="N80"/>
  <c r="N78"/>
  <c r="N76"/>
  <c r="N74"/>
  <c r="N72"/>
  <c r="C117"/>
  <c r="C118" s="1"/>
  <c r="N105"/>
  <c r="N103"/>
  <c r="N101"/>
  <c r="N99"/>
  <c r="N97"/>
  <c r="N95"/>
  <c r="N93"/>
  <c r="N91"/>
  <c r="N89"/>
  <c r="N87"/>
  <c r="N85"/>
  <c r="N83"/>
  <c r="N81"/>
  <c r="N79"/>
  <c r="N77"/>
  <c r="N75"/>
  <c r="N73"/>
  <c r="N71"/>
  <c r="H61"/>
  <c r="N52" i="24"/>
  <c r="X125" i="19"/>
  <c r="X84"/>
  <c r="W84"/>
  <c r="W125"/>
  <c r="B62" i="21"/>
  <c r="A52" i="23"/>
  <c r="W62" i="19"/>
  <c r="I62"/>
  <c r="A53" i="24"/>
  <c r="O197" i="19"/>
  <c r="O195" s="1"/>
  <c r="B61" i="21"/>
  <c r="V61" i="19"/>
  <c r="X124"/>
  <c r="A51" i="23"/>
  <c r="W61" i="19"/>
  <c r="I61"/>
  <c r="A52" i="24"/>
  <c r="X133" i="19"/>
  <c r="X131"/>
  <c r="X86"/>
  <c r="X92"/>
  <c r="Y121"/>
  <c r="W82"/>
  <c r="W100" s="1"/>
  <c r="W111" s="1"/>
  <c r="X70"/>
  <c r="X121"/>
  <c r="X132"/>
  <c r="W123"/>
  <c r="W128"/>
  <c r="Z70"/>
  <c r="Y82"/>
  <c r="Y100" s="1"/>
  <c r="Y111" s="1"/>
  <c r="Y128"/>
  <c r="W129"/>
  <c r="W133"/>
  <c r="W86"/>
  <c r="N177"/>
  <c r="N175"/>
  <c r="N173"/>
  <c r="N171"/>
  <c r="N169"/>
  <c r="N167"/>
  <c r="N165"/>
  <c r="N163"/>
  <c r="N161"/>
  <c r="N159"/>
  <c r="N157"/>
  <c r="N155"/>
  <c r="N153"/>
  <c r="N151"/>
  <c r="N149"/>
  <c r="N147"/>
  <c r="N145"/>
  <c r="N143"/>
  <c r="N141"/>
  <c r="N139"/>
  <c r="N137"/>
  <c r="N135"/>
  <c r="N133"/>
  <c r="N131"/>
  <c r="N129"/>
  <c r="N127"/>
  <c r="N125"/>
  <c r="N123"/>
  <c r="N121"/>
  <c r="N119"/>
  <c r="N117"/>
  <c r="N115"/>
  <c r="N113"/>
  <c r="N111"/>
  <c r="N109"/>
  <c r="N107"/>
  <c r="N178"/>
  <c r="N176"/>
  <c r="N174"/>
  <c r="N172"/>
  <c r="N170"/>
  <c r="N168"/>
  <c r="N166"/>
  <c r="N164"/>
  <c r="N162"/>
  <c r="N160"/>
  <c r="N158"/>
  <c r="N156"/>
  <c r="N154"/>
  <c r="N152"/>
  <c r="N150"/>
  <c r="N148"/>
  <c r="N146"/>
  <c r="N144"/>
  <c r="N142"/>
  <c r="N140"/>
  <c r="N138"/>
  <c r="N136"/>
  <c r="N134"/>
  <c r="N132"/>
  <c r="N130"/>
  <c r="N128"/>
  <c r="N126"/>
  <c r="N124"/>
  <c r="N122"/>
  <c r="N120"/>
  <c r="N118"/>
  <c r="N116"/>
  <c r="N114"/>
  <c r="N112"/>
  <c r="N110"/>
  <c r="W132"/>
  <c r="X128"/>
  <c r="Y70"/>
  <c r="W121"/>
  <c r="H33" i="21" l="1"/>
  <c r="H34" s="1"/>
  <c r="H35" s="1"/>
  <c r="H36" s="1"/>
  <c r="H37" s="1"/>
  <c r="H38" s="1"/>
  <c r="H40" s="1"/>
  <c r="H43" s="1"/>
  <c r="W114" i="19"/>
  <c r="X101"/>
  <c r="R197"/>
  <c r="R195" s="1"/>
  <c r="P197"/>
  <c r="P195" s="1"/>
  <c r="W6"/>
  <c r="B17" i="21" s="1"/>
  <c r="W32" i="19"/>
  <c r="B18" i="21" s="1"/>
  <c r="P32" i="19"/>
  <c r="B16" i="21" s="1"/>
  <c r="A6" i="19"/>
  <c r="B11" i="21" s="1"/>
  <c r="A32" i="19"/>
  <c r="B12" i="21" s="1"/>
  <c r="S197" i="19"/>
  <c r="S195" s="1"/>
  <c r="X77"/>
  <c r="X91"/>
  <c r="W83"/>
  <c r="W91"/>
  <c r="X89"/>
  <c r="W87"/>
  <c r="X103"/>
  <c r="W106"/>
  <c r="X129"/>
  <c r="X114"/>
  <c r="W117"/>
  <c r="X106"/>
  <c r="X85"/>
  <c r="W90"/>
  <c r="X102"/>
  <c r="W85"/>
  <c r="W101"/>
  <c r="X75"/>
  <c r="W88"/>
  <c r="Z76"/>
  <c r="Y88"/>
  <c r="W122"/>
  <c r="X122"/>
  <c r="Y133"/>
  <c r="Y85"/>
  <c r="W103"/>
  <c r="W102"/>
  <c r="W113"/>
  <c r="L197"/>
  <c r="L195" s="1"/>
  <c r="X117"/>
  <c r="X113"/>
  <c r="M197"/>
  <c r="M195" s="1"/>
  <c r="X74"/>
  <c r="X72"/>
  <c r="W89"/>
  <c r="X123"/>
  <c r="X130"/>
  <c r="Y123"/>
  <c r="E196"/>
  <c r="Y129"/>
  <c r="X76"/>
  <c r="Z74"/>
  <c r="X83"/>
  <c r="Y83"/>
  <c r="Y91"/>
  <c r="W92"/>
  <c r="Y92"/>
  <c r="X87"/>
  <c r="X90"/>
  <c r="X88"/>
  <c r="Y122"/>
  <c r="Y124"/>
  <c r="X82"/>
  <c r="X100" s="1"/>
  <c r="X111" s="1"/>
  <c r="W124"/>
  <c r="Y130"/>
  <c r="W130"/>
  <c r="Y72"/>
  <c r="Y74"/>
  <c r="Y76"/>
  <c r="Y77"/>
  <c r="Z72"/>
  <c r="Y75"/>
  <c r="W131"/>
  <c r="H41" i="21" l="1"/>
  <c r="Y131" i="19"/>
  <c r="Y106"/>
  <c r="Y117"/>
  <c r="Y125"/>
  <c r="Y103"/>
  <c r="Y87"/>
  <c r="G196"/>
  <c r="Z77"/>
  <c r="Y101"/>
  <c r="Z75"/>
  <c r="X104"/>
  <c r="R196"/>
  <c r="R194" s="1"/>
  <c r="S196"/>
  <c r="S194" s="1"/>
  <c r="T194" s="1"/>
  <c r="P196"/>
  <c r="P194" s="1"/>
  <c r="Q194" s="1"/>
  <c r="O196"/>
  <c r="O194" s="1"/>
  <c r="L196"/>
  <c r="L194" s="1"/>
  <c r="X78"/>
  <c r="Y89"/>
  <c r="M196"/>
  <c r="M194" s="1"/>
  <c r="N194" s="1"/>
  <c r="W93"/>
  <c r="W95" s="1"/>
  <c r="Y114"/>
  <c r="Y102"/>
  <c r="Y113"/>
  <c r="H45" i="21"/>
  <c r="H46" s="1"/>
  <c r="H44"/>
  <c r="X115" i="19"/>
  <c r="Y132"/>
  <c r="Y84"/>
  <c r="Y86"/>
  <c r="Y90"/>
  <c r="W104"/>
  <c r="W115"/>
  <c r="X93"/>
  <c r="X95" s="1"/>
  <c r="N179"/>
  <c r="Y78"/>
  <c r="Z78" l="1"/>
  <c r="H66" i="21"/>
  <c r="H67" s="1"/>
  <c r="H69" s="1"/>
  <c r="H70" s="1"/>
  <c r="H72" s="1"/>
  <c r="H73" s="1"/>
  <c r="H75" s="1"/>
  <c r="H76" s="1"/>
  <c r="H78" s="1"/>
  <c r="Y93" i="19"/>
  <c r="Y95" s="1"/>
  <c r="Y115"/>
  <c r="Y104"/>
  <c r="N182"/>
</calcChain>
</file>

<file path=xl/sharedStrings.xml><?xml version="1.0" encoding="utf-8"?>
<sst xmlns="http://schemas.openxmlformats.org/spreadsheetml/2006/main" count="2345" uniqueCount="203">
  <si>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</si>
  <si>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</si>
  <si>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</si>
  <si>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</si>
  <si>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</si>
  <si>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</si>
  <si>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</si>
  <si>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</si>
  <si>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</si>
  <si>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</si>
  <si>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</si>
  <si>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</si>
  <si>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</si>
  <si>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</si>
  <si>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</si>
  <si>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</si>
  <si>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</si>
  <si>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</si>
  <si>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</si>
  <si>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</si>
  <si>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</si>
  <si>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</si>
  <si>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</si>
  <si>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</si>
  <si>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</si>
  <si>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</si>
  <si>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</si>
  <si>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</si>
  <si>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</si>
  <si>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</si>
  <si>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</si>
  <si>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</si>
  <si>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</si>
  <si>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</si>
  <si>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</si>
  <si>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</si>
  <si>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</si>
  <si>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</si>
  <si>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</si>
  <si>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</si>
  <si>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</si>
  <si>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</si>
  <si>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</si>
  <si>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</si>
  <si>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</si>
  <si>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</si>
  <si>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</si>
  <si>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</si>
  <si>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</si>
  <si>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</si>
  <si>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</si>
  <si>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</si>
  <si>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</si>
  <si>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</si>
  <si>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</si>
  <si>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</si>
  <si>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</si>
  <si>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</si>
  <si>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</si>
  <si>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</si>
  <si>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</si>
  <si>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</si>
  <si>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</si>
  <si>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</si>
  <si>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</si>
  <si>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</si>
  <si>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</si>
  <si>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</si>
  <si>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</si>
  <si>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</si>
  <si>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</si>
  <si>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</si>
  <si>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</si>
  <si>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</si>
  <si>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</si>
  <si>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</si>
  <si>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</si>
  <si>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</si>
  <si>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</si>
  <si>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</si>
  <si>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</si>
  <si>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</si>
  <si>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</si>
  <si>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</si>
  <si>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</si>
  <si>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</si>
  <si>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</si>
  <si>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</si>
  <si>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</si>
  <si>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</si>
  <si>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</si>
  <si>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</si>
  <si>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</si>
  <si>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</si>
  <si>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</si>
  <si>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</si>
  <si>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</si>
  <si>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</si>
  <si>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</si>
  <si>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</si>
  <si>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</si>
  <si>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</si>
  <si>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</si>
  <si>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</si>
  <si>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</si>
  <si>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</si>
  <si>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</si>
  <si>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</si>
  <si>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</si>
  <si>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</si>
  <si>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</si>
  <si>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</si>
  <si>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</si>
  <si>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</si>
  <si>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</si>
  <si>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</si>
  <si>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</si>
  <si>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</si>
  <si>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</si>
  <si>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</si>
  <si>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</si>
  <si>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</si>
  <si>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</si>
  <si>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</si>
  <si>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</si>
  <si>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</si>
  <si>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</si>
  <si>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</si>
  <si>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</si>
  <si>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</si>
  <si>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</si>
  <si>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</si>
  <si>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</si>
  <si>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</si>
  <si>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</si>
  <si>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</si>
  <si>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</si>
  <si>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</si>
  <si>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</si>
  <si>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</si>
  <si>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</si>
  <si>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</si>
  <si>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</si>
  <si>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</si>
  <si>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</si>
  <si>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</si>
  <si>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</si>
  <si>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</si>
  <si>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</si>
  <si>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</si>
  <si>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</si>
  <si>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</si>
  <si>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</si>
  <si>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</si>
  <si>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</si>
  <si>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</si>
  <si>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</si>
  <si>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</si>
  <si>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</si>
  <si>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</si>
  <si>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</si>
  <si>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</si>
  <si>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</si>
  <si>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</si>
  <si>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</si>
  <si>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</si>
  <si>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</si>
  <si>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</si>
  <si>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</si>
  <si>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</si>
  <si>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</si>
  <si>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</si>
  <si>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</si>
  <si>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</si>
  <si>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</si>
  <si>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</si>
  <si>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</si>
  <si>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</si>
  <si>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</si>
  <si>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</si>
  <si>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</si>
  <si>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</si>
  <si>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</si>
  <si>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</si>
  <si>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</si>
  <si>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</si>
  <si>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</si>
  <si>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</si>
  <si>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</si>
  <si>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</si>
  <si>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</si>
  <si>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punkt 4. Prinsipper, begreper og definisjoner på side 24.</t>
  </si>
  <si>
    <t>NB. Datagrunnlaget er levert fra Finans Norges medlemsselskaper. Enkelte tall</t>
  </si>
  <si>
    <t>kan bli justert i etterkant dersom et selskap oppdager feil eller mangler ved sine data.</t>
  </si>
  <si>
    <t>(2013)</t>
  </si>
  <si>
    <t>2011</t>
  </si>
  <si>
    <t>2012</t>
  </si>
  <si>
    <t>2013</t>
  </si>
  <si>
    <t>11-13</t>
  </si>
  <si>
    <t>12-13</t>
  </si>
  <si>
    <t/>
  </si>
  <si>
    <t>Finans Norge / Skadestatistikk</t>
  </si>
  <si>
    <t>Skadestatistikk for landbasert forsikring 4.kvartal 2013</t>
  </si>
</sst>
</file>

<file path=xl/styles.xml><?xml version="1.0" encoding="utf-8"?>
<styleSheet xmlns="http://schemas.openxmlformats.org/spreadsheetml/2006/main">
  <numFmts count="8">
    <numFmt numFmtId="43" formatCode="_ * #,##0.00_ ;_ * \-#,##0.00_ ;_ * &quot;-&quot;??_ ;_ @_ "/>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s>
  <fonts count="4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6">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cellStyleXfs>
  <cellXfs count="159">
    <xf numFmtId="0" fontId="0" fillId="0" borderId="0" xfId="0"/>
    <xf numFmtId="0" fontId="5" fillId="0" borderId="0" xfId="0" applyFont="1"/>
    <xf numFmtId="0" fontId="5" fillId="0" borderId="0" xfId="0" applyFont="1" applyAlignment="1" applyProtection="1">
      <alignment horizontal="left"/>
    </xf>
    <xf numFmtId="0" fontId="6" fillId="0" borderId="0" xfId="3" applyFont="1" applyAlignment="1" applyProtection="1">
      <alignment horizontal="left"/>
    </xf>
    <xf numFmtId="0" fontId="7" fillId="2" borderId="0" xfId="0" applyFont="1" applyFill="1" applyBorder="1"/>
    <xf numFmtId="165"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7" fontId="8" fillId="0" borderId="11" xfId="1" applyNumberFormat="1" applyFont="1" applyBorder="1" applyAlignment="1" applyProtection="1">
      <alignment horizontal="right"/>
    </xf>
    <xf numFmtId="165" fontId="8" fillId="0" borderId="0" xfId="0" applyNumberFormat="1" applyFont="1" applyAlignment="1" applyProtection="1">
      <alignment horizontal="right"/>
    </xf>
    <xf numFmtId="165"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7" fontId="8" fillId="0" borderId="13" xfId="1" applyNumberFormat="1" applyFont="1" applyBorder="1" applyProtection="1"/>
    <xf numFmtId="165" fontId="8" fillId="0" borderId="14" xfId="0" applyNumberFormat="1" applyFont="1" applyBorder="1" applyAlignment="1" applyProtection="1">
      <alignment horizontal="right"/>
    </xf>
    <xf numFmtId="165" fontId="8" fillId="0" borderId="15" xfId="0" applyNumberFormat="1" applyFont="1" applyBorder="1" applyAlignment="1">
      <alignment horizontal="right"/>
    </xf>
    <xf numFmtId="0" fontId="8" fillId="0" borderId="16" xfId="0" applyFont="1" applyBorder="1"/>
    <xf numFmtId="0" fontId="8" fillId="0" borderId="11" xfId="0" applyFont="1" applyBorder="1"/>
    <xf numFmtId="165" fontId="8" fillId="0" borderId="17" xfId="0" applyNumberFormat="1" applyFont="1" applyBorder="1" applyAlignment="1" applyProtection="1">
      <alignment horizontal="right"/>
    </xf>
    <xf numFmtId="165" fontId="8" fillId="0" borderId="18" xfId="0" applyNumberFormat="1" applyFont="1" applyBorder="1" applyAlignment="1">
      <alignment horizontal="right"/>
    </xf>
    <xf numFmtId="0" fontId="8" fillId="0" borderId="19" xfId="0" applyFont="1" applyBorder="1"/>
    <xf numFmtId="165" fontId="8" fillId="0" borderId="20" xfId="0" applyNumberFormat="1" applyFont="1" applyBorder="1" applyAlignment="1" applyProtection="1">
      <alignment horizontal="right"/>
    </xf>
    <xf numFmtId="3" fontId="8" fillId="0" borderId="21" xfId="1" applyNumberFormat="1" applyFont="1" applyBorder="1" applyProtection="1"/>
    <xf numFmtId="165" fontId="8" fillId="0" borderId="21" xfId="0" applyNumberFormat="1" applyFont="1" applyBorder="1" applyAlignment="1" applyProtection="1">
      <alignment horizontal="right"/>
    </xf>
    <xf numFmtId="165"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7" fontId="8" fillId="0" borderId="24" xfId="1" applyNumberFormat="1" applyFont="1" applyBorder="1" applyProtection="1"/>
    <xf numFmtId="165" fontId="8" fillId="0" borderId="26" xfId="0" applyNumberFormat="1" applyFont="1" applyBorder="1" applyAlignment="1" applyProtection="1">
      <alignment horizontal="right"/>
    </xf>
    <xf numFmtId="165" fontId="8" fillId="0" borderId="27" xfId="0" applyNumberFormat="1" applyFont="1" applyBorder="1" applyAlignment="1">
      <alignment horizontal="right"/>
    </xf>
    <xf numFmtId="0" fontId="12" fillId="0" borderId="0" xfId="0" applyFont="1" applyBorder="1"/>
    <xf numFmtId="0" fontId="13" fillId="0" borderId="0" xfId="0" applyFont="1" applyBorder="1"/>
    <xf numFmtId="167" fontId="5" fillId="0" borderId="0" xfId="1" applyNumberFormat="1" applyFont="1" applyBorder="1" applyProtection="1"/>
    <xf numFmtId="165" fontId="5" fillId="0" borderId="0" xfId="0" applyNumberFormat="1" applyFont="1" applyBorder="1" applyAlignment="1" applyProtection="1">
      <alignment horizontal="right"/>
    </xf>
    <xf numFmtId="165"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7" fontId="5" fillId="0" borderId="0" xfId="1" applyNumberFormat="1" applyFont="1" applyBorder="1" applyAlignment="1" applyProtection="1">
      <alignment horizontal="center"/>
    </xf>
    <xf numFmtId="0" fontId="8" fillId="0" borderId="23" xfId="0" applyFont="1" applyBorder="1"/>
    <xf numFmtId="165" fontId="8" fillId="0" borderId="25" xfId="0" applyNumberFormat="1" applyFont="1" applyBorder="1" applyAlignment="1" applyProtection="1">
      <alignment horizontal="right"/>
    </xf>
    <xf numFmtId="0" fontId="8" fillId="0" borderId="0" xfId="0" applyFont="1" applyBorder="1"/>
    <xf numFmtId="167" fontId="8" fillId="0" borderId="0" xfId="1" applyNumberFormat="1" applyFont="1" applyBorder="1" applyAlignment="1" applyProtection="1">
      <alignment horizontal="right"/>
    </xf>
    <xf numFmtId="165" fontId="8" fillId="0" borderId="0" xfId="0" applyNumberFormat="1" applyFont="1" applyBorder="1" applyAlignment="1">
      <alignment horizontal="right"/>
    </xf>
    <xf numFmtId="0" fontId="5" fillId="0" borderId="0" xfId="0" applyFont="1" applyBorder="1"/>
    <xf numFmtId="0" fontId="11" fillId="0" borderId="0" xfId="0" applyFont="1" applyBorder="1"/>
    <xf numFmtId="167"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6" fontId="8" fillId="0" borderId="0" xfId="1" applyNumberFormat="1" applyFont="1" applyProtection="1"/>
    <xf numFmtId="166" fontId="8" fillId="0" borderId="28" xfId="1" applyNumberFormat="1" applyFont="1" applyBorder="1" applyProtection="1"/>
    <xf numFmtId="166" fontId="8" fillId="0" borderId="14" xfId="1" applyNumberFormat="1" applyFont="1" applyBorder="1" applyProtection="1"/>
    <xf numFmtId="166" fontId="8" fillId="0" borderId="0" xfId="1" applyNumberFormat="1" applyFont="1" applyBorder="1" applyProtection="1"/>
    <xf numFmtId="166" fontId="8" fillId="0" borderId="21" xfId="1" applyNumberFormat="1" applyFont="1" applyBorder="1" applyProtection="1"/>
    <xf numFmtId="166" fontId="8" fillId="0" borderId="0" xfId="1" applyNumberFormat="1" applyFont="1"/>
    <xf numFmtId="166"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3" applyFont="1" applyAlignment="1" applyProtection="1">
      <alignment horizontal="left"/>
    </xf>
    <xf numFmtId="0" fontId="4" fillId="0" borderId="0" xfId="4" applyAlignment="1" applyProtection="1">
      <alignment horizontal="left"/>
    </xf>
    <xf numFmtId="0" fontId="4" fillId="0" borderId="0" xfId="4" applyAlignment="1" applyProtection="1"/>
    <xf numFmtId="0" fontId="24" fillId="0" borderId="0" xfId="0" applyFont="1"/>
    <xf numFmtId="0" fontId="3" fillId="0" borderId="0" xfId="5"/>
    <xf numFmtId="166" fontId="5" fillId="0" borderId="0" xfId="0" applyNumberFormat="1" applyFont="1"/>
    <xf numFmtId="0" fontId="21" fillId="0" borderId="0" xfId="0" quotePrefix="1" applyFont="1"/>
    <xf numFmtId="3" fontId="8" fillId="0" borderId="0" xfId="1" quotePrefix="1" applyNumberFormat="1" applyFont="1" applyBorder="1" applyProtection="1"/>
    <xf numFmtId="167" fontId="5" fillId="0" borderId="0" xfId="1" quotePrefix="1" applyNumberFormat="1" applyFont="1" applyBorder="1" applyProtection="1"/>
    <xf numFmtId="0" fontId="26" fillId="0" borderId="0" xfId="10" applyFont="1"/>
    <xf numFmtId="0" fontId="3" fillId="0" borderId="0" xfId="10"/>
    <xf numFmtId="0" fontId="0" fillId="0" borderId="0" xfId="10" applyFont="1"/>
    <xf numFmtId="0" fontId="27" fillId="0" borderId="0" xfId="10" applyFont="1" applyAlignment="1">
      <alignment horizontal="right"/>
    </xf>
    <xf numFmtId="0" fontId="29" fillId="0" borderId="0" xfId="10" applyFont="1" applyAlignment="1">
      <alignment horizontal="left"/>
    </xf>
    <xf numFmtId="0" fontId="32" fillId="0" borderId="0" xfId="10" applyFont="1" applyAlignment="1">
      <alignment horizontal="left"/>
    </xf>
    <xf numFmtId="0" fontId="20" fillId="0" borderId="0" xfId="5" applyFont="1" applyAlignment="1">
      <alignment horizontal="left"/>
    </xf>
    <xf numFmtId="0" fontId="10" fillId="0" borderId="0" xfId="10" applyFont="1" applyAlignment="1">
      <alignment horizontal="right"/>
    </xf>
    <xf numFmtId="0" fontId="3" fillId="0" borderId="0" xfId="10" applyAlignment="1">
      <alignment horizontal="right"/>
    </xf>
    <xf numFmtId="0" fontId="30" fillId="0" borderId="0" xfId="10" applyFont="1" applyAlignment="1">
      <alignment horizontal="left"/>
    </xf>
    <xf numFmtId="14" fontId="31" fillId="0" borderId="0" xfId="10" applyNumberFormat="1" applyFont="1" applyAlignment="1">
      <alignment horizontal="left"/>
    </xf>
    <xf numFmtId="0" fontId="31" fillId="0" borderId="0" xfId="10" applyFont="1" applyAlignment="1">
      <alignment horizontal="left"/>
    </xf>
    <xf numFmtId="0" fontId="33" fillId="0" borderId="0" xfId="5" applyFont="1" applyAlignment="1">
      <alignment vertical="center"/>
    </xf>
    <xf numFmtId="0" fontId="34" fillId="0" borderId="0" xfId="5" applyFont="1" applyAlignment="1">
      <alignment vertical="center"/>
    </xf>
    <xf numFmtId="0" fontId="35" fillId="0" borderId="0" xfId="5" applyFont="1"/>
    <xf numFmtId="14" fontId="28" fillId="0" borderId="0" xfId="10" applyNumberFormat="1" applyFont="1"/>
    <xf numFmtId="14" fontId="36" fillId="0" borderId="0" xfId="10" applyNumberFormat="1" applyFont="1" applyAlignment="1">
      <alignment horizontal="right"/>
    </xf>
    <xf numFmtId="0" fontId="37" fillId="0" borderId="0" xfId="0" applyFont="1"/>
    <xf numFmtId="0" fontId="38" fillId="0" borderId="0" xfId="0" applyFont="1" applyAlignment="1">
      <alignment horizontal="right"/>
    </xf>
    <xf numFmtId="0" fontId="39" fillId="0" borderId="0" xfId="0" applyFont="1"/>
    <xf numFmtId="0" fontId="40" fillId="0" borderId="0" xfId="0" applyFont="1"/>
    <xf numFmtId="0" fontId="38" fillId="0" borderId="0" xfId="0" applyFont="1"/>
    <xf numFmtId="0" fontId="38" fillId="0" borderId="0" xfId="0" quotePrefix="1" applyFont="1"/>
    <xf numFmtId="0" fontId="37" fillId="0" borderId="0" xfId="0" applyFont="1" applyAlignment="1">
      <alignment horizontal="right"/>
    </xf>
    <xf numFmtId="1" fontId="40" fillId="0" borderId="0" xfId="0" applyNumberFormat="1" applyFont="1"/>
    <xf numFmtId="166" fontId="37" fillId="0" borderId="0" xfId="0" applyNumberFormat="1" applyFont="1"/>
    <xf numFmtId="3" fontId="37" fillId="0" borderId="0" xfId="0" applyNumberFormat="1" applyFont="1"/>
    <xf numFmtId="168" fontId="40" fillId="0" borderId="0" xfId="0" applyNumberFormat="1" applyFont="1"/>
    <xf numFmtId="169" fontId="40" fillId="0" borderId="0" xfId="0" applyNumberFormat="1" applyFont="1"/>
    <xf numFmtId="166" fontId="40" fillId="0" borderId="0" xfId="0" applyNumberFormat="1" applyFont="1"/>
    <xf numFmtId="3" fontId="40" fillId="0" borderId="0" xfId="0" applyNumberFormat="1" applyFont="1"/>
    <xf numFmtId="167" fontId="40" fillId="0" borderId="0" xfId="1" applyNumberFormat="1" applyFont="1"/>
    <xf numFmtId="166" fontId="40" fillId="0" borderId="0" xfId="1" applyNumberFormat="1" applyFont="1"/>
    <xf numFmtId="169" fontId="37" fillId="0" borderId="0" xfId="0" applyNumberFormat="1" applyFont="1"/>
    <xf numFmtId="3" fontId="37" fillId="0" borderId="0" xfId="0" applyNumberFormat="1" applyFont="1" applyBorder="1"/>
    <xf numFmtId="166" fontId="37" fillId="0" borderId="0" xfId="0" applyNumberFormat="1" applyFont="1" applyBorder="1"/>
    <xf numFmtId="170" fontId="37" fillId="0" borderId="0" xfId="0" applyNumberFormat="1" applyFont="1"/>
    <xf numFmtId="1" fontId="37" fillId="0" borderId="0" xfId="0" applyNumberFormat="1" applyFont="1"/>
    <xf numFmtId="168" fontId="37" fillId="0" borderId="0" xfId="0" applyNumberFormat="1" applyFont="1"/>
    <xf numFmtId="0" fontId="37" fillId="0" borderId="28" xfId="0" applyFont="1" applyBorder="1"/>
    <xf numFmtId="0" fontId="38" fillId="0" borderId="28" xfId="0" applyFont="1" applyBorder="1" applyAlignment="1">
      <alignment horizontal="right"/>
    </xf>
    <xf numFmtId="3" fontId="37" fillId="0" borderId="28" xfId="0" applyNumberFormat="1" applyFont="1" applyBorder="1"/>
    <xf numFmtId="0" fontId="37" fillId="0" borderId="28" xfId="0" applyFont="1" applyBorder="1" applyAlignment="1">
      <alignment horizontal="left" indent="1"/>
    </xf>
    <xf numFmtId="166" fontId="37" fillId="0" borderId="28" xfId="0" applyNumberFormat="1" applyFont="1" applyBorder="1"/>
    <xf numFmtId="0" fontId="37" fillId="0" borderId="0" xfId="0" applyFont="1" applyAlignment="1">
      <alignment horizontal="left" indent="1"/>
    </xf>
    <xf numFmtId="14" fontId="20" fillId="0" borderId="0" xfId="10"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14" fillId="0" borderId="28" xfId="0" applyFont="1" applyBorder="1" applyAlignment="1">
      <alignment horizontal="left"/>
    </xf>
    <xf numFmtId="0" fontId="14" fillId="0" borderId="0" xfId="0" applyFont="1" applyAlignment="1">
      <alignment horizontal="lef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cellXfs>
  <cellStyles count="16">
    <cellStyle name="Comma" xfId="1" builtinId="3"/>
    <cellStyle name="Comma 2" xfId="6"/>
    <cellStyle name="Hyperkobling_premiestatistikken" xfId="2"/>
    <cellStyle name="Hyperkobling_Test_skadestat_tabeller" xfId="3"/>
    <cellStyle name="Hyperlink" xfId="4" builtinId="8"/>
    <cellStyle name="Hyperlink 2" xfId="7"/>
    <cellStyle name="Normal" xfId="0" builtinId="0"/>
    <cellStyle name="Normal 2" xfId="5"/>
    <cellStyle name="Normal 2 2" xfId="10"/>
    <cellStyle name="Normal 3" xfId="9"/>
    <cellStyle name="Normal 4" xfId="11"/>
    <cellStyle name="Normal 5" xfId="12"/>
    <cellStyle name="Normal 6" xfId="13"/>
    <cellStyle name="Normal 7" xfId="14"/>
    <cellStyle name="Normal 8" xfId="8"/>
    <cellStyle name="Tusenskille 2" xfId="1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3513524659460671"/>
          <c:y val="3.7594076974851641E-2"/>
          <c:w val="0.81081147956763977"/>
          <c:h val="0.79198188827020743"/>
        </c:manualLayout>
      </c:layout>
      <c:lineChart>
        <c:grouping val="standard"/>
        <c:ser>
          <c:idx val="0"/>
          <c:order val="0"/>
          <c:tx>
            <c:strRef>
              <c:f>'Tab2'!$C$70</c:f>
              <c:strCache>
                <c:ptCount val="1"/>
                <c:pt idx="0">
                  <c:v>Motorvogn i alt</c:v>
                </c:pt>
              </c:strCache>
            </c:strRef>
          </c:tx>
          <c:spPr>
            <a:ln w="25400">
              <a:solidFill>
                <a:srgbClr val="000080"/>
              </a:solidFill>
              <a:prstDash val="solid"/>
            </a:ln>
          </c:spPr>
          <c:marker>
            <c:symbol val="none"/>
          </c:marker>
          <c:cat>
            <c:numRef>
              <c:f>'Tab2'!$B$71:$B$194</c:f>
              <c:numCache>
                <c:formatCode>General</c:formatCode>
                <c:ptCount val="124"/>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numCache>
            </c:numRef>
          </c:cat>
          <c:val>
            <c:numRef>
              <c:f>'Tab2'!$C$71:$C$194</c:f>
              <c:numCache>
                <c:formatCode>General</c:formatCode>
                <c:ptCount val="124"/>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numCache>
            </c:numRef>
          </c:val>
        </c:ser>
        <c:ser>
          <c:idx val="1"/>
          <c:order val="1"/>
          <c:tx>
            <c:strRef>
              <c:f>'Tab2'!$D$70</c:f>
              <c:strCache>
                <c:ptCount val="1"/>
                <c:pt idx="0">
                  <c:v>Personbil</c:v>
                </c:pt>
              </c:strCache>
            </c:strRef>
          </c:tx>
          <c:spPr>
            <a:ln w="25400">
              <a:solidFill>
                <a:srgbClr val="000000"/>
              </a:solidFill>
              <a:prstDash val="sysDash"/>
            </a:ln>
          </c:spPr>
          <c:marker>
            <c:symbol val="none"/>
          </c:marker>
          <c:cat>
            <c:numRef>
              <c:f>'Tab2'!$B$71:$B$194</c:f>
              <c:numCache>
                <c:formatCode>General</c:formatCode>
                <c:ptCount val="124"/>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numCache>
            </c:numRef>
          </c:cat>
          <c:val>
            <c:numRef>
              <c:f>'Tab2'!$D$71:$D$194</c:f>
              <c:numCache>
                <c:formatCode>General</c:formatCode>
                <c:ptCount val="124"/>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numCache>
            </c:numRef>
          </c:val>
        </c:ser>
        <c:marker val="1"/>
        <c:axId val="122834304"/>
        <c:axId val="233536512"/>
      </c:lineChart>
      <c:catAx>
        <c:axId val="122834304"/>
        <c:scaling>
          <c:orientation val="minMax"/>
        </c:scaling>
        <c:axPos val="b"/>
        <c:numFmt formatCode="General" sourceLinked="1"/>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33536512"/>
        <c:crosses val="autoZero"/>
        <c:auto val="1"/>
        <c:lblAlgn val="ctr"/>
        <c:lblOffset val="100"/>
        <c:tickLblSkip val="1"/>
        <c:tickMarkSkip val="1"/>
      </c:catAx>
      <c:valAx>
        <c:axId val="233536512"/>
        <c:scaling>
          <c:orientation val="minMax"/>
        </c:scaling>
        <c:axPos val="l"/>
        <c:majorGridlines>
          <c:spPr>
            <a:ln>
              <a:prstDash val="dash"/>
            </a:ln>
          </c:spPr>
        </c:majorGridlines>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22834304"/>
        <c:crosses val="autoZero"/>
        <c:crossBetween val="between"/>
      </c:valAx>
      <c:spPr>
        <a:noFill/>
        <a:ln w="12700">
          <a:solidFill>
            <a:srgbClr val="808080"/>
          </a:solidFill>
          <a:prstDash val="solid"/>
        </a:ln>
      </c:spPr>
    </c:plotArea>
    <c:legend>
      <c:legendPos val="r"/>
      <c:layout>
        <c:manualLayout>
          <c:xMode val="edge"/>
          <c:yMode val="edge"/>
          <c:x val="0.59154731503155367"/>
          <c:y val="0.60632894572388973"/>
          <c:w val="0.26013531247783173"/>
          <c:h val="0.12280728066886371"/>
        </c:manualLayout>
      </c:layou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343" r="0.75000000000001343"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233"/>
          <c:h val="0.81417322834645667"/>
        </c:manualLayout>
      </c:layout>
      <c:lineChart>
        <c:grouping val="standard"/>
        <c:ser>
          <c:idx val="0"/>
          <c:order val="0"/>
          <c:tx>
            <c:strRef>
              <c:f>'Tab2'!$M$70</c:f>
              <c:strCache>
                <c:ptCount val="1"/>
                <c:pt idx="0">
                  <c:v>Erstatning</c:v>
                </c:pt>
              </c:strCache>
            </c:strRef>
          </c:tx>
          <c:spPr>
            <a:ln w="50800"/>
          </c:spPr>
          <c:marker>
            <c:symbol val="none"/>
          </c:marker>
          <c:cat>
            <c:numRef>
              <c:f>'Tab2'!$K$103:$K$194</c:f>
              <c:numCache>
                <c:formatCode>General</c:formatCode>
                <c:ptCount val="92"/>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numCache>
            </c:numRef>
          </c:cat>
          <c:val>
            <c:numRef>
              <c:f>'Tab2'!$T$103:$T$194</c:f>
              <c:numCache>
                <c:formatCode>#,##0.0</c:formatCode>
                <c:ptCount val="92"/>
                <c:pt idx="0">
                  <c:v>219.58573099415204</c:v>
                </c:pt>
                <c:pt idx="1">
                  <c:v>273.20392609699769</c:v>
                </c:pt>
                <c:pt idx="2">
                  <c:v>317.52401847575061</c:v>
                </c:pt>
                <c:pt idx="3">
                  <c:v>284.38717067583048</c:v>
                </c:pt>
                <c:pt idx="4">
                  <c:v>276.83542857142851</c:v>
                </c:pt>
                <c:pt idx="5">
                  <c:v>252.95033860045146</c:v>
                </c:pt>
                <c:pt idx="6">
                  <c:v>331.49064261555804</c:v>
                </c:pt>
                <c:pt idx="7">
                  <c:v>164.4062709966405</c:v>
                </c:pt>
                <c:pt idx="8">
                  <c:v>262.27282850779511</c:v>
                </c:pt>
                <c:pt idx="9">
                  <c:v>282.58854625550663</c:v>
                </c:pt>
                <c:pt idx="10">
                  <c:v>321.28013245033111</c:v>
                </c:pt>
                <c:pt idx="11">
                  <c:v>242.59230769230768</c:v>
                </c:pt>
                <c:pt idx="12">
                  <c:v>238.4630769230769</c:v>
                </c:pt>
                <c:pt idx="13">
                  <c:v>287.13238822246456</c:v>
                </c:pt>
                <c:pt idx="14">
                  <c:v>320.27318132464723</c:v>
                </c:pt>
                <c:pt idx="15">
                  <c:v>310.71792656587468</c:v>
                </c:pt>
                <c:pt idx="16">
                  <c:v>263.08372591006423</c:v>
                </c:pt>
                <c:pt idx="17">
                  <c:v>304.33878852284801</c:v>
                </c:pt>
                <c:pt idx="18">
                  <c:v>319.59851222104129</c:v>
                </c:pt>
                <c:pt idx="19">
                  <c:v>292.65813953488396</c:v>
                </c:pt>
                <c:pt idx="20">
                  <c:v>282.93121019108281</c:v>
                </c:pt>
                <c:pt idx="21">
                  <c:v>310.59327024185063</c:v>
                </c:pt>
                <c:pt idx="22">
                  <c:v>327.70094240837693</c:v>
                </c:pt>
                <c:pt idx="23">
                  <c:v>261.98961578400844</c:v>
                </c:pt>
                <c:pt idx="24">
                  <c:v>259.02117163412129</c:v>
                </c:pt>
                <c:pt idx="25">
                  <c:v>308.50890481064476</c:v>
                </c:pt>
                <c:pt idx="26">
                  <c:v>273.07021494370531</c:v>
                </c:pt>
                <c:pt idx="27">
                  <c:v>252.44329268292665</c:v>
                </c:pt>
                <c:pt idx="28">
                  <c:v>250.56072507552872</c:v>
                </c:pt>
                <c:pt idx="29">
                  <c:v>274.86098294884653</c:v>
                </c:pt>
                <c:pt idx="30">
                  <c:v>281.8468937875752</c:v>
                </c:pt>
                <c:pt idx="31">
                  <c:v>274.26375372393238</c:v>
                </c:pt>
                <c:pt idx="32">
                  <c:v>215.46114398422088</c:v>
                </c:pt>
                <c:pt idx="33">
                  <c:v>261.44050880626219</c:v>
                </c:pt>
                <c:pt idx="34">
                  <c:v>300.46548672566377</c:v>
                </c:pt>
                <c:pt idx="35">
                  <c:v>249.21004830917863</c:v>
                </c:pt>
                <c:pt idx="36">
                  <c:v>254.03059273422562</c:v>
                </c:pt>
                <c:pt idx="37">
                  <c:v>235.58420551855374</c:v>
                </c:pt>
                <c:pt idx="38">
                  <c:v>247.11661918328579</c:v>
                </c:pt>
                <c:pt idx="39">
                  <c:v>270.15917602996257</c:v>
                </c:pt>
                <c:pt idx="40">
                  <c:v>203.15701107011066</c:v>
                </c:pt>
                <c:pt idx="41">
                  <c:v>233.01332116788316</c:v>
                </c:pt>
                <c:pt idx="42">
                  <c:v>196.7687326549491</c:v>
                </c:pt>
                <c:pt idx="43">
                  <c:v>319.14167433302663</c:v>
                </c:pt>
                <c:pt idx="44">
                  <c:v>242.98426349496796</c:v>
                </c:pt>
                <c:pt idx="45">
                  <c:v>284.86999999999995</c:v>
                </c:pt>
                <c:pt idx="46">
                  <c:v>225.91149635036496</c:v>
                </c:pt>
                <c:pt idx="47">
                  <c:v>234.54774774774788</c:v>
                </c:pt>
                <c:pt idx="48">
                  <c:v>214.29842931937171</c:v>
                </c:pt>
                <c:pt idx="49">
                  <c:v>242.82671415850399</c:v>
                </c:pt>
                <c:pt idx="50">
                  <c:v>226.42502234137621</c:v>
                </c:pt>
                <c:pt idx="51">
                  <c:v>263.27513321492017</c:v>
                </c:pt>
                <c:pt idx="52">
                  <c:v>213.21829484902304</c:v>
                </c:pt>
                <c:pt idx="53">
                  <c:v>270.29347442680773</c:v>
                </c:pt>
                <c:pt idx="54">
                  <c:v>190.96778761061933</c:v>
                </c:pt>
                <c:pt idx="55">
                  <c:v>191.76473684210535</c:v>
                </c:pt>
                <c:pt idx="56">
                  <c:v>188.49375549692169</c:v>
                </c:pt>
                <c:pt idx="57">
                  <c:v>177.65190972222229</c:v>
                </c:pt>
                <c:pt idx="58">
                  <c:v>178.38922675933961</c:v>
                </c:pt>
                <c:pt idx="59">
                  <c:v>164.27931034482765</c:v>
                </c:pt>
                <c:pt idx="60">
                  <c:v>173.33207547169809</c:v>
                </c:pt>
                <c:pt idx="61">
                  <c:v>200.44631043256993</c:v>
                </c:pt>
                <c:pt idx="62">
                  <c:v>191.17493606138109</c:v>
                </c:pt>
                <c:pt idx="63">
                  <c:v>162.50605042016801</c:v>
                </c:pt>
                <c:pt idx="64">
                  <c:v>191.19217021276594</c:v>
                </c:pt>
                <c:pt idx="65">
                  <c:v>182.63905325443784</c:v>
                </c:pt>
                <c:pt idx="66">
                  <c:v>174.18658743633273</c:v>
                </c:pt>
                <c:pt idx="67">
                  <c:v>158.64039735099345</c:v>
                </c:pt>
                <c:pt idx="68">
                  <c:v>176.25447087776863</c:v>
                </c:pt>
                <c:pt idx="69">
                  <c:v>207.24</c:v>
                </c:pt>
                <c:pt idx="70">
                  <c:v>203.09878147847272</c:v>
                </c:pt>
                <c:pt idx="71">
                  <c:v>290.1388933440258</c:v>
                </c:pt>
                <c:pt idx="72">
                  <c:v>228.89151999999999</c:v>
                </c:pt>
                <c:pt idx="73">
                  <c:v>251.2112967382657</c:v>
                </c:pt>
                <c:pt idx="74">
                  <c:v>248.06666666666658</c:v>
                </c:pt>
                <c:pt idx="75">
                  <c:v>292.99273301737765</c:v>
                </c:pt>
                <c:pt idx="76">
                  <c:v>253.48888888888891</c:v>
                </c:pt>
                <c:pt idx="77">
                  <c:v>209.88921644685803</c:v>
                </c:pt>
                <c:pt idx="78">
                  <c:v>210.75070422535202</c:v>
                </c:pt>
                <c:pt idx="79">
                  <c:v>213.26356589147284</c:v>
                </c:pt>
                <c:pt idx="80">
                  <c:v>161.30798771121351</c:v>
                </c:pt>
                <c:pt idx="81">
                  <c:v>202.63175572519077</c:v>
                </c:pt>
                <c:pt idx="82">
                  <c:v>173.50587326120549</c:v>
                </c:pt>
                <c:pt idx="83">
                  <c:v>186.23818589698598</c:v>
                </c:pt>
                <c:pt idx="84">
                  <c:v>179.07361993180456</c:v>
                </c:pt>
                <c:pt idx="85">
                  <c:v>187.70416887631055</c:v>
                </c:pt>
                <c:pt idx="86">
                  <c:v>196.16797960741951</c:v>
                </c:pt>
                <c:pt idx="87">
                  <c:v>193.59094686562798</c:v>
                </c:pt>
                <c:pt idx="88">
                  <c:v>169.36221528903027</c:v>
                </c:pt>
                <c:pt idx="89">
                  <c:v>176.03614305780593</c:v>
                </c:pt>
                <c:pt idx="90">
                  <c:v>172.41802435151402</c:v>
                </c:pt>
                <c:pt idx="91">
                  <c:v>178.63614077508413</c:v>
                </c:pt>
              </c:numCache>
            </c:numRef>
          </c:val>
        </c:ser>
        <c:marker val="1"/>
        <c:axId val="110068864"/>
        <c:axId val="110070400"/>
      </c:lineChart>
      <c:lineChart>
        <c:grouping val="standard"/>
        <c:ser>
          <c:idx val="1"/>
          <c:order val="1"/>
          <c:tx>
            <c:strRef>
              <c:f>'Tab2'!$L$70</c:f>
              <c:strCache>
                <c:ptCount val="1"/>
                <c:pt idx="0">
                  <c:v>Antall</c:v>
                </c:pt>
              </c:strCache>
            </c:strRef>
          </c:tx>
          <c:spPr>
            <a:ln w="25400"/>
          </c:spPr>
          <c:marker>
            <c:symbol val="none"/>
          </c:marker>
          <c:val>
            <c:numRef>
              <c:f>'Tab2'!$R$103:$R$194</c:f>
              <c:numCache>
                <c:formatCode>#,##0</c:formatCode>
                <c:ptCount val="92"/>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numCache>
            </c:numRef>
          </c:val>
        </c:ser>
        <c:upDownBars>
          <c:gapWidth val="150"/>
          <c:upBars/>
          <c:downBars/>
        </c:upDownBars>
        <c:marker val="1"/>
        <c:axId val="110086784"/>
        <c:axId val="110084864"/>
      </c:lineChart>
      <c:catAx>
        <c:axId val="110068864"/>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110070400"/>
        <c:crosses val="autoZero"/>
        <c:auto val="1"/>
        <c:lblAlgn val="ctr"/>
        <c:lblOffset val="100"/>
        <c:tickLblSkip val="1"/>
        <c:tickMarkSkip val="4"/>
      </c:catAx>
      <c:valAx>
        <c:axId val="110070400"/>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110068864"/>
        <c:crosses val="autoZero"/>
        <c:crossBetween val="between"/>
      </c:valAx>
      <c:valAx>
        <c:axId val="110084864"/>
        <c:scaling>
          <c:orientation val="minMax"/>
        </c:scaling>
        <c:axPos val="r"/>
        <c:title>
          <c:tx>
            <c:rich>
              <a:bodyPr rot="-5400000" vert="horz"/>
              <a:lstStyle/>
              <a:p>
                <a:pPr>
                  <a:defRPr/>
                </a:pPr>
                <a:r>
                  <a:rPr lang="en-US"/>
                  <a:t>Antall meldte innbrudd/tyveri/ran</a:t>
                </a:r>
              </a:p>
            </c:rich>
          </c:tx>
        </c:title>
        <c:numFmt formatCode="#,##0" sourceLinked="1"/>
        <c:tickLblPos val="nextTo"/>
        <c:crossAx val="110086784"/>
        <c:crosses val="max"/>
        <c:crossBetween val="between"/>
      </c:valAx>
      <c:catAx>
        <c:axId val="110086784"/>
        <c:scaling>
          <c:orientation val="minMax"/>
        </c:scaling>
        <c:delete val="1"/>
        <c:axPos val="b"/>
        <c:tickLblPos val="none"/>
        <c:crossAx val="110084864"/>
        <c:crosses val="autoZero"/>
        <c:lblAlgn val="ctr"/>
        <c:lblOffset val="100"/>
      </c:catAx>
    </c:plotArea>
    <c:legend>
      <c:legendPos val="r"/>
      <c:layout>
        <c:manualLayout>
          <c:xMode val="edge"/>
          <c:yMode val="edge"/>
          <c:x val="0.54813905737860524"/>
          <c:y val="5.4665550527114352E-2"/>
          <c:w val="0.2317650782352112"/>
          <c:h val="0.10148035666736011"/>
        </c:manualLayout>
      </c:layout>
    </c:legend>
    <c:plotVisOnly val="1"/>
  </c:chart>
  <c:spPr>
    <a:ln>
      <a:noFill/>
    </a:ln>
  </c:spPr>
  <c:printSettings>
    <c:headerFooter/>
    <c:pageMargins b="0.75000000000001243" l="0.70000000000000062" r="0.70000000000000062" t="0.75000000000001243"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24114671163575038"/>
          <c:y val="0.10875331564986535"/>
          <c:w val="0.50084317032040471"/>
          <c:h val="0.78779840848808891"/>
        </c:manualLayout>
      </c:layout>
      <c:pieChart>
        <c:varyColors val="1"/>
        <c:ser>
          <c:idx val="0"/>
          <c:order val="0"/>
          <c:spPr>
            <a:solidFill>
              <a:srgbClr val="FFFFCC"/>
            </a:solidFill>
            <a:ln w="12700">
              <a:solidFill>
                <a:srgbClr val="000000"/>
              </a:solidFill>
              <a:prstDash val="solid"/>
            </a:ln>
          </c:spPr>
          <c:dPt>
            <c:idx val="0"/>
            <c:spPr>
              <a:pattFill prst="solidDmnd">
                <a:fgClr>
                  <a:srgbClr val="9999FF"/>
                </a:fgClr>
                <a:bgClr>
                  <a:srgbClr val="FFFFFF"/>
                </a:bgClr>
              </a:pattFill>
              <a:ln w="12700">
                <a:solidFill>
                  <a:srgbClr val="000000"/>
                </a:solidFill>
                <a:prstDash val="solid"/>
              </a:ln>
            </c:spPr>
          </c:dPt>
          <c:dPt>
            <c:idx val="1"/>
            <c:spPr>
              <a:solidFill>
                <a:srgbClr val="CCFFFF"/>
              </a:solidFill>
              <a:ln w="12700">
                <a:solidFill>
                  <a:srgbClr val="000000"/>
                </a:solidFill>
                <a:prstDash val="solid"/>
              </a:ln>
            </c:spPr>
          </c:dPt>
          <c:dPt>
            <c:idx val="2"/>
            <c:spPr>
              <a:solidFill>
                <a:srgbClr val="FFFFFF"/>
              </a:solidFill>
              <a:ln w="12700">
                <a:solidFill>
                  <a:srgbClr val="000000"/>
                </a:solidFill>
                <a:prstDash val="solid"/>
              </a:ln>
            </c:spPr>
          </c:dPt>
          <c:dPt>
            <c:idx val="3"/>
            <c:spPr>
              <a:pattFill prst="wdUpDiag">
                <a:fgClr>
                  <a:srgbClr val="800000"/>
                </a:fgClr>
                <a:bgClr>
                  <a:srgbClr val="FFFFFF"/>
                </a:bgClr>
              </a:pattFill>
              <a:ln w="12700">
                <a:solidFill>
                  <a:srgbClr val="000000"/>
                </a:solidFill>
                <a:prstDash val="solid"/>
              </a:ln>
            </c:spPr>
          </c:dPt>
          <c:dLbls>
            <c:dLbl>
              <c:idx val="1"/>
              <c:layout>
                <c:manualLayout>
                  <c:x val="1.3705747641758022E-2"/>
                  <c:y val="-3.6818241966454696E-2"/>
                </c:manualLayout>
              </c:layout>
              <c:dLblPos val="bestFit"/>
              <c:showCatName val="1"/>
              <c:showPercent val="1"/>
            </c:dLbl>
            <c:dLbl>
              <c:idx val="2"/>
              <c:layout>
                <c:manualLayout>
                  <c:x val="5.2092856557194103E-3"/>
                  <c:y val="9.3601521919766568E-3"/>
                </c:manualLayout>
              </c:layout>
              <c:dLblPos val="bestFit"/>
              <c:showCatName val="1"/>
              <c:showPercent val="1"/>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CatName val="1"/>
            <c:showPercent val="1"/>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339.81941649528</c:v>
                </c:pt>
                <c:pt idx="1">
                  <c:v>1409.4884598969199</c:v>
                </c:pt>
                <c:pt idx="2">
                  <c:v>220.266268346825</c:v>
                </c:pt>
                <c:pt idx="3">
                  <c:v>2019.429774306795</c:v>
                </c:pt>
                <c:pt idx="4" formatCode="0.000">
                  <c:v>8591.5417627549814</c:v>
                </c:pt>
              </c:numCache>
            </c:numRef>
          </c:val>
        </c:ser>
        <c:dLbls>
          <c:showCatName val="1"/>
          <c:showPercent val="1"/>
        </c:dLbls>
        <c:firstSliceAng val="50"/>
      </c:pieChart>
      <c:spPr>
        <a:noFill/>
        <a:ln w="25400">
          <a:noFill/>
        </a:ln>
      </c:spPr>
    </c:plotArea>
    <c:plotVisOnly val="1"/>
    <c:dispBlanksAs val="zero"/>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343" r="0.75000000000001343"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9.6774193548387247E-2"/>
          <c:y val="5.0264680123284874E-2"/>
          <c:w val="0.89081883722844568"/>
          <c:h val="0.73545163548808734"/>
        </c:manualLayout>
      </c:layout>
      <c:barChart>
        <c:barDir val="col"/>
        <c:grouping val="clustered"/>
        <c:ser>
          <c:idx val="0"/>
          <c:order val="0"/>
          <c:tx>
            <c:strRef>
              <c:f>'Tab2'!$W$82</c:f>
              <c:strCache>
                <c:ptCount val="1"/>
                <c:pt idx="0">
                  <c:v>2011</c:v>
                </c:pt>
              </c:strCache>
            </c:strRef>
          </c:tx>
          <c:spPr>
            <a:pattFill prst="solidDmnd">
              <a:fgClr>
                <a:srgbClr val="9999FF"/>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6670.83506606633</c:v>
                </c:pt>
                <c:pt idx="1">
                  <c:v>5773.1851242653302</c:v>
                </c:pt>
                <c:pt idx="2">
                  <c:v>2295.1505355760801</c:v>
                </c:pt>
                <c:pt idx="3">
                  <c:v>1427.55647975631</c:v>
                </c:pt>
                <c:pt idx="4">
                  <c:v>625.02091863863996</c:v>
                </c:pt>
                <c:pt idx="5">
                  <c:v>1522.1364975195499</c:v>
                </c:pt>
                <c:pt idx="6">
                  <c:v>443.46113981184601</c:v>
                </c:pt>
                <c:pt idx="7">
                  <c:v>780.30053224084395</c:v>
                </c:pt>
                <c:pt idx="8">
                  <c:v>109.483957619469</c:v>
                </c:pt>
                <c:pt idx="9">
                  <c:v>705.083578896988</c:v>
                </c:pt>
              </c:numCache>
            </c:numRef>
          </c:val>
        </c:ser>
        <c:ser>
          <c:idx val="1"/>
          <c:order val="1"/>
          <c:tx>
            <c:strRef>
              <c:f>'Tab2'!$X$82</c:f>
              <c:strCache>
                <c:ptCount val="1"/>
                <c:pt idx="0">
                  <c:v>2012</c:v>
                </c:pt>
              </c:strCache>
            </c:strRef>
          </c:tx>
          <c:spPr>
            <a:pattFill prst="wdUpDiag">
              <a:fgClr>
                <a:srgbClr val="000000"/>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5933.1488251145902</c:v>
                </c:pt>
                <c:pt idx="1">
                  <c:v>4591.2209991155596</c:v>
                </c:pt>
                <c:pt idx="2">
                  <c:v>2320.4183533923601</c:v>
                </c:pt>
                <c:pt idx="3">
                  <c:v>1570.8861755238199</c:v>
                </c:pt>
                <c:pt idx="4">
                  <c:v>613.82802342537798</c:v>
                </c:pt>
                <c:pt idx="5">
                  <c:v>1684.93698043927</c:v>
                </c:pt>
                <c:pt idx="6">
                  <c:v>394.80414792680301</c:v>
                </c:pt>
                <c:pt idx="7">
                  <c:v>924.24003950207202</c:v>
                </c:pt>
                <c:pt idx="8">
                  <c:v>99.056529776607604</c:v>
                </c:pt>
                <c:pt idx="9">
                  <c:v>936.8775075172324</c:v>
                </c:pt>
              </c:numCache>
            </c:numRef>
          </c:val>
        </c:ser>
        <c:ser>
          <c:idx val="2"/>
          <c:order val="2"/>
          <c:tx>
            <c:strRef>
              <c:f>'Tab2'!$Y$82</c:f>
              <c:strCache>
                <c:ptCount val="1"/>
                <c:pt idx="0">
                  <c:v>2013</c:v>
                </c:pt>
              </c:strCache>
            </c:strRef>
          </c:tx>
          <c:spPr>
            <a:solidFill>
              <a:srgbClr val="993366"/>
            </a:solid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6543.1428776511902</c:v>
                </c:pt>
                <c:pt idx="1">
                  <c:v>4901.7139453122199</c:v>
                </c:pt>
                <c:pt idx="2">
                  <c:v>2573.20470325621</c:v>
                </c:pt>
                <c:pt idx="3">
                  <c:v>1695.5254231061699</c:v>
                </c:pt>
                <c:pt idx="4">
                  <c:v>625.94929511716498</c:v>
                </c:pt>
                <c:pt idx="5">
                  <c:v>1801.5142984868201</c:v>
                </c:pt>
                <c:pt idx="6">
                  <c:v>404.534367515675</c:v>
                </c:pt>
                <c:pt idx="7">
                  <c:v>849.16776182496903</c:v>
                </c:pt>
                <c:pt idx="8">
                  <c:v>134.622702513626</c:v>
                </c:pt>
                <c:pt idx="9">
                  <c:v>712.19664109170401</c:v>
                </c:pt>
              </c:numCache>
            </c:numRef>
          </c:val>
        </c:ser>
        <c:axId val="109371776"/>
        <c:axId val="109373312"/>
      </c:barChart>
      <c:catAx>
        <c:axId val="109371776"/>
        <c:scaling>
          <c:orientation val="minMax"/>
        </c:scaling>
        <c:axPos val="b"/>
        <c:numFmt formatCode="General" sourceLinked="1"/>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109373312"/>
        <c:crosses val="autoZero"/>
        <c:auto val="1"/>
        <c:lblAlgn val="ctr"/>
        <c:lblOffset val="100"/>
        <c:tickLblSkip val="1"/>
        <c:tickMarkSkip val="1"/>
      </c:catAx>
      <c:valAx>
        <c:axId val="109373312"/>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09371776"/>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343" r="0.75000000000001343"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49552276098459"/>
          <c:y val="5.956121969475487E-2"/>
          <c:w val="0.83783931207651563"/>
          <c:h val="0.8150482695071869"/>
        </c:manualLayout>
      </c:layout>
      <c:barChart>
        <c:barDir val="col"/>
        <c:grouping val="clustered"/>
        <c:ser>
          <c:idx val="0"/>
          <c:order val="0"/>
          <c:tx>
            <c:strRef>
              <c:f>'Tab2'!$W$100</c:f>
              <c:strCache>
                <c:ptCount val="1"/>
                <c:pt idx="0">
                  <c:v>2011</c:v>
                </c:pt>
              </c:strCache>
            </c:strRef>
          </c:tx>
          <c:spPr>
            <a:pattFill prst="solidDmnd">
              <a:fgClr>
                <a:srgbClr val="9999FF"/>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'Tab2'!$W$101:$W$104</c:f>
              <c:numCache>
                <c:formatCode>#,##0</c:formatCode>
                <c:ptCount val="4"/>
                <c:pt idx="0">
                  <c:v>32429.795602831422</c:v>
                </c:pt>
                <c:pt idx="1">
                  <c:v>87123.57297619051</c:v>
                </c:pt>
                <c:pt idx="2">
                  <c:v>36733.486650074687</c:v>
                </c:pt>
                <c:pt idx="3" formatCode="_ * #,##0_ ;_ * \-#,##0_ ;_ * &quot;-&quot;??_ ;_ @_ ">
                  <c:v>156088.96244331682</c:v>
                </c:pt>
              </c:numCache>
            </c:numRef>
          </c:val>
        </c:ser>
        <c:ser>
          <c:idx val="1"/>
          <c:order val="1"/>
          <c:tx>
            <c:strRef>
              <c:f>'Tab2'!$X$100</c:f>
              <c:strCache>
                <c:ptCount val="1"/>
                <c:pt idx="0">
                  <c:v>2012</c:v>
                </c:pt>
              </c:strCache>
            </c:strRef>
          </c:tx>
          <c:spPr>
            <a:pattFill prst="wdUpDiag">
              <a:fgClr>
                <a:srgbClr val="000000"/>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'Tab2'!$X$101:$X$104</c:f>
              <c:numCache>
                <c:formatCode>#,##0</c:formatCode>
                <c:ptCount val="4"/>
                <c:pt idx="0">
                  <c:v>24111</c:v>
                </c:pt>
                <c:pt idx="1">
                  <c:v>71551</c:v>
                </c:pt>
                <c:pt idx="2">
                  <c:v>36970</c:v>
                </c:pt>
                <c:pt idx="3" formatCode="_ * #,##0_ ;_ * \-#,##0_ ;_ * &quot;-&quot;??_ ;_ @_ ">
                  <c:v>149751</c:v>
                </c:pt>
              </c:numCache>
            </c:numRef>
          </c:val>
        </c:ser>
        <c:ser>
          <c:idx val="2"/>
          <c:order val="2"/>
          <c:tx>
            <c:strRef>
              <c:f>'Tab2'!$Y$100</c:f>
              <c:strCache>
                <c:ptCount val="1"/>
                <c:pt idx="0">
                  <c:v>2013</c:v>
                </c:pt>
              </c:strCache>
            </c:strRef>
          </c:tx>
          <c:spPr>
            <a:solidFill>
              <a:srgbClr val="993366"/>
            </a:solidFill>
            <a:ln w="12700">
              <a:solidFill>
                <a:srgbClr val="000000"/>
              </a:solidFill>
              <a:prstDash val="solid"/>
            </a:ln>
          </c:spPr>
          <c:cat>
            <c:strRef>
              <c:f>'Tab2'!$V$101:$V$104</c:f>
              <c:strCache>
                <c:ptCount val="4"/>
                <c:pt idx="0">
                  <c:v>Brann</c:v>
                </c:pt>
                <c:pt idx="1">
                  <c:v>Vann</c:v>
                </c:pt>
                <c:pt idx="2">
                  <c:v>Tyveri</c:v>
                </c:pt>
                <c:pt idx="3">
                  <c:v>Andre</c:v>
                </c:pt>
              </c:strCache>
            </c:strRef>
          </c:cat>
          <c:val>
            <c:numRef>
              <c:f>'Tab2'!$Y$101:$Y$104</c:f>
              <c:numCache>
                <c:formatCode>#,##0</c:formatCode>
                <c:ptCount val="4"/>
                <c:pt idx="0">
                  <c:v>31147</c:v>
                </c:pt>
                <c:pt idx="1">
                  <c:v>82744</c:v>
                </c:pt>
                <c:pt idx="2">
                  <c:v>39521</c:v>
                </c:pt>
                <c:pt idx="3" formatCode="_ * #,##0_ ;_ * \-#,##0_ ;_ * &quot;-&quot;??_ ;_ @_ ">
                  <c:v>169287</c:v>
                </c:pt>
              </c:numCache>
            </c:numRef>
          </c:val>
        </c:ser>
        <c:axId val="109407232"/>
        <c:axId val="109417216"/>
      </c:barChart>
      <c:catAx>
        <c:axId val="109407232"/>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09417216"/>
        <c:crosses val="autoZero"/>
        <c:auto val="1"/>
        <c:lblAlgn val="ctr"/>
        <c:lblOffset val="100"/>
        <c:tickLblSkip val="1"/>
        <c:tickMarkSkip val="1"/>
      </c:catAx>
      <c:valAx>
        <c:axId val="109417216"/>
        <c:scaling>
          <c:orientation val="minMax"/>
        </c:scaling>
        <c:axPos val="l"/>
        <c:majorGridlines>
          <c:spPr>
            <a:ln w="3175">
              <a:solidFill>
                <a:srgbClr val="000000"/>
              </a:solidFill>
              <a:prstDash val="sysDash"/>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09407232"/>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5878"/>
          <c:h val="0.16300973350118422"/>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343" r="0.75000000000001343"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097690941385436"/>
          <c:y val="5.0131990708472525E-2"/>
          <c:w val="0.83303730017761957"/>
          <c:h val="0.80211185133556062"/>
        </c:manualLayout>
      </c:layout>
      <c:barChart>
        <c:barDir val="col"/>
        <c:grouping val="clustered"/>
        <c:ser>
          <c:idx val="0"/>
          <c:order val="0"/>
          <c:tx>
            <c:strRef>
              <c:f>'Tab2'!$W$111</c:f>
              <c:strCache>
                <c:ptCount val="1"/>
                <c:pt idx="0">
                  <c:v>2011</c:v>
                </c:pt>
              </c:strCache>
            </c:strRef>
          </c:tx>
          <c:spPr>
            <a:pattFill prst="solidDmnd">
              <a:fgClr>
                <a:srgbClr val="9999FF"/>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'Tab2'!$W$112:$W$115</c:f>
              <c:numCache>
                <c:formatCode>#,##0.0</c:formatCode>
                <c:ptCount val="4"/>
                <c:pt idx="0">
                  <c:v>5804.3626975018997</c:v>
                </c:pt>
                <c:pt idx="1">
                  <c:v>3530.03493543185</c:v>
                </c:pt>
                <c:pt idx="2">
                  <c:v>702.70345200861902</c:v>
                </c:pt>
                <c:pt idx="3">
                  <c:v>2406.9191053892901</c:v>
                </c:pt>
              </c:numCache>
            </c:numRef>
          </c:val>
        </c:ser>
        <c:ser>
          <c:idx val="1"/>
          <c:order val="1"/>
          <c:tx>
            <c:strRef>
              <c:f>'Tab2'!$X$111</c:f>
              <c:strCache>
                <c:ptCount val="1"/>
                <c:pt idx="0">
                  <c:v>2012</c:v>
                </c:pt>
              </c:strCache>
            </c:strRef>
          </c:tx>
          <c:spPr>
            <a:pattFill prst="wdUpDiag">
              <a:fgClr>
                <a:srgbClr val="000000"/>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'Tab2'!$X$112:$X$115</c:f>
              <c:numCache>
                <c:formatCode>#,##0.0</c:formatCode>
                <c:ptCount val="4"/>
                <c:pt idx="0">
                  <c:v>4391.1839028706299</c:v>
                </c:pt>
                <c:pt idx="1">
                  <c:v>3196.1532912164303</c:v>
                </c:pt>
                <c:pt idx="2">
                  <c:v>740.39103667105996</c:v>
                </c:pt>
                <c:pt idx="3">
                  <c:v>2196.6415934720299</c:v>
                </c:pt>
              </c:numCache>
            </c:numRef>
          </c:val>
        </c:ser>
        <c:ser>
          <c:idx val="2"/>
          <c:order val="2"/>
          <c:tx>
            <c:strRef>
              <c:f>'Tab2'!$Y$111</c:f>
              <c:strCache>
                <c:ptCount val="1"/>
                <c:pt idx="0">
                  <c:v>2013</c:v>
                </c:pt>
              </c:strCache>
            </c:strRef>
          </c:tx>
          <c:spPr>
            <a:solidFill>
              <a:srgbClr val="993366"/>
            </a:solid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'Tab2'!$Y$112:$Y$115</c:f>
              <c:numCache>
                <c:formatCode>#,##0.0</c:formatCode>
                <c:ptCount val="4"/>
                <c:pt idx="0">
                  <c:v>4817.94259511362</c:v>
                </c:pt>
                <c:pt idx="1">
                  <c:v>3665.8989631304303</c:v>
                </c:pt>
                <c:pt idx="2">
                  <c:v>696.53351237665004</c:v>
                </c:pt>
                <c:pt idx="3">
                  <c:v>2264.48175234271</c:v>
                </c:pt>
              </c:numCache>
            </c:numRef>
          </c:val>
        </c:ser>
        <c:axId val="109450752"/>
        <c:axId val="109452288"/>
      </c:barChart>
      <c:catAx>
        <c:axId val="109450752"/>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09452288"/>
        <c:crosses val="autoZero"/>
        <c:auto val="1"/>
        <c:lblAlgn val="ctr"/>
        <c:lblOffset val="100"/>
        <c:tickLblSkip val="1"/>
        <c:tickMarkSkip val="1"/>
      </c:catAx>
      <c:valAx>
        <c:axId val="109452288"/>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6951"/>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0945075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55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343" r="0.75000000000001343"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nb-NO"/>
  <c:chart>
    <c:view3D>
      <c:hPercent val="162"/>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4849637689473633"/>
          <c:y val="1.0723874628061921E-2"/>
          <c:w val="0.81766992340769262"/>
          <c:h val="0.80965253441863694"/>
        </c:manualLayout>
      </c:layout>
      <c:bar3DChart>
        <c:barDir val="bar"/>
        <c:grouping val="clustered"/>
        <c:ser>
          <c:idx val="0"/>
          <c:order val="0"/>
          <c:tx>
            <c:strRef>
              <c:f>'Tab2'!$W$121</c:f>
              <c:strCache>
                <c:ptCount val="1"/>
                <c:pt idx="0">
                  <c:v>2011</c:v>
                </c:pt>
              </c:strCache>
            </c:strRef>
          </c:tx>
          <c:spPr>
            <a:pattFill prst="narVert">
              <a:fgClr>
                <a:srgbClr val="3366FF"/>
              </a:fgClr>
              <a:bgClr>
                <a:srgbClr val="FFFFFF"/>
              </a:bgClr>
            </a:pattFill>
            <a:ln w="12700">
              <a:solidFill>
                <a:srgbClr val="000000"/>
              </a:solidFill>
              <a:prstDash val="solid"/>
            </a:ln>
          </c:spPr>
          <c:cat>
            <c:strRef>
              <c:f>'Tab2'!$V$122:$V$125</c:f>
              <c:strCache>
                <c:ptCount val="4"/>
                <c:pt idx="0">
                  <c:v>Reise</c:v>
                </c:pt>
                <c:pt idx="1">
                  <c:v>Villa</c:v>
                </c:pt>
                <c:pt idx="2">
                  <c:v>Hjem</c:v>
                </c:pt>
                <c:pt idx="3">
                  <c:v>Næring</c:v>
                </c:pt>
              </c:strCache>
            </c:strRef>
          </c:cat>
          <c:val>
            <c:numRef>
              <c:f>'Tab2'!$W$122:$W$125</c:f>
              <c:numCache>
                <c:formatCode>0</c:formatCode>
                <c:ptCount val="4"/>
                <c:pt idx="0">
                  <c:v>271585.66666666698</c:v>
                </c:pt>
                <c:pt idx="1">
                  <c:v>111907.64</c:v>
                </c:pt>
                <c:pt idx="2">
                  <c:v>119248.228571429</c:v>
                </c:pt>
                <c:pt idx="3">
                  <c:v>49158.0462438424</c:v>
                </c:pt>
              </c:numCache>
            </c:numRef>
          </c:val>
        </c:ser>
        <c:ser>
          <c:idx val="1"/>
          <c:order val="1"/>
          <c:tx>
            <c:strRef>
              <c:f>'Tab2'!$X$121</c:f>
              <c:strCache>
                <c:ptCount val="1"/>
                <c:pt idx="0">
                  <c:v>2012</c:v>
                </c:pt>
              </c:strCache>
            </c:strRef>
          </c:tx>
          <c:spPr>
            <a:solidFill>
              <a:srgbClr val="FFFFCC"/>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'Tab2'!$X$122:$X$125</c:f>
              <c:numCache>
                <c:formatCode>0</c:formatCode>
                <c:ptCount val="4"/>
                <c:pt idx="0">
                  <c:v>299510</c:v>
                </c:pt>
                <c:pt idx="1">
                  <c:v>100999</c:v>
                </c:pt>
                <c:pt idx="2">
                  <c:v>109466</c:v>
                </c:pt>
                <c:pt idx="3">
                  <c:v>38994</c:v>
                </c:pt>
              </c:numCache>
            </c:numRef>
          </c:val>
        </c:ser>
        <c:ser>
          <c:idx val="2"/>
          <c:order val="2"/>
          <c:tx>
            <c:strRef>
              <c:f>'Tab2'!$Y$121</c:f>
              <c:strCache>
                <c:ptCount val="1"/>
                <c:pt idx="0">
                  <c:v>2013</c:v>
                </c:pt>
              </c:strCache>
            </c:strRef>
          </c:tx>
          <c:spPr>
            <a:solidFill>
              <a:srgbClr val="993366"/>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'Tab2'!$Y$122:$Y$125</c:f>
              <c:numCache>
                <c:formatCode>0</c:formatCode>
                <c:ptCount val="4"/>
                <c:pt idx="0">
                  <c:v>317630</c:v>
                </c:pt>
                <c:pt idx="1">
                  <c:v>118928</c:v>
                </c:pt>
                <c:pt idx="2">
                  <c:v>111027</c:v>
                </c:pt>
                <c:pt idx="3">
                  <c:v>42880</c:v>
                </c:pt>
              </c:numCache>
            </c:numRef>
          </c:val>
        </c:ser>
        <c:shape val="cylinder"/>
        <c:axId val="109499136"/>
        <c:axId val="109500672"/>
        <c:axId val="0"/>
      </c:bar3DChart>
      <c:catAx>
        <c:axId val="109499136"/>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09500672"/>
        <c:crosses val="autoZero"/>
        <c:auto val="1"/>
        <c:lblAlgn val="ctr"/>
        <c:lblOffset val="100"/>
        <c:tickLblSkip val="1"/>
        <c:tickMarkSkip val="1"/>
      </c:catAx>
      <c:valAx>
        <c:axId val="109500672"/>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09499136"/>
        <c:crosses val="autoZero"/>
        <c:crossBetween val="between"/>
      </c:valAx>
      <c:spPr>
        <a:noFill/>
        <a:ln w="25400">
          <a:noFill/>
        </a:ln>
      </c:spPr>
    </c:plotArea>
    <c:legend>
      <c:legendPos val="r"/>
      <c:layout>
        <c:manualLayout>
          <c:xMode val="edge"/>
          <c:yMode val="edge"/>
          <c:x val="0.82142936080358375"/>
          <c:y val="0.11796274795409502"/>
          <c:w val="9.7744360902259478E-2"/>
          <c:h val="0.23056328414713029"/>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343" r="0.7500000000000134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nb-NO"/>
  <c:chart>
    <c:view3D>
      <c:hPercent val="136"/>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7041229666341012"/>
          <c:y val="3.8990869354381667E-2"/>
          <c:w val="0.79213628009473036"/>
          <c:h val="0.80045961203995464"/>
        </c:manualLayout>
      </c:layout>
      <c:bar3DChart>
        <c:barDir val="bar"/>
        <c:grouping val="clustered"/>
        <c:ser>
          <c:idx val="0"/>
          <c:order val="0"/>
          <c:tx>
            <c:strRef>
              <c:f>'Tab2'!$W$128</c:f>
              <c:strCache>
                <c:ptCount val="1"/>
                <c:pt idx="0">
                  <c:v>2011</c:v>
                </c:pt>
              </c:strCache>
            </c:strRef>
          </c:tx>
          <c:spPr>
            <a:pattFill prst="narVert">
              <a:fgClr>
                <a:srgbClr val="3366FF"/>
              </a:fgClr>
              <a:bgClr>
                <a:srgbClr val="FFFFFF"/>
              </a:bgClr>
            </a:patt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9746.9906759906808</c:v>
                </c:pt>
                <c:pt idx="1">
                  <c:v>7847.1235164835198</c:v>
                </c:pt>
                <c:pt idx="2">
                  <c:v>8831.7474299107107</c:v>
                </c:pt>
                <c:pt idx="3">
                  <c:v>15098.097142857099</c:v>
                </c:pt>
                <c:pt idx="4">
                  <c:v>14876.9826586621</c:v>
                </c:pt>
              </c:numCache>
            </c:numRef>
          </c:val>
        </c:ser>
        <c:ser>
          <c:idx val="1"/>
          <c:order val="1"/>
          <c:tx>
            <c:strRef>
              <c:f>'Tab2'!$X$128</c:f>
              <c:strCache>
                <c:ptCount val="1"/>
                <c:pt idx="0">
                  <c:v>2012</c:v>
                </c:pt>
              </c:strCache>
            </c:strRef>
          </c:tx>
          <c:spPr>
            <a:solidFill>
              <a:srgbClr val="FFFFCC"/>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8915</c:v>
                </c:pt>
                <c:pt idx="1">
                  <c:v>6707</c:v>
                </c:pt>
                <c:pt idx="2">
                  <c:v>8926</c:v>
                </c:pt>
                <c:pt idx="3">
                  <c:v>13654</c:v>
                </c:pt>
                <c:pt idx="4">
                  <c:v>16278</c:v>
                </c:pt>
              </c:numCache>
            </c:numRef>
          </c:val>
        </c:ser>
        <c:ser>
          <c:idx val="2"/>
          <c:order val="2"/>
          <c:tx>
            <c:strRef>
              <c:f>'Tab2'!$Y$128</c:f>
              <c:strCache>
                <c:ptCount val="1"/>
                <c:pt idx="0">
                  <c:v>2013</c:v>
                </c:pt>
              </c:strCache>
            </c:strRef>
          </c:tx>
          <c:spPr>
            <a:solidFill>
              <a:srgbClr val="993366"/>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9251</c:v>
                </c:pt>
                <c:pt idx="1">
                  <c:v>7206</c:v>
                </c:pt>
                <c:pt idx="2">
                  <c:v>9389</c:v>
                </c:pt>
                <c:pt idx="3">
                  <c:v>14071</c:v>
                </c:pt>
                <c:pt idx="4">
                  <c:v>18904</c:v>
                </c:pt>
              </c:numCache>
            </c:numRef>
          </c:val>
        </c:ser>
        <c:shape val="cylinder"/>
        <c:axId val="109862272"/>
        <c:axId val="109864064"/>
        <c:axId val="0"/>
      </c:bar3DChart>
      <c:catAx>
        <c:axId val="109862272"/>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09864064"/>
        <c:crosses val="autoZero"/>
        <c:auto val="1"/>
        <c:lblAlgn val="ctr"/>
        <c:lblOffset val="100"/>
        <c:tickLblSkip val="1"/>
        <c:tickMarkSkip val="1"/>
      </c:catAx>
      <c:valAx>
        <c:axId val="109864064"/>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09862272"/>
        <c:crosses val="autoZero"/>
        <c:crossBetween val="between"/>
      </c:valAx>
      <c:spPr>
        <a:noFill/>
        <a:ln w="25400">
          <a:noFill/>
        </a:ln>
      </c:spPr>
    </c:plotArea>
    <c:legend>
      <c:legendPos val="r"/>
      <c:layout>
        <c:manualLayout>
          <c:xMode val="edge"/>
          <c:yMode val="edge"/>
          <c:x val="0.80711767770601706"/>
          <c:y val="0.56422090587300433"/>
          <c:w val="0.10299645128629049"/>
          <c:h val="0.15825712152953444"/>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343" r="0.75000000000001343"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188"/>
          <c:h val="0.75545138253068511"/>
        </c:manualLayout>
      </c:layout>
      <c:lineChart>
        <c:grouping val="standard"/>
        <c:ser>
          <c:idx val="0"/>
          <c:order val="0"/>
          <c:tx>
            <c:strRef>
              <c:f>'Tab2'!$M$70</c:f>
              <c:strCache>
                <c:ptCount val="1"/>
                <c:pt idx="0">
                  <c:v>Erstatning</c:v>
                </c:pt>
              </c:strCache>
            </c:strRef>
          </c:tx>
          <c:spPr>
            <a:ln w="50800"/>
          </c:spPr>
          <c:marker>
            <c:symbol val="none"/>
          </c:marker>
          <c:cat>
            <c:numRef>
              <c:f>'Tab2'!$K$71:$K$194</c:f>
              <c:numCache>
                <c:formatCode>General</c:formatCode>
                <c:ptCount val="124"/>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numCache>
            </c:numRef>
          </c:cat>
          <c:val>
            <c:numRef>
              <c:f>'Tab2'!$N$71:$N$194</c:f>
              <c:numCache>
                <c:formatCode>#,##0.0</c:formatCode>
                <c:ptCount val="124"/>
                <c:pt idx="0">
                  <c:v>201.79888475836432</c:v>
                </c:pt>
                <c:pt idx="1">
                  <c:v>169.0380255941499</c:v>
                </c:pt>
                <c:pt idx="2">
                  <c:v>154.58481012658228</c:v>
                </c:pt>
                <c:pt idx="3">
                  <c:v>189.36049822064055</c:v>
                </c:pt>
                <c:pt idx="4">
                  <c:v>203.05654450261781</c:v>
                </c:pt>
                <c:pt idx="5">
                  <c:v>192.07663230240544</c:v>
                </c:pt>
                <c:pt idx="6">
                  <c:v>190.44054514480405</c:v>
                </c:pt>
                <c:pt idx="7">
                  <c:v>213.00872483221471</c:v>
                </c:pt>
                <c:pt idx="8">
                  <c:v>230.18410596026487</c:v>
                </c:pt>
                <c:pt idx="9">
                  <c:v>251.59772357723574</c:v>
                </c:pt>
                <c:pt idx="10">
                  <c:v>222.94516129032257</c:v>
                </c:pt>
                <c:pt idx="11">
                  <c:v>252.84984126984125</c:v>
                </c:pt>
                <c:pt idx="12">
                  <c:v>234.43062499999996</c:v>
                </c:pt>
                <c:pt idx="13">
                  <c:v>250.8507692307692</c:v>
                </c:pt>
                <c:pt idx="14">
                  <c:v>201.90089552238805</c:v>
                </c:pt>
                <c:pt idx="15">
                  <c:v>236.27036496350362</c:v>
                </c:pt>
                <c:pt idx="16">
                  <c:v>258.12085106382978</c:v>
                </c:pt>
                <c:pt idx="17">
                  <c:v>254.71759776536314</c:v>
                </c:pt>
                <c:pt idx="18">
                  <c:v>208.44619640387273</c:v>
                </c:pt>
                <c:pt idx="19">
                  <c:v>245.24320652173913</c:v>
                </c:pt>
                <c:pt idx="20">
                  <c:v>233.42234042553193</c:v>
                </c:pt>
                <c:pt idx="21">
                  <c:v>166.3940026075619</c:v>
                </c:pt>
                <c:pt idx="22">
                  <c:v>259.16285714285709</c:v>
                </c:pt>
                <c:pt idx="23">
                  <c:v>343.31830985915497</c:v>
                </c:pt>
                <c:pt idx="24">
                  <c:v>242.54651457541186</c:v>
                </c:pt>
                <c:pt idx="25">
                  <c:v>196.03561643835616</c:v>
                </c:pt>
                <c:pt idx="26">
                  <c:v>172.49528535980147</c:v>
                </c:pt>
                <c:pt idx="27">
                  <c:v>217.62162162162159</c:v>
                </c:pt>
                <c:pt idx="28">
                  <c:v>233.01555285540704</c:v>
                </c:pt>
                <c:pt idx="29">
                  <c:v>187.46163069544363</c:v>
                </c:pt>
                <c:pt idx="30">
                  <c:v>162.57921146953404</c:v>
                </c:pt>
                <c:pt idx="31">
                  <c:v>189.23619271445358</c:v>
                </c:pt>
                <c:pt idx="32">
                  <c:v>204.2037426900585</c:v>
                </c:pt>
                <c:pt idx="33">
                  <c:v>196.34110854503456</c:v>
                </c:pt>
                <c:pt idx="34">
                  <c:v>205.48406466512705</c:v>
                </c:pt>
                <c:pt idx="35">
                  <c:v>212.4449026345934</c:v>
                </c:pt>
                <c:pt idx="36">
                  <c:v>198.46262857142855</c:v>
                </c:pt>
                <c:pt idx="37">
                  <c:v>171.00654627539507</c:v>
                </c:pt>
                <c:pt idx="38">
                  <c:v>197.59323562570452</c:v>
                </c:pt>
                <c:pt idx="39">
                  <c:v>163.0537513997761</c:v>
                </c:pt>
                <c:pt idx="40">
                  <c:v>204.58775055679283</c:v>
                </c:pt>
                <c:pt idx="41">
                  <c:v>170.26255506607933</c:v>
                </c:pt>
                <c:pt idx="42">
                  <c:v>196.70816777041941</c:v>
                </c:pt>
                <c:pt idx="43">
                  <c:v>232.71164835164825</c:v>
                </c:pt>
                <c:pt idx="44">
                  <c:v>278.72307692307692</c:v>
                </c:pt>
                <c:pt idx="45">
                  <c:v>243.66739367502723</c:v>
                </c:pt>
                <c:pt idx="46">
                  <c:v>247.5633007600434</c:v>
                </c:pt>
                <c:pt idx="47">
                  <c:v>204.05356371490288</c:v>
                </c:pt>
                <c:pt idx="48">
                  <c:v>245.84175588865091</c:v>
                </c:pt>
                <c:pt idx="49">
                  <c:v>211.49691817215734</c:v>
                </c:pt>
                <c:pt idx="50">
                  <c:v>256.99086078639738</c:v>
                </c:pt>
                <c:pt idx="51">
                  <c:v>244.00000000000006</c:v>
                </c:pt>
                <c:pt idx="52">
                  <c:v>535.09044585987249</c:v>
                </c:pt>
                <c:pt idx="53">
                  <c:v>331.33711882229233</c:v>
                </c:pt>
                <c:pt idx="54">
                  <c:v>337.25654450261794</c:v>
                </c:pt>
                <c:pt idx="55">
                  <c:v>325.25732087227425</c:v>
                </c:pt>
                <c:pt idx="56">
                  <c:v>352.11983556012331</c:v>
                </c:pt>
                <c:pt idx="57">
                  <c:v>386.39160696008196</c:v>
                </c:pt>
                <c:pt idx="58">
                  <c:v>409.19324462640731</c:v>
                </c:pt>
                <c:pt idx="59">
                  <c:v>365.09491869918696</c:v>
                </c:pt>
                <c:pt idx="60">
                  <c:v>385.16616314199393</c:v>
                </c:pt>
                <c:pt idx="61">
                  <c:v>341.22066198595786</c:v>
                </c:pt>
                <c:pt idx="62">
                  <c:v>346.79539078156307</c:v>
                </c:pt>
                <c:pt idx="63">
                  <c:v>398.60198609731873</c:v>
                </c:pt>
                <c:pt idx="64">
                  <c:v>434.76035502958581</c:v>
                </c:pt>
                <c:pt idx="65">
                  <c:v>436.87221135029347</c:v>
                </c:pt>
                <c:pt idx="66">
                  <c:v>587.867256637168</c:v>
                </c:pt>
                <c:pt idx="67">
                  <c:v>532.39149758454062</c:v>
                </c:pt>
                <c:pt idx="68">
                  <c:v>443.78374760994257</c:v>
                </c:pt>
                <c:pt idx="69">
                  <c:v>322.28430066603232</c:v>
                </c:pt>
                <c:pt idx="70">
                  <c:v>399.54131054131051</c:v>
                </c:pt>
                <c:pt idx="71">
                  <c:v>609.17752808988757</c:v>
                </c:pt>
                <c:pt idx="72">
                  <c:v>836.02638376383743</c:v>
                </c:pt>
                <c:pt idx="73">
                  <c:v>553.45255474452551</c:v>
                </c:pt>
                <c:pt idx="74">
                  <c:v>497.07382053654032</c:v>
                </c:pt>
                <c:pt idx="75">
                  <c:v>628.90045998160042</c:v>
                </c:pt>
                <c:pt idx="76">
                  <c:v>572.77493138151874</c:v>
                </c:pt>
                <c:pt idx="77">
                  <c:v>498.37</c:v>
                </c:pt>
                <c:pt idx="78">
                  <c:v>615.89963503649631</c:v>
                </c:pt>
                <c:pt idx="79">
                  <c:v>561.22198198198203</c:v>
                </c:pt>
                <c:pt idx="80">
                  <c:v>734.00139616055833</c:v>
                </c:pt>
                <c:pt idx="81">
                  <c:v>485.29492430988438</c:v>
                </c:pt>
                <c:pt idx="82">
                  <c:v>516.29222520107226</c:v>
                </c:pt>
                <c:pt idx="83">
                  <c:v>562.42433392539942</c:v>
                </c:pt>
                <c:pt idx="84">
                  <c:v>617.01012433392532</c:v>
                </c:pt>
                <c:pt idx="85">
                  <c:v>407.92539682539672</c:v>
                </c:pt>
                <c:pt idx="86">
                  <c:v>539.29398230088475</c:v>
                </c:pt>
                <c:pt idx="87">
                  <c:v>504.07403508771961</c:v>
                </c:pt>
                <c:pt idx="88">
                  <c:v>493.36499560246256</c:v>
                </c:pt>
                <c:pt idx="89">
                  <c:v>376.50555555555553</c:v>
                </c:pt>
                <c:pt idx="90">
                  <c:v>522.69209383145085</c:v>
                </c:pt>
                <c:pt idx="91">
                  <c:v>553.92206896551716</c:v>
                </c:pt>
                <c:pt idx="92">
                  <c:v>673.30188679245282</c:v>
                </c:pt>
                <c:pt idx="93">
                  <c:v>493.7740458015266</c:v>
                </c:pt>
                <c:pt idx="94">
                  <c:v>568.14765558397255</c:v>
                </c:pt>
                <c:pt idx="95">
                  <c:v>592.73546218487411</c:v>
                </c:pt>
                <c:pt idx="96">
                  <c:v>741.92612765957438</c:v>
                </c:pt>
                <c:pt idx="97">
                  <c:v>583.31056635672019</c:v>
                </c:pt>
                <c:pt idx="98">
                  <c:v>745.27707979626518</c:v>
                </c:pt>
                <c:pt idx="99">
                  <c:v>630.11788079470159</c:v>
                </c:pt>
                <c:pt idx="100">
                  <c:v>651.62411812961432</c:v>
                </c:pt>
                <c:pt idx="101">
                  <c:v>603.24</c:v>
                </c:pt>
                <c:pt idx="102">
                  <c:v>787.86628757108076</c:v>
                </c:pt>
                <c:pt idx="103">
                  <c:v>756.66415396952698</c:v>
                </c:pt>
                <c:pt idx="104">
                  <c:v>794.03455999999983</c:v>
                </c:pt>
                <c:pt idx="105">
                  <c:v>644.62975338106605</c:v>
                </c:pt>
                <c:pt idx="106">
                  <c:v>851.53859649122774</c:v>
                </c:pt>
                <c:pt idx="107">
                  <c:v>804.88199052132722</c:v>
                </c:pt>
                <c:pt idx="108">
                  <c:v>1765.5851622603168</c:v>
                </c:pt>
                <c:pt idx="109">
                  <c:v>900.53612649050729</c:v>
                </c:pt>
                <c:pt idx="110">
                  <c:v>904.86835116910402</c:v>
                </c:pt>
                <c:pt idx="111">
                  <c:v>925.71882917061441</c:v>
                </c:pt>
                <c:pt idx="112">
                  <c:v>1094.0298903668206</c:v>
                </c:pt>
                <c:pt idx="113">
                  <c:v>795.55305676799162</c:v>
                </c:pt>
                <c:pt idx="114">
                  <c:v>948.57486001919176</c:v>
                </c:pt>
                <c:pt idx="115">
                  <c:v>799.42497537244935</c:v>
                </c:pt>
                <c:pt idx="116">
                  <c:v>885.65337657204964</c:v>
                </c:pt>
                <c:pt idx="117">
                  <c:v>647.49362584299035</c:v>
                </c:pt>
                <c:pt idx="118">
                  <c:v>892.71251344686971</c:v>
                </c:pt>
                <c:pt idx="119">
                  <c:v>840.57336905372574</c:v>
                </c:pt>
                <c:pt idx="120">
                  <c:v>1032.3120206789683</c:v>
                </c:pt>
                <c:pt idx="121">
                  <c:v>1010.8283351717356</c:v>
                </c:pt>
                <c:pt idx="122">
                  <c:v>735.52528494140915</c:v>
                </c:pt>
                <c:pt idx="123">
                  <c:v>888.42870250628016</c:v>
                </c:pt>
              </c:numCache>
            </c:numRef>
          </c:val>
        </c:ser>
        <c:marker val="1"/>
        <c:axId val="109984768"/>
        <c:axId val="109991040"/>
      </c:lineChart>
      <c:lineChart>
        <c:grouping val="standard"/>
        <c:ser>
          <c:idx val="1"/>
          <c:order val="1"/>
          <c:tx>
            <c:strRef>
              <c:f>'Tab2'!$L$70</c:f>
              <c:strCache>
                <c:ptCount val="1"/>
                <c:pt idx="0">
                  <c:v>Antall</c:v>
                </c:pt>
              </c:strCache>
            </c:strRef>
          </c:tx>
          <c:spPr>
            <a:ln w="25400"/>
          </c:spPr>
          <c:marker>
            <c:symbol val="none"/>
          </c:marker>
          <c:val>
            <c:numRef>
              <c:f>'Tab2'!$L$71:$L$194</c:f>
              <c:numCache>
                <c:formatCode>#,##0</c:formatCode>
                <c:ptCount val="124"/>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numCache>
            </c:numRef>
          </c:val>
        </c:ser>
        <c:upDownBars>
          <c:gapWidth val="150"/>
          <c:upBars/>
          <c:downBars/>
        </c:upDownBars>
        <c:marker val="1"/>
        <c:axId val="109995136"/>
        <c:axId val="109992960"/>
      </c:lineChart>
      <c:catAx>
        <c:axId val="109984768"/>
        <c:scaling>
          <c:orientation val="minMax"/>
        </c:scaling>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title>
        <c:numFmt formatCode="General" sourceLinked="1"/>
        <c:minorTickMark val="out"/>
        <c:tickLblPos val="nextTo"/>
        <c:txPr>
          <a:bodyPr rot="-3000000" vert="horz"/>
          <a:lstStyle/>
          <a:p>
            <a:pPr>
              <a:defRPr/>
            </a:pPr>
            <a:endParaRPr lang="nb-NO"/>
          </a:p>
        </c:txPr>
        <c:crossAx val="109991040"/>
        <c:crosses val="autoZero"/>
        <c:auto val="1"/>
        <c:lblAlgn val="ctr"/>
        <c:lblOffset val="100"/>
        <c:tickLblSkip val="1"/>
        <c:tickMarkSkip val="4"/>
      </c:catAx>
      <c:valAx>
        <c:axId val="109991040"/>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109984768"/>
        <c:crosses val="autoZero"/>
        <c:crossBetween val="between"/>
      </c:valAx>
      <c:valAx>
        <c:axId val="109992960"/>
        <c:scaling>
          <c:orientation val="minMax"/>
        </c:scaling>
        <c:axPos val="r"/>
        <c:title>
          <c:tx>
            <c:rich>
              <a:bodyPr rot="-5400000" vert="horz"/>
              <a:lstStyle/>
              <a:p>
                <a:pPr>
                  <a:defRPr/>
                </a:pPr>
                <a:r>
                  <a:rPr lang="en-US"/>
                  <a:t>Antall meldte vannskader</a:t>
                </a:r>
              </a:p>
            </c:rich>
          </c:tx>
        </c:title>
        <c:numFmt formatCode="#,##0" sourceLinked="1"/>
        <c:tickLblPos val="nextTo"/>
        <c:crossAx val="109995136"/>
        <c:crosses val="max"/>
        <c:crossBetween val="between"/>
      </c:valAx>
      <c:catAx>
        <c:axId val="109995136"/>
        <c:scaling>
          <c:orientation val="minMax"/>
        </c:scaling>
        <c:delete val="1"/>
        <c:axPos val="b"/>
        <c:tickLblPos val="none"/>
        <c:crossAx val="109992960"/>
        <c:crosses val="autoZero"/>
        <c:lblAlgn val="ctr"/>
        <c:lblOffset val="100"/>
      </c:catAx>
    </c:plotArea>
    <c:legend>
      <c:legendPos val="r"/>
      <c:layout>
        <c:manualLayout>
          <c:xMode val="edge"/>
          <c:yMode val="edge"/>
          <c:x val="0.17254097125419141"/>
          <c:y val="8.1243623616814989E-2"/>
          <c:w val="0.2317650782352112"/>
          <c:h val="0.1014803566673602"/>
        </c:manualLayout>
      </c:layout>
    </c:legend>
    <c:plotVisOnly val="1"/>
  </c:chart>
  <c:spPr>
    <a:ln>
      <a:noFill/>
    </a:ln>
  </c:spPr>
  <c:printSettings>
    <c:headerFooter/>
    <c:pageMargins b="0.75000000000001199" l="0.70000000000000062" r="0.70000000000000062" t="0.75000000000001199"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211"/>
          <c:h val="0.80035630261243251"/>
        </c:manualLayout>
      </c:layout>
      <c:lineChart>
        <c:grouping val="standard"/>
        <c:ser>
          <c:idx val="0"/>
          <c:order val="0"/>
          <c:tx>
            <c:strRef>
              <c:f>'Tab2'!$M$70</c:f>
              <c:strCache>
                <c:ptCount val="1"/>
                <c:pt idx="0">
                  <c:v>Erstatning</c:v>
                </c:pt>
              </c:strCache>
            </c:strRef>
          </c:tx>
          <c:spPr>
            <a:ln w="50800"/>
          </c:spPr>
          <c:marker>
            <c:symbol val="none"/>
          </c:marker>
          <c:cat>
            <c:numRef>
              <c:f>'Tab2'!$K$103:$K$194</c:f>
              <c:numCache>
                <c:formatCode>General</c:formatCode>
                <c:ptCount val="92"/>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numCache>
            </c:numRef>
          </c:cat>
          <c:val>
            <c:numRef>
              <c:f>'Tab2'!$Q$103:$Q$194</c:f>
              <c:numCache>
                <c:formatCode>#,##0.0</c:formatCode>
                <c:ptCount val="92"/>
                <c:pt idx="0">
                  <c:v>591.5787134502923</c:v>
                </c:pt>
                <c:pt idx="1">
                  <c:v>572.28706697459575</c:v>
                </c:pt>
                <c:pt idx="2">
                  <c:v>667.74572748267894</c:v>
                </c:pt>
                <c:pt idx="3">
                  <c:v>656.39633447880908</c:v>
                </c:pt>
                <c:pt idx="4">
                  <c:v>628.05599999999993</c:v>
                </c:pt>
                <c:pt idx="5">
                  <c:v>624.0451467268623</c:v>
                </c:pt>
                <c:pt idx="6">
                  <c:v>666.30980834272839</c:v>
                </c:pt>
                <c:pt idx="7">
                  <c:v>639.59148936170197</c:v>
                </c:pt>
                <c:pt idx="8">
                  <c:v>671.59777282850769</c:v>
                </c:pt>
                <c:pt idx="9">
                  <c:v>521.57687224669598</c:v>
                </c:pt>
                <c:pt idx="10">
                  <c:v>575.46026490066254</c:v>
                </c:pt>
                <c:pt idx="11">
                  <c:v>688.69670329670294</c:v>
                </c:pt>
                <c:pt idx="12">
                  <c:v>630.59252747252742</c:v>
                </c:pt>
                <c:pt idx="13">
                  <c:v>723.39214830970559</c:v>
                </c:pt>
                <c:pt idx="14">
                  <c:v>620.00108577633011</c:v>
                </c:pt>
                <c:pt idx="15">
                  <c:v>566.07473002159816</c:v>
                </c:pt>
                <c:pt idx="16">
                  <c:v>780.19914346895064</c:v>
                </c:pt>
                <c:pt idx="17">
                  <c:v>659.44824654622755</c:v>
                </c:pt>
                <c:pt idx="18">
                  <c:v>695.81487778958524</c:v>
                </c:pt>
                <c:pt idx="19">
                  <c:v>524.74186046511613</c:v>
                </c:pt>
                <c:pt idx="20">
                  <c:v>683.67919320594467</c:v>
                </c:pt>
                <c:pt idx="21">
                  <c:v>825.94384858044168</c:v>
                </c:pt>
                <c:pt idx="22">
                  <c:v>817.70659685863848</c:v>
                </c:pt>
                <c:pt idx="23">
                  <c:v>927.83343717549349</c:v>
                </c:pt>
                <c:pt idx="24">
                  <c:v>862.9901336073998</c:v>
                </c:pt>
                <c:pt idx="25">
                  <c:v>912.61494370521973</c:v>
                </c:pt>
                <c:pt idx="26">
                  <c:v>989.39877175025595</c:v>
                </c:pt>
                <c:pt idx="27">
                  <c:v>769.19512195121945</c:v>
                </c:pt>
                <c:pt idx="28">
                  <c:v>810.33554884189323</c:v>
                </c:pt>
                <c:pt idx="29">
                  <c:v>776.52938816449341</c:v>
                </c:pt>
                <c:pt idx="30">
                  <c:v>581.98156312625269</c:v>
                </c:pt>
                <c:pt idx="31">
                  <c:v>984.31102284011831</c:v>
                </c:pt>
                <c:pt idx="32">
                  <c:v>912.00414201183423</c:v>
                </c:pt>
                <c:pt idx="33">
                  <c:v>1148.4473581213306</c:v>
                </c:pt>
                <c:pt idx="34">
                  <c:v>748.19469026548632</c:v>
                </c:pt>
                <c:pt idx="35">
                  <c:v>1212.9864734299515</c:v>
                </c:pt>
                <c:pt idx="36">
                  <c:v>1051.9175908221798</c:v>
                </c:pt>
                <c:pt idx="37">
                  <c:v>860.87193149381528</c:v>
                </c:pt>
                <c:pt idx="38">
                  <c:v>900.01937321937351</c:v>
                </c:pt>
                <c:pt idx="39">
                  <c:v>928.84494382022444</c:v>
                </c:pt>
                <c:pt idx="40">
                  <c:v>1085.7324723247229</c:v>
                </c:pt>
                <c:pt idx="41">
                  <c:v>1130.169708029197</c:v>
                </c:pt>
                <c:pt idx="42">
                  <c:v>1455.2196114708602</c:v>
                </c:pt>
                <c:pt idx="43">
                  <c:v>991.74664213431481</c:v>
                </c:pt>
                <c:pt idx="44">
                  <c:v>1007.2980786825252</c:v>
                </c:pt>
                <c:pt idx="45">
                  <c:v>840.70199999999977</c:v>
                </c:pt>
                <c:pt idx="46">
                  <c:v>1096.9870437956204</c:v>
                </c:pt>
                <c:pt idx="47">
                  <c:v>1134.654954954955</c:v>
                </c:pt>
                <c:pt idx="48">
                  <c:v>1273.1434554973823</c:v>
                </c:pt>
                <c:pt idx="49">
                  <c:v>977.28192341941224</c:v>
                </c:pt>
                <c:pt idx="50">
                  <c:v>1031.6250223413758</c:v>
                </c:pt>
                <c:pt idx="51">
                  <c:v>908.53161634103037</c:v>
                </c:pt>
                <c:pt idx="52">
                  <c:v>876.23303730017767</c:v>
                </c:pt>
                <c:pt idx="53">
                  <c:v>838.21746031746011</c:v>
                </c:pt>
                <c:pt idx="54">
                  <c:v>775.15345132743346</c:v>
                </c:pt>
                <c:pt idx="55">
                  <c:v>835.10070175438659</c:v>
                </c:pt>
                <c:pt idx="56">
                  <c:v>844.14986807387857</c:v>
                </c:pt>
                <c:pt idx="57">
                  <c:v>868.45572916666652</c:v>
                </c:pt>
                <c:pt idx="58">
                  <c:v>970.18088618592549</c:v>
                </c:pt>
                <c:pt idx="59">
                  <c:v>920.65827586206854</c:v>
                </c:pt>
                <c:pt idx="60">
                  <c:v>1090.1735849056604</c:v>
                </c:pt>
                <c:pt idx="61">
                  <c:v>923.35063613231546</c:v>
                </c:pt>
                <c:pt idx="62">
                  <c:v>979.21381074168801</c:v>
                </c:pt>
                <c:pt idx="63">
                  <c:v>931.50588235294117</c:v>
                </c:pt>
                <c:pt idx="64">
                  <c:v>1247.4318297872337</c:v>
                </c:pt>
                <c:pt idx="65">
                  <c:v>1181.7087066779372</c:v>
                </c:pt>
                <c:pt idx="66">
                  <c:v>774.21324278438067</c:v>
                </c:pt>
                <c:pt idx="67">
                  <c:v>1012.8322847682117</c:v>
                </c:pt>
                <c:pt idx="68">
                  <c:v>1060.8295324036094</c:v>
                </c:pt>
                <c:pt idx="69">
                  <c:v>1269.1800000000003</c:v>
                </c:pt>
                <c:pt idx="70">
                  <c:v>1620.5385865150279</c:v>
                </c:pt>
                <c:pt idx="71">
                  <c:v>1248.3720930232557</c:v>
                </c:pt>
                <c:pt idx="72">
                  <c:v>1127.17264</c:v>
                </c:pt>
                <c:pt idx="73">
                  <c:v>1150.7890214797135</c:v>
                </c:pt>
                <c:pt idx="74">
                  <c:v>1367.7912280701751</c:v>
                </c:pt>
                <c:pt idx="75">
                  <c:v>1263.7696682464459</c:v>
                </c:pt>
                <c:pt idx="76">
                  <c:v>1718.948717948718</c:v>
                </c:pt>
                <c:pt idx="77">
                  <c:v>1438.5115593483317</c:v>
                </c:pt>
                <c:pt idx="78">
                  <c:v>1350.6106416275429</c:v>
                </c:pt>
                <c:pt idx="79">
                  <c:v>1363.638449612404</c:v>
                </c:pt>
                <c:pt idx="80">
                  <c:v>1750.8874039938555</c:v>
                </c:pt>
                <c:pt idx="81">
                  <c:v>1570.8570992366413</c:v>
                </c:pt>
                <c:pt idx="82">
                  <c:v>1333.0809891808342</c:v>
                </c:pt>
                <c:pt idx="83">
                  <c:v>1323.3484598065511</c:v>
                </c:pt>
                <c:pt idx="84">
                  <c:v>1172.1499353766703</c:v>
                </c:pt>
                <c:pt idx="85">
                  <c:v>1057.4970867352151</c:v>
                </c:pt>
                <c:pt idx="86">
                  <c:v>1168.6351972845432</c:v>
                </c:pt>
                <c:pt idx="87">
                  <c:v>1088.8620553493349</c:v>
                </c:pt>
                <c:pt idx="88">
                  <c:v>1158.543636025604</c:v>
                </c:pt>
                <c:pt idx="89">
                  <c:v>1132.8623587998636</c:v>
                </c:pt>
                <c:pt idx="90">
                  <c:v>1323.3889549928699</c:v>
                </c:pt>
                <c:pt idx="91">
                  <c:v>1202.8039920619185</c:v>
                </c:pt>
              </c:numCache>
            </c:numRef>
          </c:val>
        </c:ser>
        <c:marker val="1"/>
        <c:axId val="110031232"/>
        <c:axId val="110032768"/>
      </c:lineChart>
      <c:lineChart>
        <c:grouping val="standard"/>
        <c:ser>
          <c:idx val="1"/>
          <c:order val="1"/>
          <c:tx>
            <c:strRef>
              <c:f>'Tab2'!$L$70</c:f>
              <c:strCache>
                <c:ptCount val="1"/>
                <c:pt idx="0">
                  <c:v>Antall</c:v>
                </c:pt>
              </c:strCache>
            </c:strRef>
          </c:tx>
          <c:spPr>
            <a:ln w="25400"/>
          </c:spPr>
          <c:marker>
            <c:symbol val="none"/>
          </c:marker>
          <c:val>
            <c:numRef>
              <c:f>'Tab2'!$O$103:$O$194</c:f>
              <c:numCache>
                <c:formatCode>#,##0</c:formatCode>
                <c:ptCount val="92"/>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numCache>
            </c:numRef>
          </c:val>
        </c:ser>
        <c:upDownBars>
          <c:gapWidth val="150"/>
          <c:upBars/>
          <c:downBars/>
        </c:upDownBars>
        <c:marker val="1"/>
        <c:axId val="110040960"/>
        <c:axId val="110039040"/>
      </c:lineChart>
      <c:catAx>
        <c:axId val="110031232"/>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110032768"/>
        <c:crosses val="autoZero"/>
        <c:auto val="1"/>
        <c:lblAlgn val="ctr"/>
        <c:lblOffset val="100"/>
        <c:tickLblSkip val="1"/>
        <c:tickMarkSkip val="4"/>
      </c:catAx>
      <c:valAx>
        <c:axId val="110032768"/>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110031232"/>
        <c:crosses val="autoZero"/>
        <c:crossBetween val="between"/>
      </c:valAx>
      <c:valAx>
        <c:axId val="110039040"/>
        <c:scaling>
          <c:orientation val="minMax"/>
        </c:scaling>
        <c:axPos val="r"/>
        <c:title>
          <c:tx>
            <c:rich>
              <a:bodyPr rot="-5400000" vert="horz"/>
              <a:lstStyle/>
              <a:p>
                <a:pPr>
                  <a:defRPr/>
                </a:pPr>
                <a:r>
                  <a:rPr lang="en-US"/>
                  <a:t>Antall meldte brannskader</a:t>
                </a:r>
              </a:p>
            </c:rich>
          </c:tx>
        </c:title>
        <c:numFmt formatCode="#,##0" sourceLinked="1"/>
        <c:tickLblPos val="nextTo"/>
        <c:crossAx val="110040960"/>
        <c:crosses val="max"/>
        <c:crossBetween val="between"/>
      </c:valAx>
      <c:catAx>
        <c:axId val="110040960"/>
        <c:scaling>
          <c:orientation val="minMax"/>
        </c:scaling>
        <c:delete val="1"/>
        <c:axPos val="b"/>
        <c:tickLblPos val="none"/>
        <c:crossAx val="110039040"/>
        <c:crosses val="autoZero"/>
        <c:lblAlgn val="ctr"/>
        <c:lblOffset val="100"/>
      </c:catAx>
    </c:plotArea>
    <c:legend>
      <c:legendPos val="r"/>
      <c:layout>
        <c:manualLayout>
          <c:xMode val="edge"/>
          <c:yMode val="edge"/>
          <c:x val="0.17254097125419141"/>
          <c:y val="8.1243623616814989E-2"/>
          <c:w val="0.2317650782352112"/>
          <c:h val="0.10148035666736015"/>
        </c:manualLayout>
      </c:layout>
    </c:legend>
    <c:plotVisOnly val="1"/>
  </c:chart>
  <c:spPr>
    <a:ln>
      <a:noFill/>
    </a:ln>
  </c:spPr>
  <c:printSettings>
    <c:headerFooter/>
    <c:pageMargins b="0.75000000000001221" l="0.70000000000000062" r="0.70000000000000062" t="0.75000000000001221"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7</xdr:col>
      <xdr:colOff>742950</xdr:colOff>
      <xdr:row>55</xdr:row>
      <xdr:rowOff>0</xdr:rowOff>
    </xdr:to>
    <xdr:pic>
      <xdr:nvPicPr>
        <xdr:cNvPr id="2" name="Picture 1" descr="Statistikk_forside.pdf"/>
        <xdr:cNvPicPr>
          <a:picLocks noChangeAspect="1"/>
        </xdr:cNvPicPr>
      </xdr:nvPicPr>
      <xdr:blipFill>
        <a:blip xmlns:r="http://schemas.openxmlformats.org/officeDocument/2006/relationships" r:embed="rId1" cstate="print"/>
        <a:srcRect/>
        <a:stretch>
          <a:fillRect/>
        </a:stretch>
      </xdr:blipFill>
      <xdr:spPr bwMode="auto">
        <a:xfrm>
          <a:off x="0" y="9525"/>
          <a:ext cx="6581775" cy="11382375"/>
        </a:xfrm>
        <a:prstGeom prst="rect">
          <a:avLst/>
        </a:prstGeom>
        <a:noFill/>
        <a:ln w="9525">
          <a:noFill/>
          <a:miter lim="800000"/>
          <a:headEnd/>
          <a:tailEnd/>
        </a:ln>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xdr:cNvSpPr txBox="1"/>
      </xdr:nvSpPr>
      <xdr:spPr>
        <a:xfrm>
          <a:off x="695325" y="9172575"/>
          <a:ext cx="3492517" cy="523875"/>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4. KVARTAL 2013 </a:t>
          </a:r>
          <a:r>
            <a:rPr lang="nb-NO" sz="1000">
              <a:effectLst/>
              <a:latin typeface="Arial"/>
              <a:ea typeface="ＭＳ 明朝"/>
              <a:cs typeface="Times New Roman"/>
            </a:rPr>
            <a:t>(6. februar 2014)</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xdr:cNvSpPr txBox="1"/>
      </xdr:nvSpPr>
      <xdr:spPr>
        <a:xfrm>
          <a:off x="666750" y="7353300"/>
          <a:ext cx="5638800" cy="1168400"/>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xdr:cNvSpPr txBox="1"/>
      </xdr:nvSpPr>
      <xdr:spPr>
        <a:xfrm>
          <a:off x="654050" y="8359775"/>
          <a:ext cx="5480078" cy="374734"/>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xdr:cNvSpPr txBox="1"/>
      </xdr:nvSpPr>
      <xdr:spPr>
        <a:xfrm>
          <a:off x="108858" y="771525"/>
          <a:ext cx="2085325" cy="644978"/>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103</xdr:row>
      <xdr:rowOff>160358</xdr:rowOff>
    </xdr:from>
    <xdr:to>
      <xdr:col>2</xdr:col>
      <xdr:colOff>657225</xdr:colOff>
      <xdr:row>118</xdr:row>
      <xdr:rowOff>141130</xdr:rowOff>
    </xdr:to>
    <xdr:sp macro="" textlink="">
      <xdr:nvSpPr>
        <xdr:cNvPr id="3309" name="Text Box 3"/>
        <xdr:cNvSpPr txBox="1">
          <a:spLocks noChangeArrowheads="1"/>
        </xdr:cNvSpPr>
      </xdr:nvSpPr>
      <xdr:spPr bwMode="auto">
        <a:xfrm>
          <a:off x="790575" y="16752908"/>
          <a:ext cx="2428875" cy="2409647"/>
        </a:xfrm>
        <a:prstGeom prst="rect">
          <a:avLst/>
        </a:prstGeom>
        <a:solidFill>
          <a:srgbClr val="FFFFFF"/>
        </a:solidFill>
        <a:ln w="9525">
          <a:noFill/>
          <a:miter lim="800000"/>
          <a:headEnd/>
          <a:tailEnd/>
        </a:ln>
      </xdr:spPr>
      <xdr:txBody>
        <a:bodyPr/>
        <a:lstStyle/>
        <a:p>
          <a:pPr rtl="0"/>
          <a:endParaRPr lang="nb-NO" sz="1100" b="0" i="0" strike="noStrike" baseline="0">
            <a:solidFill>
              <a:srgbClr val="000000"/>
            </a:solidFill>
            <a:latin typeface="Times New Roman"/>
            <a:ea typeface="+mn-ea"/>
            <a:cs typeface="Times New Roman"/>
          </a:endParaRPr>
        </a:p>
      </xdr:txBody>
    </xdr:sp>
    <xdr:clientData/>
  </xdr:twoCellAnchor>
  <xdr:twoCellAnchor>
    <xdr:from>
      <xdr:col>3</xdr:col>
      <xdr:colOff>276225</xdr:colOff>
      <xdr:row>104</xdr:row>
      <xdr:rowOff>0</xdr:rowOff>
    </xdr:from>
    <xdr:to>
      <xdr:col>7</xdr:col>
      <xdr:colOff>342900</xdr:colOff>
      <xdr:row>118</xdr:row>
      <xdr:rowOff>133352</xdr:rowOff>
    </xdr:to>
    <xdr:sp macro="" textlink="">
      <xdr:nvSpPr>
        <xdr:cNvPr id="3310" name="Text Box 4"/>
        <xdr:cNvSpPr txBox="1">
          <a:spLocks noChangeArrowheads="1"/>
        </xdr:cNvSpPr>
      </xdr:nvSpPr>
      <xdr:spPr bwMode="auto">
        <a:xfrm>
          <a:off x="3552825" y="16840200"/>
          <a:ext cx="2524125" cy="2400302"/>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38099</xdr:rowOff>
    </xdr:from>
    <xdr:to>
      <xdr:col>7</xdr:col>
      <xdr:colOff>457200</xdr:colOff>
      <xdr:row>104</xdr:row>
      <xdr:rowOff>28575</xdr:rowOff>
    </xdr:to>
    <xdr:sp macro="" textlink="">
      <xdr:nvSpPr>
        <xdr:cNvPr id="4" name="TextBox 3"/>
        <xdr:cNvSpPr txBox="1"/>
      </xdr:nvSpPr>
      <xdr:spPr>
        <a:xfrm>
          <a:off x="790575" y="14773274"/>
          <a:ext cx="5400675" cy="2095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nb-NO" sz="1200" b="1" i="0">
              <a:solidFill>
                <a:schemeClr val="dk1"/>
              </a:solidFill>
              <a:latin typeface="Times New Roman" pitchFamily="18" charset="0"/>
              <a:ea typeface="+mn-ea"/>
              <a:cs typeface="Times New Roman" pitchFamily="18" charset="0"/>
            </a:rPr>
            <a:t>1. </a:t>
          </a:r>
          <a:r>
            <a:rPr lang="en-US" sz="1200" b="1" i="0" baseline="0">
              <a:solidFill>
                <a:schemeClr val="dk1"/>
              </a:solidFill>
              <a:latin typeface="Times New Roman" pitchFamily="18" charset="0"/>
              <a:ea typeface="+mn-ea"/>
              <a:cs typeface="Times New Roman" pitchFamily="18" charset="0"/>
            </a:rPr>
            <a:t>HOVEDTREKK – mye vann og brann i 2013</a:t>
          </a:r>
          <a:endParaRPr lang="nb-NO" sz="1200">
            <a:solidFill>
              <a:schemeClr val="dk1"/>
            </a:solidFill>
            <a:latin typeface="Times New Roman" pitchFamily="18" charset="0"/>
            <a:ea typeface="+mn-ea"/>
            <a:cs typeface="Times New Roman" pitchFamily="18" charset="0"/>
          </a:endParaRPr>
        </a:p>
        <a:p>
          <a:pPr rtl="0"/>
          <a:endParaRPr lang="nb-NO" sz="1200">
            <a:solidFill>
              <a:schemeClr val="dk1"/>
            </a:solidFill>
            <a:latin typeface="Times New Roman" pitchFamily="18" charset="0"/>
            <a:ea typeface="+mn-ea"/>
            <a:cs typeface="Times New Roman" pitchFamily="18" charset="0"/>
          </a:endParaRPr>
        </a:p>
        <a:p>
          <a:pPr rtl="0"/>
          <a:r>
            <a:rPr lang="en-US" sz="1200" b="0" i="0" baseline="0">
              <a:solidFill>
                <a:schemeClr val="dk1"/>
              </a:solidFill>
              <a:latin typeface="Times New Roman" pitchFamily="18" charset="0"/>
              <a:ea typeface="+mn-ea"/>
              <a:cs typeface="Times New Roman" pitchFamily="18" charset="0"/>
            </a:rPr>
            <a:t>Totalt ble det erstattet skader for 32,8 milliarder kr i 2013, hvor 38 prosent er erstatning på motorkjøretøy, mens 35 prosent går til erstatning på private boliger og næringsbygg. Erstatningene for landbasert forsikring totalt i 2013 økte med 5,5 prosent fra året før. Økningen skyldes hovedsakelig at erstatning etter vann og brann på boliger og næringsbygg økte mye fra 2012, men skadeutviklingen i 2012 var gunstig. Til sammen økte erstatningene etter vannskader på boliger og næringsbygg med 15 prosent og erstatningene etter brann økte med 10 prosent.</a:t>
          </a:r>
          <a:endParaRPr lang="nb-NO" sz="1200">
            <a:solidFill>
              <a:schemeClr val="dk1"/>
            </a:solidFill>
            <a:latin typeface="Times New Roman" pitchFamily="18" charset="0"/>
            <a:ea typeface="+mn-ea"/>
            <a:cs typeface="Times New Roman" pitchFamily="18" charset="0"/>
          </a:endParaRPr>
        </a:p>
        <a:p>
          <a:endParaRPr lang="nb-NO" sz="1200">
            <a:latin typeface="Times New Roman" pitchFamily="18" charset="0"/>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9526</xdr:rowOff>
    </xdr:from>
    <xdr:to>
      <xdr:col>1</xdr:col>
      <xdr:colOff>600075</xdr:colOff>
      <xdr:row>44</xdr:row>
      <xdr:rowOff>161926</xdr:rowOff>
    </xdr:to>
    <xdr:sp macro="" textlink="">
      <xdr:nvSpPr>
        <xdr:cNvPr id="5121" name="Text Box 1"/>
        <xdr:cNvSpPr txBox="1">
          <a:spLocks noChangeArrowheads="1"/>
        </xdr:cNvSpPr>
      </xdr:nvSpPr>
      <xdr:spPr bwMode="auto">
        <a:xfrm>
          <a:off x="0" y="238126"/>
          <a:ext cx="2409825" cy="8229600"/>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latin typeface="Times New Roman" pitchFamily="18" charset="0"/>
              <a:ea typeface="+mn-ea"/>
              <a:cs typeface="Times New Roman" pitchFamily="18" charset="0"/>
            </a:rPr>
            <a:t>Motorvognforsikring – mye glass- og redningsskader og kasko, dyrere biltyveri</a:t>
          </a:r>
          <a:endParaRPr lang="nb-NO">
            <a:latin typeface="Times New Roman" pitchFamily="18" charset="0"/>
            <a:cs typeface="Times New Roman" pitchFamily="18" charset="0"/>
          </a:endParaRPr>
        </a:p>
        <a:p>
          <a:pPr rtl="0" fontAlgn="base"/>
          <a:r>
            <a:rPr lang="en-US" sz="1100" b="0" i="0">
              <a:latin typeface="Times New Roman" pitchFamily="18" charset="0"/>
              <a:ea typeface="+mn-ea"/>
              <a:cs typeface="Times New Roman" pitchFamily="18" charset="0"/>
            </a:rPr>
            <a:t>Antall tyveri av bil i 2013 er på rundt 5400 meldte tilfeller, og dette er en reduksjon på 260 fra samme periode i fjor. Til sammenligning var det 6500 biltyverier som ble meldt til forsikringsselskapene i 2011. Til tross for reduksjon av stjålne kjøretøy, er det en stor økning i erstatningene med 18 prosent fra 2012; i snitt har erstatningen per kjøretøy økt med 18 prosent fra 2012 til 2013. Antall glass- og redningsskader viser fortsatt stor økning fra 2012 med nesten 9 prosent og 12 prosent hhv. Erstatninger etter glasskader i 2013 ble på 1,4 milliarder som er en økning på drøye 7 prosent fra 2012. Kaskoskadene økte med nesten 15 prosent i antall fra 2012, mens erstatningene økte med nesten 5 prosent. Av totale erstatninger på motorvogn, utgjør erstatning etter kaskoskader rundt 40 prosent.</a:t>
          </a:r>
          <a:endParaRPr lang="nb-NO">
            <a:latin typeface="Times New Roman" pitchFamily="18" charset="0"/>
            <a:cs typeface="Times New Roman" pitchFamily="18" charset="0"/>
          </a:endParaRPr>
        </a:p>
        <a:p>
          <a:pPr rtl="0" fontAlgn="base"/>
          <a:endParaRPr lang="en-US" sz="1100" b="0" i="0">
            <a:latin typeface="Times New Roman" pitchFamily="18" charset="0"/>
            <a:ea typeface="+mn-ea"/>
            <a:cs typeface="Times New Roman" pitchFamily="18" charset="0"/>
          </a:endParaRPr>
        </a:p>
        <a:p>
          <a:pPr rtl="0"/>
          <a:r>
            <a:rPr lang="en-US" sz="1100" b="1" i="0">
              <a:latin typeface="Times New Roman" pitchFamily="18" charset="0"/>
              <a:ea typeface="+mn-ea"/>
              <a:cs typeface="Times New Roman" pitchFamily="18" charset="0"/>
            </a:rPr>
            <a:t>Brann-kombinert privatmarkedet – økte brann- og vannskader</a:t>
          </a:r>
          <a:endParaRPr lang="nb-NO" sz="1100" b="1" i="0">
            <a:latin typeface="Times New Roman" pitchFamily="18" charset="0"/>
            <a:ea typeface="+mn-ea"/>
            <a:cs typeface="Times New Roman" pitchFamily="18" charset="0"/>
          </a:endParaRPr>
        </a:p>
        <a:p>
          <a:r>
            <a:rPr lang="en-US" sz="1100" b="0" i="0">
              <a:latin typeface="Times New Roman" pitchFamily="18" charset="0"/>
              <a:ea typeface="+mn-ea"/>
              <a:cs typeface="Times New Roman" pitchFamily="18" charset="0"/>
            </a:rPr>
            <a:t>Antall branner økte med nesten 33 prosent fra 2012, men fortsatt var det flere i 2010 og 2011. Brannerstatningene økte med drøyt 12 prosent fra 2012, mens de ble redusert med 1 prosent fra 2011. I stor grad skyldes antallsøkningen fra 2012 til 2013 at det har vært flere lynnedslag. Antall meldte vannskader økte med 17 prosent fra 2012 til 2013, og erstatningene økte med nesten 15 prosent. Antall innbrudd/tyveri og ran økte med drøye 8 prosent fra 2012, mens erstatningene ble redusert med nesten 4 prosent. Størst økning er det i antall meldte innbrudd/tyveri og ran på hjemforsikringene, mens det på villa og hytte fortsatt er reduksjon i antall meldte skader.</a:t>
          </a:r>
          <a:endParaRPr lang="nb-NO">
            <a:latin typeface="Times New Roman" pitchFamily="18" charset="0"/>
            <a:cs typeface="Times New Roman" pitchFamily="18" charset="0"/>
          </a:endParaRPr>
        </a:p>
      </xdr:txBody>
    </xdr:sp>
    <xdr:clientData/>
  </xdr:twoCellAnchor>
  <xdr:twoCellAnchor>
    <xdr:from>
      <xdr:col>2</xdr:col>
      <xdr:colOff>304800</xdr:colOff>
      <xdr:row>3</xdr:row>
      <xdr:rowOff>9525</xdr:rowOff>
    </xdr:from>
    <xdr:to>
      <xdr:col>6</xdr:col>
      <xdr:colOff>457199</xdr:colOff>
      <xdr:row>44</xdr:row>
      <xdr:rowOff>152400</xdr:rowOff>
    </xdr:to>
    <xdr:sp macro="" textlink="">
      <xdr:nvSpPr>
        <xdr:cNvPr id="5122" name="Text Box 2"/>
        <xdr:cNvSpPr txBox="1">
          <a:spLocks noChangeArrowheads="1"/>
        </xdr:cNvSpPr>
      </xdr:nvSpPr>
      <xdr:spPr bwMode="auto">
        <a:xfrm>
          <a:off x="2828925" y="238125"/>
          <a:ext cx="2609849" cy="8220075"/>
        </a:xfrm>
        <a:prstGeom prst="rect">
          <a:avLst/>
        </a:prstGeom>
        <a:solidFill>
          <a:srgbClr val="FFFFFF"/>
        </a:solidFill>
        <a:ln w="9525">
          <a:noFill/>
          <a:miter lim="800000"/>
          <a:headEnd/>
          <a:tailEnd/>
        </a:ln>
      </xdr:spPr>
      <xdr:txBody>
        <a:bodyPr vertOverflow="clip" wrap="square" lIns="27432" tIns="27432" rIns="0" bIns="0" anchor="t" upright="1"/>
        <a:lstStyle/>
        <a:p>
          <a:pPr fontAlgn="base"/>
          <a:r>
            <a:rPr lang="nb-NO" sz="1100" b="1" i="0" baseline="0">
              <a:latin typeface="Times New Roman" pitchFamily="18" charset="0"/>
              <a:ea typeface="+mn-ea"/>
              <a:cs typeface="Times New Roman" pitchFamily="18" charset="0"/>
            </a:rPr>
            <a:t>Brann-kombinert Næring – stor vannskadeøkning</a:t>
          </a:r>
          <a:endParaRPr lang="nb-NO">
            <a:latin typeface="Times New Roman" pitchFamily="18" charset="0"/>
            <a:cs typeface="Times New Roman" pitchFamily="18" charset="0"/>
          </a:endParaRPr>
        </a:p>
        <a:p>
          <a:pPr fontAlgn="base"/>
          <a:r>
            <a:rPr lang="nb-NO" sz="1100" b="0" i="0" baseline="0">
              <a:latin typeface="Times New Roman" pitchFamily="18" charset="0"/>
              <a:ea typeface="+mn-ea"/>
              <a:cs typeface="Times New Roman" pitchFamily="18" charset="0"/>
            </a:rPr>
            <a:t>Antall brannskader har økte med 17 prosent fra 2012 og erstatningene etter brann økte med nesten 7 prosent, men de var både færre og billigere enn i 2011. Årsaken til at antall branner økte mye fra 2012 til 2013, skyldes mange ”kalde branner” slik som lynnedslag noe som ofte gir mindre skadeomfang/-beløp enn andre brannårsaker. Brannskadene utgjorde 48 prosent av de totale erstatningene på næringsbygg, mens vannskadene utgjorde 28 prosent i 2013. Vannskadene økte med 11 prosent i antall og hele 15 prosent i erstatning. Mange av vannskadene skyldes vanninntrenging utenfra (pga mye nedbør i første halvår). Fortsatt er det meldt færre innbrudd/tyveri og ran; reduksjonen er på drøye 3 prosent fra 2012 i antall og erstatningsreduksjon på nesten 12 prosent.</a:t>
          </a:r>
          <a:endParaRPr lang="nb-NO">
            <a:latin typeface="Times New Roman" pitchFamily="18" charset="0"/>
            <a:cs typeface="Times New Roman" pitchFamily="18" charset="0"/>
          </a:endParaRPr>
        </a:p>
        <a:p>
          <a:pPr fontAlgn="base"/>
          <a:endParaRPr lang="en-US" sz="1100" b="1" i="0">
            <a:latin typeface="Times New Roman" pitchFamily="18" charset="0"/>
            <a:ea typeface="+mn-ea"/>
            <a:cs typeface="Times New Roman" pitchFamily="18" charset="0"/>
          </a:endParaRPr>
        </a:p>
        <a:p>
          <a:pPr rtl="0"/>
          <a:r>
            <a:rPr lang="en-US" sz="1100" b="1" i="0">
              <a:latin typeface="Times New Roman" pitchFamily="18" charset="0"/>
              <a:ea typeface="+mn-ea"/>
              <a:cs typeface="Times New Roman" pitchFamily="18" charset="0"/>
            </a:rPr>
            <a:t>Reiseforsikring </a:t>
          </a:r>
          <a:r>
            <a:rPr lang="nb-NO" sz="1100" b="1" i="0" baseline="0">
              <a:latin typeface="Times New Roman" pitchFamily="18" charset="0"/>
              <a:ea typeface="+mn-ea"/>
              <a:cs typeface="Times New Roman" pitchFamily="18" charset="0"/>
            </a:rPr>
            <a:t>– fortsatt erstatningsøkning</a:t>
          </a:r>
          <a:endParaRPr lang="nb-NO">
            <a:latin typeface="Times New Roman" pitchFamily="18" charset="0"/>
            <a:cs typeface="Times New Roman" pitchFamily="18" charset="0"/>
          </a:endParaRPr>
        </a:p>
        <a:p>
          <a:pPr rtl="0"/>
          <a:r>
            <a:rPr lang="nb-NO" sz="1100" b="0" i="0" baseline="0">
              <a:latin typeface="Times New Roman" pitchFamily="18" charset="0"/>
              <a:ea typeface="+mn-ea"/>
              <a:cs typeface="Times New Roman" pitchFamily="18" charset="0"/>
            </a:rPr>
            <a:t>Antall reiseskader økte med 6 prosent fra 2012 til 2013. I prosent økte reiseulykkesskadene mest, men i absoluttverdi er det fortsatt reisesykdomsskader som øker mest; økningen her er på drøye 2300 flere tilfeller, mens det er nesten 1600 flere tilfelle av ulykkesskader. Erstatningsveksten etter reiseskader er på nesten 7 prosent, hvor det er reiseulykke og –sykdom, samt avbestilling som betyr mest for økningen. Erstatning etter sykdom på reise utgjør 44 prosent av det som totalt erstattes, mens tyveri/tap av reisegods utgjør 18 prosent for 2013.</a:t>
          </a:r>
          <a:endParaRPr lang="nb-NO">
            <a:latin typeface="Times New Roman" pitchFamily="18" charset="0"/>
            <a:cs typeface="Times New Roman" pitchFamily="18" charset="0"/>
          </a:endParaRPr>
        </a:p>
        <a:p>
          <a:pPr rtl="0" fontAlgn="base"/>
          <a:endParaRPr lang="nb-NO" sz="1100" b="0" i="0" baseline="0">
            <a:latin typeface="Times New Roman" pitchFamily="18" charset="0"/>
            <a:ea typeface="+mn-ea"/>
            <a:cs typeface="Times New Roman" pitchFamily="18" charset="0"/>
          </a:endParaRPr>
        </a:p>
        <a:p>
          <a:pPr rtl="0"/>
          <a:r>
            <a:rPr lang="nb-NO" sz="1100" b="1" i="0" baseline="0">
              <a:latin typeface="Times New Roman" pitchFamily="18" charset="0"/>
              <a:ea typeface="+mn-ea"/>
              <a:cs typeface="Times New Roman" pitchFamily="18" charset="0"/>
            </a:rPr>
            <a:t>Fritidsbåtforsikring – økte skader i fjerde kvartal</a:t>
          </a:r>
          <a:endParaRPr lang="nb-NO">
            <a:latin typeface="Times New Roman" pitchFamily="18" charset="0"/>
            <a:cs typeface="Times New Roman" pitchFamily="18" charset="0"/>
          </a:endParaRPr>
        </a:p>
        <a:p>
          <a:pPr rtl="0"/>
          <a:r>
            <a:rPr lang="nb-NO" sz="1100" b="0" i="0" baseline="0">
              <a:latin typeface="Times New Roman" pitchFamily="18" charset="0"/>
              <a:ea typeface="+mn-ea"/>
              <a:cs typeface="Times New Roman" pitchFamily="18" charset="0"/>
            </a:rPr>
            <a:t>Etter tre kvartaler i 2013 var det reduksjon i antall meldte fritidsbåtskader, til tross for god sommer, mens det nå etter fire kvartaler viser en økning på nesten 4 prosent. Erstatningen økte fra 2012 til 2013 med 2,5 prosent. Erstatningene etter havari utgjør rundt 40 prosent av erstatningene totalt på båt, men fra 2012 til 2013 ble de redusert med rundt 2 prosent.</a:t>
          </a:r>
          <a:endParaRPr lang="nb-NO">
            <a:latin typeface="Times New Roman" pitchFamily="18" charset="0"/>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28575</xdr:colOff>
      <xdr:row>51</xdr:row>
      <xdr:rowOff>0</xdr:rowOff>
    </xdr:to>
    <xdr:sp macro="" textlink="">
      <xdr:nvSpPr>
        <xdr:cNvPr id="6145" name="Text Box 1"/>
        <xdr:cNvSpPr txBox="1">
          <a:spLocks noChangeArrowheads="1"/>
        </xdr:cNvSpPr>
      </xdr:nvSpPr>
      <xdr:spPr bwMode="auto">
        <a:xfrm>
          <a:off x="0" y="711200"/>
          <a:ext cx="2555875" cy="93091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Prinsipper</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Det er lagt vekt på å kunne presentere så aktuelle tall som mulig. Tidligere tall oppdateres ikke, men presenteres for å vise hva man trodde på tilsvarende tidspunkt for de to foregående år. </a:t>
          </a:r>
        </a:p>
        <a:p>
          <a:pPr algn="l" rtl="0">
            <a:defRPr sz="1000"/>
          </a:pPr>
          <a:endParaRPr lang="en-US" sz="8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Gouda Reiseforsikring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Møretrygd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OBOS Skadeforsikring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190500</xdr:rowOff>
    </xdr:from>
    <xdr:to>
      <xdr:col>7</xdr:col>
      <xdr:colOff>0</xdr:colOff>
      <xdr:row>50</xdr:row>
      <xdr:rowOff>28575</xdr:rowOff>
    </xdr:to>
    <xdr:sp macro="" textlink="">
      <xdr:nvSpPr>
        <xdr:cNvPr id="6146" name="Text Box 2"/>
        <xdr:cNvSpPr txBox="1">
          <a:spLocks noChangeArrowheads="1"/>
        </xdr:cNvSpPr>
      </xdr:nvSpPr>
      <xdr:spPr bwMode="auto">
        <a:xfrm>
          <a:off x="2876550" y="695325"/>
          <a:ext cx="2647950" cy="9039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190500</xdr:rowOff>
    </xdr:from>
    <xdr:to>
      <xdr:col>10</xdr:col>
      <xdr:colOff>371475</xdr:colOff>
      <xdr:row>50</xdr:row>
      <xdr:rowOff>38100</xdr:rowOff>
    </xdr:to>
    <xdr:sp macro="" textlink="">
      <xdr:nvSpPr>
        <xdr:cNvPr id="6151" name="Text Box 7"/>
        <xdr:cNvSpPr txBox="1">
          <a:spLocks noChangeArrowheads="1"/>
        </xdr:cNvSpPr>
      </xdr:nvSpPr>
      <xdr:spPr bwMode="auto">
        <a:xfrm>
          <a:off x="5629275" y="695325"/>
          <a:ext cx="2552700" cy="904875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752475</xdr:colOff>
      <xdr:row>4</xdr:row>
      <xdr:rowOff>190500</xdr:rowOff>
    </xdr:from>
    <xdr:to>
      <xdr:col>14</xdr:col>
      <xdr:colOff>257175</xdr:colOff>
      <xdr:row>50</xdr:row>
      <xdr:rowOff>38100</xdr:rowOff>
    </xdr:to>
    <xdr:sp macro="" textlink="">
      <xdr:nvSpPr>
        <xdr:cNvPr id="6152" name="Text Box 8"/>
        <xdr:cNvSpPr txBox="1">
          <a:spLocks noChangeArrowheads="1"/>
        </xdr:cNvSpPr>
      </xdr:nvSpPr>
      <xdr:spPr bwMode="auto">
        <a:xfrm>
          <a:off x="8562975" y="695325"/>
          <a:ext cx="2552700" cy="904875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5:J57"/>
  <sheetViews>
    <sheetView showGridLines="0" showRowColHeaders="0" zoomScale="70" zoomScaleNormal="70" zoomScaleSheetLayoutView="100" workbookViewId="0"/>
  </sheetViews>
  <sheetFormatPr defaultColWidth="11.42578125" defaultRowHeight="12.75"/>
  <cols>
    <col min="1" max="1" width="16.28515625" style="100" customWidth="1"/>
    <col min="2" max="4" width="11.42578125" style="100"/>
    <col min="5" max="5" width="14.140625" style="100" bestFit="1" customWidth="1"/>
    <col min="6" max="7" width="11.42578125" style="100"/>
    <col min="8" max="8" width="13.42578125" style="100" customWidth="1"/>
    <col min="9" max="9" width="11.42578125" style="100"/>
    <col min="10" max="10" width="13.42578125" style="100" bestFit="1" customWidth="1"/>
    <col min="11" max="256" width="11.42578125" style="100"/>
    <col min="257" max="257" width="16.28515625" style="100" customWidth="1"/>
    <col min="258" max="260" width="11.42578125" style="100"/>
    <col min="261" max="261" width="14.140625" style="100" bestFit="1" customWidth="1"/>
    <col min="262" max="263" width="11.42578125" style="100"/>
    <col min="264" max="264" width="13.42578125" style="100" customWidth="1"/>
    <col min="265" max="265" width="11.42578125" style="100"/>
    <col min="266" max="266" width="13.42578125" style="100" bestFit="1" customWidth="1"/>
    <col min="267" max="512" width="11.42578125" style="100"/>
    <col min="513" max="513" width="16.28515625" style="100" customWidth="1"/>
    <col min="514" max="516" width="11.42578125" style="100"/>
    <col min="517" max="517" width="14.140625" style="100" bestFit="1" customWidth="1"/>
    <col min="518" max="519" width="11.42578125" style="100"/>
    <col min="520" max="520" width="13.42578125" style="100" customWidth="1"/>
    <col min="521" max="521" width="11.42578125" style="100"/>
    <col min="522" max="522" width="13.42578125" style="100" bestFit="1" customWidth="1"/>
    <col min="523" max="768" width="11.42578125" style="100"/>
    <col min="769" max="769" width="16.28515625" style="100" customWidth="1"/>
    <col min="770" max="772" width="11.42578125" style="100"/>
    <col min="773" max="773" width="14.140625" style="100" bestFit="1" customWidth="1"/>
    <col min="774" max="775" width="11.42578125" style="100"/>
    <col min="776" max="776" width="13.42578125" style="100" customWidth="1"/>
    <col min="777" max="777" width="11.42578125" style="100"/>
    <col min="778" max="778" width="13.42578125" style="100" bestFit="1" customWidth="1"/>
    <col min="779" max="1024" width="11.42578125" style="100"/>
    <col min="1025" max="1025" width="16.28515625" style="100" customWidth="1"/>
    <col min="1026" max="1028" width="11.42578125" style="100"/>
    <col min="1029" max="1029" width="14.140625" style="100" bestFit="1" customWidth="1"/>
    <col min="1030" max="1031" width="11.42578125" style="100"/>
    <col min="1032" max="1032" width="13.42578125" style="100" customWidth="1"/>
    <col min="1033" max="1033" width="11.42578125" style="100"/>
    <col min="1034" max="1034" width="13.42578125" style="100" bestFit="1" customWidth="1"/>
    <col min="1035" max="1280" width="11.42578125" style="100"/>
    <col min="1281" max="1281" width="16.28515625" style="100" customWidth="1"/>
    <col min="1282" max="1284" width="11.42578125" style="100"/>
    <col min="1285" max="1285" width="14.140625" style="100" bestFit="1" customWidth="1"/>
    <col min="1286" max="1287" width="11.42578125" style="100"/>
    <col min="1288" max="1288" width="13.42578125" style="100" customWidth="1"/>
    <col min="1289" max="1289" width="11.42578125" style="100"/>
    <col min="1290" max="1290" width="13.42578125" style="100" bestFit="1" customWidth="1"/>
    <col min="1291" max="1536" width="11.42578125" style="100"/>
    <col min="1537" max="1537" width="16.28515625" style="100" customWidth="1"/>
    <col min="1538" max="1540" width="11.42578125" style="100"/>
    <col min="1541" max="1541" width="14.140625" style="100" bestFit="1" customWidth="1"/>
    <col min="1542" max="1543" width="11.42578125" style="100"/>
    <col min="1544" max="1544" width="13.42578125" style="100" customWidth="1"/>
    <col min="1545" max="1545" width="11.42578125" style="100"/>
    <col min="1546" max="1546" width="13.42578125" style="100" bestFit="1" customWidth="1"/>
    <col min="1547" max="1792" width="11.42578125" style="100"/>
    <col min="1793" max="1793" width="16.28515625" style="100" customWidth="1"/>
    <col min="1794" max="1796" width="11.42578125" style="100"/>
    <col min="1797" max="1797" width="14.140625" style="100" bestFit="1" customWidth="1"/>
    <col min="1798" max="1799" width="11.42578125" style="100"/>
    <col min="1800" max="1800" width="13.42578125" style="100" customWidth="1"/>
    <col min="1801" max="1801" width="11.42578125" style="100"/>
    <col min="1802" max="1802" width="13.42578125" style="100" bestFit="1" customWidth="1"/>
    <col min="1803" max="2048" width="11.42578125" style="100"/>
    <col min="2049" max="2049" width="16.28515625" style="100" customWidth="1"/>
    <col min="2050" max="2052" width="11.42578125" style="100"/>
    <col min="2053" max="2053" width="14.140625" style="100" bestFit="1" customWidth="1"/>
    <col min="2054" max="2055" width="11.42578125" style="100"/>
    <col min="2056" max="2056" width="13.42578125" style="100" customWidth="1"/>
    <col min="2057" max="2057" width="11.42578125" style="100"/>
    <col min="2058" max="2058" width="13.42578125" style="100" bestFit="1" customWidth="1"/>
    <col min="2059" max="2304" width="11.42578125" style="100"/>
    <col min="2305" max="2305" width="16.28515625" style="100" customWidth="1"/>
    <col min="2306" max="2308" width="11.42578125" style="100"/>
    <col min="2309" max="2309" width="14.140625" style="100" bestFit="1" customWidth="1"/>
    <col min="2310" max="2311" width="11.42578125" style="100"/>
    <col min="2312" max="2312" width="13.42578125" style="100" customWidth="1"/>
    <col min="2313" max="2313" width="11.42578125" style="100"/>
    <col min="2314" max="2314" width="13.42578125" style="100" bestFit="1" customWidth="1"/>
    <col min="2315" max="2560" width="11.42578125" style="100"/>
    <col min="2561" max="2561" width="16.28515625" style="100" customWidth="1"/>
    <col min="2562" max="2564" width="11.42578125" style="100"/>
    <col min="2565" max="2565" width="14.140625" style="100" bestFit="1" customWidth="1"/>
    <col min="2566" max="2567" width="11.42578125" style="100"/>
    <col min="2568" max="2568" width="13.42578125" style="100" customWidth="1"/>
    <col min="2569" max="2569" width="11.42578125" style="100"/>
    <col min="2570" max="2570" width="13.42578125" style="100" bestFit="1" customWidth="1"/>
    <col min="2571" max="2816" width="11.42578125" style="100"/>
    <col min="2817" max="2817" width="16.28515625" style="100" customWidth="1"/>
    <col min="2818" max="2820" width="11.42578125" style="100"/>
    <col min="2821" max="2821" width="14.140625" style="100" bestFit="1" customWidth="1"/>
    <col min="2822" max="2823" width="11.42578125" style="100"/>
    <col min="2824" max="2824" width="13.42578125" style="100" customWidth="1"/>
    <col min="2825" max="2825" width="11.42578125" style="100"/>
    <col min="2826" max="2826" width="13.42578125" style="100" bestFit="1" customWidth="1"/>
    <col min="2827" max="3072" width="11.42578125" style="100"/>
    <col min="3073" max="3073" width="16.28515625" style="100" customWidth="1"/>
    <col min="3074" max="3076" width="11.42578125" style="100"/>
    <col min="3077" max="3077" width="14.140625" style="100" bestFit="1" customWidth="1"/>
    <col min="3078" max="3079" width="11.42578125" style="100"/>
    <col min="3080" max="3080" width="13.42578125" style="100" customWidth="1"/>
    <col min="3081" max="3081" width="11.42578125" style="100"/>
    <col min="3082" max="3082" width="13.42578125" style="100" bestFit="1" customWidth="1"/>
    <col min="3083" max="3328" width="11.42578125" style="100"/>
    <col min="3329" max="3329" width="16.28515625" style="100" customWidth="1"/>
    <col min="3330" max="3332" width="11.42578125" style="100"/>
    <col min="3333" max="3333" width="14.140625" style="100" bestFit="1" customWidth="1"/>
    <col min="3334" max="3335" width="11.42578125" style="100"/>
    <col min="3336" max="3336" width="13.42578125" style="100" customWidth="1"/>
    <col min="3337" max="3337" width="11.42578125" style="100"/>
    <col min="3338" max="3338" width="13.42578125" style="100" bestFit="1" customWidth="1"/>
    <col min="3339" max="3584" width="11.42578125" style="100"/>
    <col min="3585" max="3585" width="16.28515625" style="100" customWidth="1"/>
    <col min="3586" max="3588" width="11.42578125" style="100"/>
    <col min="3589" max="3589" width="14.140625" style="100" bestFit="1" customWidth="1"/>
    <col min="3590" max="3591" width="11.42578125" style="100"/>
    <col min="3592" max="3592" width="13.42578125" style="100" customWidth="1"/>
    <col min="3593" max="3593" width="11.42578125" style="100"/>
    <col min="3594" max="3594" width="13.42578125" style="100" bestFit="1" customWidth="1"/>
    <col min="3595" max="3840" width="11.42578125" style="100"/>
    <col min="3841" max="3841" width="16.28515625" style="100" customWidth="1"/>
    <col min="3842" max="3844" width="11.42578125" style="100"/>
    <col min="3845" max="3845" width="14.140625" style="100" bestFit="1" customWidth="1"/>
    <col min="3846" max="3847" width="11.42578125" style="100"/>
    <col min="3848" max="3848" width="13.42578125" style="100" customWidth="1"/>
    <col min="3849" max="3849" width="11.42578125" style="100"/>
    <col min="3850" max="3850" width="13.42578125" style="100" bestFit="1" customWidth="1"/>
    <col min="3851" max="4096" width="11.42578125" style="100"/>
    <col min="4097" max="4097" width="16.28515625" style="100" customWidth="1"/>
    <col min="4098" max="4100" width="11.42578125" style="100"/>
    <col min="4101" max="4101" width="14.140625" style="100" bestFit="1" customWidth="1"/>
    <col min="4102" max="4103" width="11.42578125" style="100"/>
    <col min="4104" max="4104" width="13.42578125" style="100" customWidth="1"/>
    <col min="4105" max="4105" width="11.42578125" style="100"/>
    <col min="4106" max="4106" width="13.42578125" style="100" bestFit="1" customWidth="1"/>
    <col min="4107" max="4352" width="11.42578125" style="100"/>
    <col min="4353" max="4353" width="16.28515625" style="100" customWidth="1"/>
    <col min="4354" max="4356" width="11.42578125" style="100"/>
    <col min="4357" max="4357" width="14.140625" style="100" bestFit="1" customWidth="1"/>
    <col min="4358" max="4359" width="11.42578125" style="100"/>
    <col min="4360" max="4360" width="13.42578125" style="100" customWidth="1"/>
    <col min="4361" max="4361" width="11.42578125" style="100"/>
    <col min="4362" max="4362" width="13.42578125" style="100" bestFit="1" customWidth="1"/>
    <col min="4363" max="4608" width="11.42578125" style="100"/>
    <col min="4609" max="4609" width="16.28515625" style="100" customWidth="1"/>
    <col min="4610" max="4612" width="11.42578125" style="100"/>
    <col min="4613" max="4613" width="14.140625" style="100" bestFit="1" customWidth="1"/>
    <col min="4614" max="4615" width="11.42578125" style="100"/>
    <col min="4616" max="4616" width="13.42578125" style="100" customWidth="1"/>
    <col min="4617" max="4617" width="11.42578125" style="100"/>
    <col min="4618" max="4618" width="13.42578125" style="100" bestFit="1" customWidth="1"/>
    <col min="4619" max="4864" width="11.42578125" style="100"/>
    <col min="4865" max="4865" width="16.28515625" style="100" customWidth="1"/>
    <col min="4866" max="4868" width="11.42578125" style="100"/>
    <col min="4869" max="4869" width="14.140625" style="100" bestFit="1" customWidth="1"/>
    <col min="4870" max="4871" width="11.42578125" style="100"/>
    <col min="4872" max="4872" width="13.42578125" style="100" customWidth="1"/>
    <col min="4873" max="4873" width="11.42578125" style="100"/>
    <col min="4874" max="4874" width="13.42578125" style="100" bestFit="1" customWidth="1"/>
    <col min="4875" max="5120" width="11.42578125" style="100"/>
    <col min="5121" max="5121" width="16.28515625" style="100" customWidth="1"/>
    <col min="5122" max="5124" width="11.42578125" style="100"/>
    <col min="5125" max="5125" width="14.140625" style="100" bestFit="1" customWidth="1"/>
    <col min="5126" max="5127" width="11.42578125" style="100"/>
    <col min="5128" max="5128" width="13.42578125" style="100" customWidth="1"/>
    <col min="5129" max="5129" width="11.42578125" style="100"/>
    <col min="5130" max="5130" width="13.42578125" style="100" bestFit="1" customWidth="1"/>
    <col min="5131" max="5376" width="11.42578125" style="100"/>
    <col min="5377" max="5377" width="16.28515625" style="100" customWidth="1"/>
    <col min="5378" max="5380" width="11.42578125" style="100"/>
    <col min="5381" max="5381" width="14.140625" style="100" bestFit="1" customWidth="1"/>
    <col min="5382" max="5383" width="11.42578125" style="100"/>
    <col min="5384" max="5384" width="13.42578125" style="100" customWidth="1"/>
    <col min="5385" max="5385" width="11.42578125" style="100"/>
    <col min="5386" max="5386" width="13.42578125" style="100" bestFit="1" customWidth="1"/>
    <col min="5387" max="5632" width="11.42578125" style="100"/>
    <col min="5633" max="5633" width="16.28515625" style="100" customWidth="1"/>
    <col min="5634" max="5636" width="11.42578125" style="100"/>
    <col min="5637" max="5637" width="14.140625" style="100" bestFit="1" customWidth="1"/>
    <col min="5638" max="5639" width="11.42578125" style="100"/>
    <col min="5640" max="5640" width="13.42578125" style="100" customWidth="1"/>
    <col min="5641" max="5641" width="11.42578125" style="100"/>
    <col min="5642" max="5642" width="13.42578125" style="100" bestFit="1" customWidth="1"/>
    <col min="5643" max="5888" width="11.42578125" style="100"/>
    <col min="5889" max="5889" width="16.28515625" style="100" customWidth="1"/>
    <col min="5890" max="5892" width="11.42578125" style="100"/>
    <col min="5893" max="5893" width="14.140625" style="100" bestFit="1" customWidth="1"/>
    <col min="5894" max="5895" width="11.42578125" style="100"/>
    <col min="5896" max="5896" width="13.42578125" style="100" customWidth="1"/>
    <col min="5897" max="5897" width="11.42578125" style="100"/>
    <col min="5898" max="5898" width="13.42578125" style="100" bestFit="1" customWidth="1"/>
    <col min="5899" max="6144" width="11.42578125" style="100"/>
    <col min="6145" max="6145" width="16.28515625" style="100" customWidth="1"/>
    <col min="6146" max="6148" width="11.42578125" style="100"/>
    <col min="6149" max="6149" width="14.140625" style="100" bestFit="1" customWidth="1"/>
    <col min="6150" max="6151" width="11.42578125" style="100"/>
    <col min="6152" max="6152" width="13.42578125" style="100" customWidth="1"/>
    <col min="6153" max="6153" width="11.42578125" style="100"/>
    <col min="6154" max="6154" width="13.42578125" style="100" bestFit="1" customWidth="1"/>
    <col min="6155" max="6400" width="11.42578125" style="100"/>
    <col min="6401" max="6401" width="16.28515625" style="100" customWidth="1"/>
    <col min="6402" max="6404" width="11.42578125" style="100"/>
    <col min="6405" max="6405" width="14.140625" style="100" bestFit="1" customWidth="1"/>
    <col min="6406" max="6407" width="11.42578125" style="100"/>
    <col min="6408" max="6408" width="13.42578125" style="100" customWidth="1"/>
    <col min="6409" max="6409" width="11.42578125" style="100"/>
    <col min="6410" max="6410" width="13.42578125" style="100" bestFit="1" customWidth="1"/>
    <col min="6411" max="6656" width="11.42578125" style="100"/>
    <col min="6657" max="6657" width="16.28515625" style="100" customWidth="1"/>
    <col min="6658" max="6660" width="11.42578125" style="100"/>
    <col min="6661" max="6661" width="14.140625" style="100" bestFit="1" customWidth="1"/>
    <col min="6662" max="6663" width="11.42578125" style="100"/>
    <col min="6664" max="6664" width="13.42578125" style="100" customWidth="1"/>
    <col min="6665" max="6665" width="11.42578125" style="100"/>
    <col min="6666" max="6666" width="13.42578125" style="100" bestFit="1" customWidth="1"/>
    <col min="6667" max="6912" width="11.42578125" style="100"/>
    <col min="6913" max="6913" width="16.28515625" style="100" customWidth="1"/>
    <col min="6914" max="6916" width="11.42578125" style="100"/>
    <col min="6917" max="6917" width="14.140625" style="100" bestFit="1" customWidth="1"/>
    <col min="6918" max="6919" width="11.42578125" style="100"/>
    <col min="6920" max="6920" width="13.42578125" style="100" customWidth="1"/>
    <col min="6921" max="6921" width="11.42578125" style="100"/>
    <col min="6922" max="6922" width="13.42578125" style="100" bestFit="1" customWidth="1"/>
    <col min="6923" max="7168" width="11.42578125" style="100"/>
    <col min="7169" max="7169" width="16.28515625" style="100" customWidth="1"/>
    <col min="7170" max="7172" width="11.42578125" style="100"/>
    <col min="7173" max="7173" width="14.140625" style="100" bestFit="1" customWidth="1"/>
    <col min="7174" max="7175" width="11.42578125" style="100"/>
    <col min="7176" max="7176" width="13.42578125" style="100" customWidth="1"/>
    <col min="7177" max="7177" width="11.42578125" style="100"/>
    <col min="7178" max="7178" width="13.42578125" style="100" bestFit="1" customWidth="1"/>
    <col min="7179" max="7424" width="11.42578125" style="100"/>
    <col min="7425" max="7425" width="16.28515625" style="100" customWidth="1"/>
    <col min="7426" max="7428" width="11.42578125" style="100"/>
    <col min="7429" max="7429" width="14.140625" style="100" bestFit="1" customWidth="1"/>
    <col min="7430" max="7431" width="11.42578125" style="100"/>
    <col min="7432" max="7432" width="13.42578125" style="100" customWidth="1"/>
    <col min="7433" max="7433" width="11.42578125" style="100"/>
    <col min="7434" max="7434" width="13.42578125" style="100" bestFit="1" customWidth="1"/>
    <col min="7435" max="7680" width="11.42578125" style="100"/>
    <col min="7681" max="7681" width="16.28515625" style="100" customWidth="1"/>
    <col min="7682" max="7684" width="11.42578125" style="100"/>
    <col min="7685" max="7685" width="14.140625" style="100" bestFit="1" customWidth="1"/>
    <col min="7686" max="7687" width="11.42578125" style="100"/>
    <col min="7688" max="7688" width="13.42578125" style="100" customWidth="1"/>
    <col min="7689" max="7689" width="11.42578125" style="100"/>
    <col min="7690" max="7690" width="13.42578125" style="100" bestFit="1" customWidth="1"/>
    <col min="7691" max="7936" width="11.42578125" style="100"/>
    <col min="7937" max="7937" width="16.28515625" style="100" customWidth="1"/>
    <col min="7938" max="7940" width="11.42578125" style="100"/>
    <col min="7941" max="7941" width="14.140625" style="100" bestFit="1" customWidth="1"/>
    <col min="7942" max="7943" width="11.42578125" style="100"/>
    <col min="7944" max="7944" width="13.42578125" style="100" customWidth="1"/>
    <col min="7945" max="7945" width="11.42578125" style="100"/>
    <col min="7946" max="7946" width="13.42578125" style="100" bestFit="1" customWidth="1"/>
    <col min="7947" max="8192" width="11.42578125" style="100"/>
    <col min="8193" max="8193" width="16.28515625" style="100" customWidth="1"/>
    <col min="8194" max="8196" width="11.42578125" style="100"/>
    <col min="8197" max="8197" width="14.140625" style="100" bestFit="1" customWidth="1"/>
    <col min="8198" max="8199" width="11.42578125" style="100"/>
    <col min="8200" max="8200" width="13.42578125" style="100" customWidth="1"/>
    <col min="8201" max="8201" width="11.42578125" style="100"/>
    <col min="8202" max="8202" width="13.42578125" style="100" bestFit="1" customWidth="1"/>
    <col min="8203" max="8448" width="11.42578125" style="100"/>
    <col min="8449" max="8449" width="16.28515625" style="100" customWidth="1"/>
    <col min="8450" max="8452" width="11.42578125" style="100"/>
    <col min="8453" max="8453" width="14.140625" style="100" bestFit="1" customWidth="1"/>
    <col min="8454" max="8455" width="11.42578125" style="100"/>
    <col min="8456" max="8456" width="13.42578125" style="100" customWidth="1"/>
    <col min="8457" max="8457" width="11.42578125" style="100"/>
    <col min="8458" max="8458" width="13.42578125" style="100" bestFit="1" customWidth="1"/>
    <col min="8459" max="8704" width="11.42578125" style="100"/>
    <col min="8705" max="8705" width="16.28515625" style="100" customWidth="1"/>
    <col min="8706" max="8708" width="11.42578125" style="100"/>
    <col min="8709" max="8709" width="14.140625" style="100" bestFit="1" customWidth="1"/>
    <col min="8710" max="8711" width="11.42578125" style="100"/>
    <col min="8712" max="8712" width="13.42578125" style="100" customWidth="1"/>
    <col min="8713" max="8713" width="11.42578125" style="100"/>
    <col min="8714" max="8714" width="13.42578125" style="100" bestFit="1" customWidth="1"/>
    <col min="8715" max="8960" width="11.42578125" style="100"/>
    <col min="8961" max="8961" width="16.28515625" style="100" customWidth="1"/>
    <col min="8962" max="8964" width="11.42578125" style="100"/>
    <col min="8965" max="8965" width="14.140625" style="100" bestFit="1" customWidth="1"/>
    <col min="8966" max="8967" width="11.42578125" style="100"/>
    <col min="8968" max="8968" width="13.42578125" style="100" customWidth="1"/>
    <col min="8969" max="8969" width="11.42578125" style="100"/>
    <col min="8970" max="8970" width="13.42578125" style="100" bestFit="1" customWidth="1"/>
    <col min="8971" max="9216" width="11.42578125" style="100"/>
    <col min="9217" max="9217" width="16.28515625" style="100" customWidth="1"/>
    <col min="9218" max="9220" width="11.42578125" style="100"/>
    <col min="9221" max="9221" width="14.140625" style="100" bestFit="1" customWidth="1"/>
    <col min="9222" max="9223" width="11.42578125" style="100"/>
    <col min="9224" max="9224" width="13.42578125" style="100" customWidth="1"/>
    <col min="9225" max="9225" width="11.42578125" style="100"/>
    <col min="9226" max="9226" width="13.42578125" style="100" bestFit="1" customWidth="1"/>
    <col min="9227" max="9472" width="11.42578125" style="100"/>
    <col min="9473" max="9473" width="16.28515625" style="100" customWidth="1"/>
    <col min="9474" max="9476" width="11.42578125" style="100"/>
    <col min="9477" max="9477" width="14.140625" style="100" bestFit="1" customWidth="1"/>
    <col min="9478" max="9479" width="11.42578125" style="100"/>
    <col min="9480" max="9480" width="13.42578125" style="100" customWidth="1"/>
    <col min="9481" max="9481" width="11.42578125" style="100"/>
    <col min="9482" max="9482" width="13.42578125" style="100" bestFit="1" customWidth="1"/>
    <col min="9483" max="9728" width="11.42578125" style="100"/>
    <col min="9729" max="9729" width="16.28515625" style="100" customWidth="1"/>
    <col min="9730" max="9732" width="11.42578125" style="100"/>
    <col min="9733" max="9733" width="14.140625" style="100" bestFit="1" customWidth="1"/>
    <col min="9734" max="9735" width="11.42578125" style="100"/>
    <col min="9736" max="9736" width="13.42578125" style="100" customWidth="1"/>
    <col min="9737" max="9737" width="11.42578125" style="100"/>
    <col min="9738" max="9738" width="13.42578125" style="100" bestFit="1" customWidth="1"/>
    <col min="9739" max="9984" width="11.42578125" style="100"/>
    <col min="9985" max="9985" width="16.28515625" style="100" customWidth="1"/>
    <col min="9986" max="9988" width="11.42578125" style="100"/>
    <col min="9989" max="9989" width="14.140625" style="100" bestFit="1" customWidth="1"/>
    <col min="9990" max="9991" width="11.42578125" style="100"/>
    <col min="9992" max="9992" width="13.42578125" style="100" customWidth="1"/>
    <col min="9993" max="9993" width="11.42578125" style="100"/>
    <col min="9994" max="9994" width="13.42578125" style="100" bestFit="1" customWidth="1"/>
    <col min="9995" max="10240" width="11.42578125" style="100"/>
    <col min="10241" max="10241" width="16.28515625" style="100" customWidth="1"/>
    <col min="10242" max="10244" width="11.42578125" style="100"/>
    <col min="10245" max="10245" width="14.140625" style="100" bestFit="1" customWidth="1"/>
    <col min="10246" max="10247" width="11.42578125" style="100"/>
    <col min="10248" max="10248" width="13.42578125" style="100" customWidth="1"/>
    <col min="10249" max="10249" width="11.42578125" style="100"/>
    <col min="10250" max="10250" width="13.42578125" style="100" bestFit="1" customWidth="1"/>
    <col min="10251" max="10496" width="11.42578125" style="100"/>
    <col min="10497" max="10497" width="16.28515625" style="100" customWidth="1"/>
    <col min="10498" max="10500" width="11.42578125" style="100"/>
    <col min="10501" max="10501" width="14.140625" style="100" bestFit="1" customWidth="1"/>
    <col min="10502" max="10503" width="11.42578125" style="100"/>
    <col min="10504" max="10504" width="13.42578125" style="100" customWidth="1"/>
    <col min="10505" max="10505" width="11.42578125" style="100"/>
    <col min="10506" max="10506" width="13.42578125" style="100" bestFit="1" customWidth="1"/>
    <col min="10507" max="10752" width="11.42578125" style="100"/>
    <col min="10753" max="10753" width="16.28515625" style="100" customWidth="1"/>
    <col min="10754" max="10756" width="11.42578125" style="100"/>
    <col min="10757" max="10757" width="14.140625" style="100" bestFit="1" customWidth="1"/>
    <col min="10758" max="10759" width="11.42578125" style="100"/>
    <col min="10760" max="10760" width="13.42578125" style="100" customWidth="1"/>
    <col min="10761" max="10761" width="11.42578125" style="100"/>
    <col min="10762" max="10762" width="13.42578125" style="100" bestFit="1" customWidth="1"/>
    <col min="10763" max="11008" width="11.42578125" style="100"/>
    <col min="11009" max="11009" width="16.28515625" style="100" customWidth="1"/>
    <col min="11010" max="11012" width="11.42578125" style="100"/>
    <col min="11013" max="11013" width="14.140625" style="100" bestFit="1" customWidth="1"/>
    <col min="11014" max="11015" width="11.42578125" style="100"/>
    <col min="11016" max="11016" width="13.42578125" style="100" customWidth="1"/>
    <col min="11017" max="11017" width="11.42578125" style="100"/>
    <col min="11018" max="11018" width="13.42578125" style="100" bestFit="1" customWidth="1"/>
    <col min="11019" max="11264" width="11.42578125" style="100"/>
    <col min="11265" max="11265" width="16.28515625" style="100" customWidth="1"/>
    <col min="11266" max="11268" width="11.42578125" style="100"/>
    <col min="11269" max="11269" width="14.140625" style="100" bestFit="1" customWidth="1"/>
    <col min="11270" max="11271" width="11.42578125" style="100"/>
    <col min="11272" max="11272" width="13.42578125" style="100" customWidth="1"/>
    <col min="11273" max="11273" width="11.42578125" style="100"/>
    <col min="11274" max="11274" width="13.42578125" style="100" bestFit="1" customWidth="1"/>
    <col min="11275" max="11520" width="11.42578125" style="100"/>
    <col min="11521" max="11521" width="16.28515625" style="100" customWidth="1"/>
    <col min="11522" max="11524" width="11.42578125" style="100"/>
    <col min="11525" max="11525" width="14.140625" style="100" bestFit="1" customWidth="1"/>
    <col min="11526" max="11527" width="11.42578125" style="100"/>
    <col min="11528" max="11528" width="13.42578125" style="100" customWidth="1"/>
    <col min="11529" max="11529" width="11.42578125" style="100"/>
    <col min="11530" max="11530" width="13.42578125" style="100" bestFit="1" customWidth="1"/>
    <col min="11531" max="11776" width="11.42578125" style="100"/>
    <col min="11777" max="11777" width="16.28515625" style="100" customWidth="1"/>
    <col min="11778" max="11780" width="11.42578125" style="100"/>
    <col min="11781" max="11781" width="14.140625" style="100" bestFit="1" customWidth="1"/>
    <col min="11782" max="11783" width="11.42578125" style="100"/>
    <col min="11784" max="11784" width="13.42578125" style="100" customWidth="1"/>
    <col min="11785" max="11785" width="11.42578125" style="100"/>
    <col min="11786" max="11786" width="13.42578125" style="100" bestFit="1" customWidth="1"/>
    <col min="11787" max="12032" width="11.42578125" style="100"/>
    <col min="12033" max="12033" width="16.28515625" style="100" customWidth="1"/>
    <col min="12034" max="12036" width="11.42578125" style="100"/>
    <col min="12037" max="12037" width="14.140625" style="100" bestFit="1" customWidth="1"/>
    <col min="12038" max="12039" width="11.42578125" style="100"/>
    <col min="12040" max="12040" width="13.42578125" style="100" customWidth="1"/>
    <col min="12041" max="12041" width="11.42578125" style="100"/>
    <col min="12042" max="12042" width="13.42578125" style="100" bestFit="1" customWidth="1"/>
    <col min="12043" max="12288" width="11.42578125" style="100"/>
    <col min="12289" max="12289" width="16.28515625" style="100" customWidth="1"/>
    <col min="12290" max="12292" width="11.42578125" style="100"/>
    <col min="12293" max="12293" width="14.140625" style="100" bestFit="1" customWidth="1"/>
    <col min="12294" max="12295" width="11.42578125" style="100"/>
    <col min="12296" max="12296" width="13.42578125" style="100" customWidth="1"/>
    <col min="12297" max="12297" width="11.42578125" style="100"/>
    <col min="12298" max="12298" width="13.42578125" style="100" bestFit="1" customWidth="1"/>
    <col min="12299" max="12544" width="11.42578125" style="100"/>
    <col min="12545" max="12545" width="16.28515625" style="100" customWidth="1"/>
    <col min="12546" max="12548" width="11.42578125" style="100"/>
    <col min="12549" max="12549" width="14.140625" style="100" bestFit="1" customWidth="1"/>
    <col min="12550" max="12551" width="11.42578125" style="100"/>
    <col min="12552" max="12552" width="13.42578125" style="100" customWidth="1"/>
    <col min="12553" max="12553" width="11.42578125" style="100"/>
    <col min="12554" max="12554" width="13.42578125" style="100" bestFit="1" customWidth="1"/>
    <col min="12555" max="12800" width="11.42578125" style="100"/>
    <col min="12801" max="12801" width="16.28515625" style="100" customWidth="1"/>
    <col min="12802" max="12804" width="11.42578125" style="100"/>
    <col min="12805" max="12805" width="14.140625" style="100" bestFit="1" customWidth="1"/>
    <col min="12806" max="12807" width="11.42578125" style="100"/>
    <col min="12808" max="12808" width="13.42578125" style="100" customWidth="1"/>
    <col min="12809" max="12809" width="11.42578125" style="100"/>
    <col min="12810" max="12810" width="13.42578125" style="100" bestFit="1" customWidth="1"/>
    <col min="12811" max="13056" width="11.42578125" style="100"/>
    <col min="13057" max="13057" width="16.28515625" style="100" customWidth="1"/>
    <col min="13058" max="13060" width="11.42578125" style="100"/>
    <col min="13061" max="13061" width="14.140625" style="100" bestFit="1" customWidth="1"/>
    <col min="13062" max="13063" width="11.42578125" style="100"/>
    <col min="13064" max="13064" width="13.42578125" style="100" customWidth="1"/>
    <col min="13065" max="13065" width="11.42578125" style="100"/>
    <col min="13066" max="13066" width="13.42578125" style="100" bestFit="1" customWidth="1"/>
    <col min="13067" max="13312" width="11.42578125" style="100"/>
    <col min="13313" max="13313" width="16.28515625" style="100" customWidth="1"/>
    <col min="13314" max="13316" width="11.42578125" style="100"/>
    <col min="13317" max="13317" width="14.140625" style="100" bestFit="1" customWidth="1"/>
    <col min="13318" max="13319" width="11.42578125" style="100"/>
    <col min="13320" max="13320" width="13.42578125" style="100" customWidth="1"/>
    <col min="13321" max="13321" width="11.42578125" style="100"/>
    <col min="13322" max="13322" width="13.42578125" style="100" bestFit="1" customWidth="1"/>
    <col min="13323" max="13568" width="11.42578125" style="100"/>
    <col min="13569" max="13569" width="16.28515625" style="100" customWidth="1"/>
    <col min="13570" max="13572" width="11.42578125" style="100"/>
    <col min="13573" max="13573" width="14.140625" style="100" bestFit="1" customWidth="1"/>
    <col min="13574" max="13575" width="11.42578125" style="100"/>
    <col min="13576" max="13576" width="13.42578125" style="100" customWidth="1"/>
    <col min="13577" max="13577" width="11.42578125" style="100"/>
    <col min="13578" max="13578" width="13.42578125" style="100" bestFit="1" customWidth="1"/>
    <col min="13579" max="13824" width="11.42578125" style="100"/>
    <col min="13825" max="13825" width="16.28515625" style="100" customWidth="1"/>
    <col min="13826" max="13828" width="11.42578125" style="100"/>
    <col min="13829" max="13829" width="14.140625" style="100" bestFit="1" customWidth="1"/>
    <col min="13830" max="13831" width="11.42578125" style="100"/>
    <col min="13832" max="13832" width="13.42578125" style="100" customWidth="1"/>
    <col min="13833" max="13833" width="11.42578125" style="100"/>
    <col min="13834" max="13834" width="13.42578125" style="100" bestFit="1" customWidth="1"/>
    <col min="13835" max="14080" width="11.42578125" style="100"/>
    <col min="14081" max="14081" width="16.28515625" style="100" customWidth="1"/>
    <col min="14082" max="14084" width="11.42578125" style="100"/>
    <col min="14085" max="14085" width="14.140625" style="100" bestFit="1" customWidth="1"/>
    <col min="14086" max="14087" width="11.42578125" style="100"/>
    <col min="14088" max="14088" width="13.42578125" style="100" customWidth="1"/>
    <col min="14089" max="14089" width="11.42578125" style="100"/>
    <col min="14090" max="14090" width="13.42578125" style="100" bestFit="1" customWidth="1"/>
    <col min="14091" max="14336" width="11.42578125" style="100"/>
    <col min="14337" max="14337" width="16.28515625" style="100" customWidth="1"/>
    <col min="14338" max="14340" width="11.42578125" style="100"/>
    <col min="14341" max="14341" width="14.140625" style="100" bestFit="1" customWidth="1"/>
    <col min="14342" max="14343" width="11.42578125" style="100"/>
    <col min="14344" max="14344" width="13.42578125" style="100" customWidth="1"/>
    <col min="14345" max="14345" width="11.42578125" style="100"/>
    <col min="14346" max="14346" width="13.42578125" style="100" bestFit="1" customWidth="1"/>
    <col min="14347" max="14592" width="11.42578125" style="100"/>
    <col min="14593" max="14593" width="16.28515625" style="100" customWidth="1"/>
    <col min="14594" max="14596" width="11.42578125" style="100"/>
    <col min="14597" max="14597" width="14.140625" style="100" bestFit="1" customWidth="1"/>
    <col min="14598" max="14599" width="11.42578125" style="100"/>
    <col min="14600" max="14600" width="13.42578125" style="100" customWidth="1"/>
    <col min="14601" max="14601" width="11.42578125" style="100"/>
    <col min="14602" max="14602" width="13.42578125" style="100" bestFit="1" customWidth="1"/>
    <col min="14603" max="14848" width="11.42578125" style="100"/>
    <col min="14849" max="14849" width="16.28515625" style="100" customWidth="1"/>
    <col min="14850" max="14852" width="11.42578125" style="100"/>
    <col min="14853" max="14853" width="14.140625" style="100" bestFit="1" customWidth="1"/>
    <col min="14854" max="14855" width="11.42578125" style="100"/>
    <col min="14856" max="14856" width="13.42578125" style="100" customWidth="1"/>
    <col min="14857" max="14857" width="11.42578125" style="100"/>
    <col min="14858" max="14858" width="13.42578125" style="100" bestFit="1" customWidth="1"/>
    <col min="14859" max="15104" width="11.42578125" style="100"/>
    <col min="15105" max="15105" width="16.28515625" style="100" customWidth="1"/>
    <col min="15106" max="15108" width="11.42578125" style="100"/>
    <col min="15109" max="15109" width="14.140625" style="100" bestFit="1" customWidth="1"/>
    <col min="15110" max="15111" width="11.42578125" style="100"/>
    <col min="15112" max="15112" width="13.42578125" style="100" customWidth="1"/>
    <col min="15113" max="15113" width="11.42578125" style="100"/>
    <col min="15114" max="15114" width="13.42578125" style="100" bestFit="1" customWidth="1"/>
    <col min="15115" max="15360" width="11.42578125" style="100"/>
    <col min="15361" max="15361" width="16.28515625" style="100" customWidth="1"/>
    <col min="15362" max="15364" width="11.42578125" style="100"/>
    <col min="15365" max="15365" width="14.140625" style="100" bestFit="1" customWidth="1"/>
    <col min="15366" max="15367" width="11.42578125" style="100"/>
    <col min="15368" max="15368" width="13.42578125" style="100" customWidth="1"/>
    <col min="15369" max="15369" width="11.42578125" style="100"/>
    <col min="15370" max="15370" width="13.42578125" style="100" bestFit="1" customWidth="1"/>
    <col min="15371" max="15616" width="11.42578125" style="100"/>
    <col min="15617" max="15617" width="16.28515625" style="100" customWidth="1"/>
    <col min="15618" max="15620" width="11.42578125" style="100"/>
    <col min="15621" max="15621" width="14.140625" style="100" bestFit="1" customWidth="1"/>
    <col min="15622" max="15623" width="11.42578125" style="100"/>
    <col min="15624" max="15624" width="13.42578125" style="100" customWidth="1"/>
    <col min="15625" max="15625" width="11.42578125" style="100"/>
    <col min="15626" max="15626" width="13.42578125" style="100" bestFit="1" customWidth="1"/>
    <col min="15627" max="15872" width="11.42578125" style="100"/>
    <col min="15873" max="15873" width="16.28515625" style="100" customWidth="1"/>
    <col min="15874" max="15876" width="11.42578125" style="100"/>
    <col min="15877" max="15877" width="14.140625" style="100" bestFit="1" customWidth="1"/>
    <col min="15878" max="15879" width="11.42578125" style="100"/>
    <col min="15880" max="15880" width="13.42578125" style="100" customWidth="1"/>
    <col min="15881" max="15881" width="11.42578125" style="100"/>
    <col min="15882" max="15882" width="13.42578125" style="100" bestFit="1" customWidth="1"/>
    <col min="15883" max="16128" width="11.42578125" style="100"/>
    <col min="16129" max="16129" width="16.28515625" style="100" customWidth="1"/>
    <col min="16130" max="16132" width="11.42578125" style="100"/>
    <col min="16133" max="16133" width="14.140625" style="100" bestFit="1" customWidth="1"/>
    <col min="16134" max="16135" width="11.42578125" style="100"/>
    <col min="16136" max="16136" width="13.42578125" style="100" customWidth="1"/>
    <col min="16137" max="16137" width="11.42578125" style="100"/>
    <col min="16138" max="16138" width="13.42578125" style="100" bestFit="1" customWidth="1"/>
    <col min="16139" max="16384" width="11.42578125" style="100"/>
  </cols>
  <sheetData>
    <row r="5" spans="2:9">
      <c r="B5" s="99"/>
      <c r="C5" s="99"/>
      <c r="D5" s="99"/>
      <c r="E5" s="99"/>
      <c r="F5" s="99"/>
      <c r="G5" s="99"/>
      <c r="H5" s="99"/>
    </row>
    <row r="6" spans="2:9" ht="23.25">
      <c r="B6" s="101"/>
      <c r="C6" s="99"/>
      <c r="D6" s="99"/>
      <c r="E6" s="99"/>
      <c r="F6" s="99"/>
      <c r="G6" s="99"/>
      <c r="H6" s="99"/>
      <c r="I6" s="102"/>
    </row>
    <row r="7" spans="2:9">
      <c r="B7" s="99"/>
      <c r="C7" s="99"/>
      <c r="D7" s="99"/>
      <c r="E7" s="99"/>
      <c r="F7" s="99"/>
      <c r="G7" s="99"/>
      <c r="H7" s="99"/>
      <c r="I7" s="99"/>
    </row>
    <row r="8" spans="2:9">
      <c r="B8" s="99"/>
      <c r="C8" s="99"/>
      <c r="D8" s="99"/>
      <c r="F8" s="99"/>
      <c r="G8" s="99"/>
      <c r="H8" s="99"/>
    </row>
    <row r="9" spans="2:9">
      <c r="B9" s="99"/>
      <c r="C9" s="99"/>
      <c r="D9" s="99"/>
      <c r="E9" s="99"/>
      <c r="F9" s="99"/>
      <c r="G9" s="99"/>
      <c r="H9" s="99"/>
    </row>
    <row r="10" spans="2:9" ht="23.25">
      <c r="B10" s="99"/>
      <c r="C10" s="99"/>
      <c r="D10" s="99"/>
      <c r="I10" s="102"/>
    </row>
    <row r="11" spans="2:9">
      <c r="B11" s="99"/>
      <c r="C11" s="99"/>
      <c r="D11" s="99"/>
    </row>
    <row r="12" spans="2:9" ht="27" customHeight="1">
      <c r="B12" s="99"/>
      <c r="C12" s="99"/>
      <c r="D12" s="99"/>
      <c r="E12" s="99"/>
      <c r="F12" s="99"/>
      <c r="G12" s="99"/>
      <c r="H12" s="99"/>
      <c r="I12" s="102"/>
    </row>
    <row r="13" spans="2:9" ht="19.5" customHeight="1">
      <c r="B13" s="99"/>
      <c r="C13" s="94"/>
      <c r="D13" s="94"/>
      <c r="E13" s="94"/>
      <c r="F13" s="94"/>
      <c r="G13" s="94"/>
      <c r="H13" s="94"/>
      <c r="I13" s="102"/>
    </row>
    <row r="14" spans="2:9">
      <c r="B14" s="99"/>
      <c r="C14" s="99"/>
      <c r="D14" s="99"/>
      <c r="F14" s="99"/>
      <c r="G14" s="99"/>
      <c r="H14" s="99"/>
    </row>
    <row r="15" spans="2:9">
      <c r="B15" s="99"/>
      <c r="C15" s="99"/>
      <c r="D15" s="99"/>
      <c r="F15" s="99"/>
      <c r="G15" s="99"/>
      <c r="H15" s="99"/>
      <c r="I15" s="99"/>
    </row>
    <row r="16" spans="2:9" ht="34.5">
      <c r="B16" s="99"/>
      <c r="C16" s="99"/>
      <c r="D16" s="99"/>
      <c r="E16" s="103"/>
      <c r="F16" s="99"/>
      <c r="G16" s="99"/>
      <c r="H16" s="99"/>
      <c r="I16" s="99"/>
    </row>
    <row r="17" spans="2:9" ht="33">
      <c r="B17" s="99"/>
      <c r="C17" s="99"/>
      <c r="D17" s="99"/>
      <c r="E17" s="104"/>
      <c r="F17" s="99"/>
      <c r="G17" s="99"/>
      <c r="H17" s="99"/>
      <c r="I17" s="99"/>
    </row>
    <row r="18" spans="2:9" ht="33">
      <c r="D18" s="104"/>
    </row>
    <row r="19" spans="2:9" ht="18.75">
      <c r="E19" s="105"/>
      <c r="I19" s="106"/>
    </row>
    <row r="21" spans="2:9">
      <c r="E21" s="107"/>
    </row>
    <row r="22" spans="2:9" ht="26.25">
      <c r="E22" s="108"/>
    </row>
    <row r="25" spans="2:9" ht="18.75">
      <c r="E25" s="109"/>
    </row>
    <row r="26" spans="2:9" ht="18.75">
      <c r="E26" s="110"/>
    </row>
    <row r="28" spans="2:9">
      <c r="D28" s="94"/>
      <c r="E28" s="94"/>
      <c r="F28" s="94"/>
      <c r="G28" s="94"/>
      <c r="H28" s="94"/>
    </row>
    <row r="33" spans="1:9" ht="35.25">
      <c r="A33" s="111"/>
    </row>
    <row r="36" spans="1:9" ht="33">
      <c r="B36" s="112"/>
    </row>
    <row r="39" spans="1:9" ht="18">
      <c r="B39" s="113"/>
    </row>
    <row r="41" spans="1:9" ht="18.75">
      <c r="I41" s="114"/>
    </row>
    <row r="43" spans="1:9" ht="18.75">
      <c r="B43" s="144"/>
      <c r="C43" s="144"/>
      <c r="D43" s="144"/>
    </row>
    <row r="57" spans="10:10" ht="18.75">
      <c r="J57" s="115"/>
    </row>
  </sheetData>
  <mergeCells count="1">
    <mergeCell ref="B43:D43"/>
  </mergeCells>
  <pageMargins left="0.78740157480314965" right="0.78740157480314965" top="0.98425196850393704" bottom="0.98425196850393704" header="0.51181102362204722" footer="0.51181102362204722"/>
  <pageSetup paperSize="9" scale="7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149</v>
      </c>
      <c r="B4" s="5"/>
      <c r="C4" s="5"/>
      <c r="D4" s="5"/>
      <c r="E4" s="5"/>
      <c r="F4" s="5"/>
      <c r="G4" s="5"/>
      <c r="H4" s="6"/>
    </row>
    <row r="5" spans="1:8">
      <c r="A5" s="7"/>
      <c r="B5" s="8"/>
      <c r="C5" s="9"/>
      <c r="D5" s="8"/>
      <c r="E5" s="10"/>
      <c r="F5" s="11"/>
      <c r="G5" s="150" t="s">
        <v>1</v>
      </c>
      <c r="H5" s="151"/>
    </row>
    <row r="6" spans="1:8">
      <c r="A6" s="12"/>
      <c r="B6" s="13"/>
      <c r="C6" s="14" t="s">
        <v>195</v>
      </c>
      <c r="D6" s="15" t="s">
        <v>196</v>
      </c>
      <c r="E6" s="15" t="s">
        <v>197</v>
      </c>
      <c r="F6" s="16"/>
      <c r="G6" s="17" t="s">
        <v>198</v>
      </c>
      <c r="H6" s="18" t="s">
        <v>199</v>
      </c>
    </row>
    <row r="7" spans="1:8">
      <c r="A7" s="152" t="s">
        <v>42</v>
      </c>
      <c r="B7" s="19" t="s">
        <v>3</v>
      </c>
      <c r="C7" s="20">
        <v>119248.228571429</v>
      </c>
      <c r="D7" s="20">
        <v>109466</v>
      </c>
      <c r="E7" s="21">
        <v>111027</v>
      </c>
      <c r="F7" s="22" t="s">
        <v>200</v>
      </c>
      <c r="G7" s="23">
        <v>-6.8942144213945653</v>
      </c>
      <c r="H7" s="24">
        <v>1.4260135567208039</v>
      </c>
    </row>
    <row r="8" spans="1:8">
      <c r="A8" s="153"/>
      <c r="B8" s="25" t="s">
        <v>200</v>
      </c>
      <c r="C8" s="26" t="s">
        <v>200</v>
      </c>
      <c r="D8" s="26" t="s">
        <v>200</v>
      </c>
      <c r="E8" s="26" t="s">
        <v>200</v>
      </c>
      <c r="F8" s="27"/>
      <c r="G8" s="28" t="s">
        <v>200</v>
      </c>
      <c r="H8" s="29" t="s">
        <v>200</v>
      </c>
    </row>
    <row r="9" spans="1:8">
      <c r="A9" s="30" t="s">
        <v>18</v>
      </c>
      <c r="B9" s="31" t="s">
        <v>3</v>
      </c>
      <c r="C9" s="20">
        <v>12509.9027027027</v>
      </c>
      <c r="D9" s="20">
        <v>8432</v>
      </c>
      <c r="E9" s="21">
        <v>11884</v>
      </c>
      <c r="F9" s="22" t="s">
        <v>200</v>
      </c>
      <c r="G9" s="32">
        <v>-5.0032579595321494</v>
      </c>
      <c r="H9" s="33">
        <v>40.939278937381403</v>
      </c>
    </row>
    <row r="10" spans="1:8">
      <c r="A10" s="34"/>
      <c r="B10" s="25" t="s">
        <v>200</v>
      </c>
      <c r="C10" s="26" t="s">
        <v>200</v>
      </c>
      <c r="D10" s="26" t="s">
        <v>200</v>
      </c>
      <c r="E10" s="26" t="s">
        <v>200</v>
      </c>
      <c r="F10" s="27"/>
      <c r="G10" s="35" t="s">
        <v>200</v>
      </c>
      <c r="H10" s="29" t="s">
        <v>200</v>
      </c>
    </row>
    <row r="11" spans="1:8">
      <c r="A11" s="30" t="s">
        <v>19</v>
      </c>
      <c r="B11" s="31" t="s">
        <v>3</v>
      </c>
      <c r="C11" s="20">
        <v>6978.7619047619</v>
      </c>
      <c r="D11" s="20">
        <v>5975</v>
      </c>
      <c r="E11" s="21">
        <v>6517</v>
      </c>
      <c r="F11" s="22" t="s">
        <v>200</v>
      </c>
      <c r="G11" s="37">
        <v>-6.616673717537509</v>
      </c>
      <c r="H11" s="33">
        <v>9.0711297071129735</v>
      </c>
    </row>
    <row r="12" spans="1:8">
      <c r="A12" s="34"/>
      <c r="B12" s="25" t="s">
        <v>200</v>
      </c>
      <c r="C12" s="26" t="s">
        <v>200</v>
      </c>
      <c r="D12" s="26" t="s">
        <v>200</v>
      </c>
      <c r="E12" s="26" t="s">
        <v>200</v>
      </c>
      <c r="F12" s="27"/>
      <c r="G12" s="28" t="s">
        <v>200</v>
      </c>
      <c r="H12" s="29" t="s">
        <v>200</v>
      </c>
    </row>
    <row r="13" spans="1:8">
      <c r="A13" s="30" t="s">
        <v>20</v>
      </c>
      <c r="B13" s="31" t="s">
        <v>3</v>
      </c>
      <c r="C13" s="20">
        <v>22613.746938775501</v>
      </c>
      <c r="D13" s="20">
        <v>23506</v>
      </c>
      <c r="E13" s="21">
        <v>24665</v>
      </c>
      <c r="F13" s="22" t="s">
        <v>200</v>
      </c>
      <c r="G13" s="23">
        <v>9.0708234543265434</v>
      </c>
      <c r="H13" s="24">
        <v>4.9306560027227135</v>
      </c>
    </row>
    <row r="14" spans="1:8">
      <c r="A14" s="34"/>
      <c r="B14" s="25" t="s">
        <v>200</v>
      </c>
      <c r="C14" s="26" t="s">
        <v>200</v>
      </c>
      <c r="D14" s="26" t="s">
        <v>200</v>
      </c>
      <c r="E14" s="26" t="s">
        <v>200</v>
      </c>
      <c r="F14" s="27"/>
      <c r="G14" s="38" t="s">
        <v>200</v>
      </c>
      <c r="H14" s="24" t="s">
        <v>200</v>
      </c>
    </row>
    <row r="15" spans="1:8">
      <c r="A15" s="30" t="s">
        <v>21</v>
      </c>
      <c r="B15" s="31" t="s">
        <v>3</v>
      </c>
      <c r="C15" s="20">
        <v>786.48571428571404</v>
      </c>
      <c r="D15" s="20">
        <v>875</v>
      </c>
      <c r="E15" s="21">
        <v>1217</v>
      </c>
      <c r="F15" s="22" t="s">
        <v>200</v>
      </c>
      <c r="G15" s="37">
        <v>54.738983543430152</v>
      </c>
      <c r="H15" s="33">
        <v>39.085714285714289</v>
      </c>
    </row>
    <row r="16" spans="1:8">
      <c r="A16" s="34"/>
      <c r="B16" s="25" t="s">
        <v>200</v>
      </c>
      <c r="C16" s="26" t="s">
        <v>200</v>
      </c>
      <c r="D16" s="26" t="s">
        <v>200</v>
      </c>
      <c r="E16" s="26" t="s">
        <v>200</v>
      </c>
      <c r="F16" s="27"/>
      <c r="G16" s="28" t="s">
        <v>200</v>
      </c>
      <c r="H16" s="29" t="s">
        <v>200</v>
      </c>
    </row>
    <row r="17" spans="1:8">
      <c r="A17" s="30" t="s">
        <v>22</v>
      </c>
      <c r="B17" s="31" t="s">
        <v>3</v>
      </c>
      <c r="C17" s="20">
        <v>4277.0228571428597</v>
      </c>
      <c r="D17" s="20">
        <v>4731</v>
      </c>
      <c r="E17" s="21">
        <v>5176</v>
      </c>
      <c r="F17" s="22" t="s">
        <v>200</v>
      </c>
      <c r="G17" s="37">
        <v>21.018759377350534</v>
      </c>
      <c r="H17" s="33">
        <v>9.4060452335658482</v>
      </c>
    </row>
    <row r="18" spans="1:8">
      <c r="A18" s="34"/>
      <c r="B18" s="25" t="s">
        <v>200</v>
      </c>
      <c r="C18" s="26" t="s">
        <v>200</v>
      </c>
      <c r="D18" s="26" t="s">
        <v>200</v>
      </c>
      <c r="E18" s="26" t="s">
        <v>200</v>
      </c>
      <c r="F18" s="27"/>
      <c r="G18" s="28" t="s">
        <v>200</v>
      </c>
      <c r="H18" s="29" t="s">
        <v>200</v>
      </c>
    </row>
    <row r="19" spans="1:8">
      <c r="A19" s="30" t="s">
        <v>190</v>
      </c>
      <c r="B19" s="31" t="s">
        <v>3</v>
      </c>
      <c r="C19" s="20">
        <v>39268.628571428599</v>
      </c>
      <c r="D19" s="20">
        <v>47642</v>
      </c>
      <c r="E19" s="21">
        <v>47164</v>
      </c>
      <c r="F19" s="22" t="s">
        <v>200</v>
      </c>
      <c r="G19" s="23">
        <v>20.106053396313371</v>
      </c>
      <c r="H19" s="24">
        <v>-1.0033164014944873</v>
      </c>
    </row>
    <row r="20" spans="1:8">
      <c r="A20" s="30"/>
      <c r="B20" s="25" t="s">
        <v>200</v>
      </c>
      <c r="C20" s="26" t="s">
        <v>200</v>
      </c>
      <c r="D20" s="26" t="s">
        <v>200</v>
      </c>
      <c r="E20" s="26" t="s">
        <v>200</v>
      </c>
      <c r="F20" s="27"/>
      <c r="G20" s="38" t="s">
        <v>200</v>
      </c>
      <c r="H20" s="24" t="s">
        <v>200</v>
      </c>
    </row>
    <row r="21" spans="1:8">
      <c r="A21" s="39" t="s">
        <v>12</v>
      </c>
      <c r="B21" s="31" t="s">
        <v>3</v>
      </c>
      <c r="C21" s="20">
        <v>1496</v>
      </c>
      <c r="D21" s="20">
        <v>1264</v>
      </c>
      <c r="E21" s="21">
        <v>1362</v>
      </c>
      <c r="F21" s="22" t="s">
        <v>200</v>
      </c>
      <c r="G21" s="37">
        <v>-8.9572192513368947</v>
      </c>
      <c r="H21" s="33">
        <v>7.7531645569620196</v>
      </c>
    </row>
    <row r="22" spans="1:8">
      <c r="A22" s="34"/>
      <c r="B22" s="25" t="s">
        <v>200</v>
      </c>
      <c r="C22" s="26" t="s">
        <v>200</v>
      </c>
      <c r="D22" s="26" t="s">
        <v>200</v>
      </c>
      <c r="E22" s="26" t="s">
        <v>200</v>
      </c>
      <c r="F22" s="27"/>
      <c r="G22" s="28" t="s">
        <v>200</v>
      </c>
      <c r="H22" s="29" t="s">
        <v>200</v>
      </c>
    </row>
    <row r="23" spans="1:8">
      <c r="A23" s="39" t="s">
        <v>23</v>
      </c>
      <c r="B23" s="31" t="s">
        <v>3</v>
      </c>
      <c r="C23" s="20">
        <v>4034.1759398496201</v>
      </c>
      <c r="D23" s="20">
        <v>3913</v>
      </c>
      <c r="E23" s="21">
        <v>4105</v>
      </c>
      <c r="F23" s="22" t="s">
        <v>200</v>
      </c>
      <c r="G23" s="23">
        <v>1.7556016694953485</v>
      </c>
      <c r="H23" s="24">
        <v>4.906721185790957</v>
      </c>
    </row>
    <row r="24" spans="1:8">
      <c r="A24" s="34"/>
      <c r="B24" s="25" t="s">
        <v>200</v>
      </c>
      <c r="C24" s="26" t="s">
        <v>200</v>
      </c>
      <c r="D24" s="26" t="s">
        <v>200</v>
      </c>
      <c r="E24" s="26" t="s">
        <v>200</v>
      </c>
      <c r="F24" s="27"/>
      <c r="G24" s="28" t="s">
        <v>200</v>
      </c>
      <c r="H24" s="29" t="s">
        <v>200</v>
      </c>
    </row>
    <row r="25" spans="1:8">
      <c r="A25" s="30" t="s">
        <v>24</v>
      </c>
      <c r="B25" s="31" t="s">
        <v>3</v>
      </c>
      <c r="C25" s="20">
        <v>28303.352380952401</v>
      </c>
      <c r="D25" s="20">
        <v>14114</v>
      </c>
      <c r="E25" s="21">
        <v>10167</v>
      </c>
      <c r="F25" s="22" t="s">
        <v>200</v>
      </c>
      <c r="G25" s="23">
        <v>-64.078460165580282</v>
      </c>
      <c r="H25" s="24">
        <v>-27.965140994756979</v>
      </c>
    </row>
    <row r="26" spans="1:8" ht="13.5" thickBot="1">
      <c r="A26" s="41"/>
      <c r="B26" s="42" t="s">
        <v>200</v>
      </c>
      <c r="C26" s="43" t="s">
        <v>200</v>
      </c>
      <c r="D26" s="43" t="s">
        <v>200</v>
      </c>
      <c r="E26" s="43" t="s">
        <v>200</v>
      </c>
      <c r="F26" s="44"/>
      <c r="G26" s="45" t="s">
        <v>200</v>
      </c>
      <c r="H26" s="46" t="s">
        <v>200</v>
      </c>
    </row>
    <row r="31" spans="1:8">
      <c r="A31" s="47"/>
      <c r="B31" s="48"/>
      <c r="C31" s="49"/>
      <c r="D31" s="55"/>
      <c r="E31" s="49"/>
      <c r="F31" s="49"/>
      <c r="G31" s="50"/>
      <c r="H31" s="51"/>
    </row>
    <row r="32" spans="1:8" ht="16.5" thickBot="1">
      <c r="A32" s="4" t="s">
        <v>43</v>
      </c>
      <c r="B32" s="5"/>
      <c r="C32" s="5"/>
      <c r="D32" s="5"/>
      <c r="E32" s="5"/>
      <c r="F32" s="5"/>
      <c r="G32" s="5"/>
      <c r="H32" s="6"/>
    </row>
    <row r="33" spans="1:8">
      <c r="A33" s="7"/>
      <c r="B33" s="8"/>
      <c r="C33" s="156" t="s">
        <v>16</v>
      </c>
      <c r="D33" s="150"/>
      <c r="E33" s="150"/>
      <c r="F33" s="157"/>
      <c r="G33" s="150" t="s">
        <v>1</v>
      </c>
      <c r="H33" s="151"/>
    </row>
    <row r="34" spans="1:8">
      <c r="A34" s="12"/>
      <c r="B34" s="13"/>
      <c r="C34" s="14" t="s">
        <v>195</v>
      </c>
      <c r="D34" s="15" t="s">
        <v>196</v>
      </c>
      <c r="E34" s="15" t="s">
        <v>197</v>
      </c>
      <c r="F34" s="16"/>
      <c r="G34" s="17" t="s">
        <v>198</v>
      </c>
      <c r="H34" s="18" t="s">
        <v>199</v>
      </c>
    </row>
    <row r="35" spans="1:8" ht="12.75" customHeight="1">
      <c r="A35" s="152" t="s">
        <v>42</v>
      </c>
      <c r="B35" s="19" t="s">
        <v>3</v>
      </c>
      <c r="C35" s="80">
        <v>1379.6285415780701</v>
      </c>
      <c r="D35" s="80">
        <v>1300.93637158466</v>
      </c>
      <c r="E35" s="83">
        <v>1283.8973522383801</v>
      </c>
      <c r="F35" s="22" t="s">
        <v>200</v>
      </c>
      <c r="G35" s="23">
        <v>-6.9389104715236698</v>
      </c>
      <c r="H35" s="24">
        <v>-1.3097504012071539</v>
      </c>
    </row>
    <row r="36" spans="1:8" ht="12.75" customHeight="1">
      <c r="A36" s="153"/>
      <c r="B36" s="25" t="s">
        <v>200</v>
      </c>
      <c r="C36" s="82" t="s">
        <v>200</v>
      </c>
      <c r="D36" s="82" t="s">
        <v>200</v>
      </c>
      <c r="E36" s="82" t="s">
        <v>200</v>
      </c>
      <c r="F36" s="27"/>
      <c r="G36" s="28" t="s">
        <v>200</v>
      </c>
      <c r="H36" s="29" t="s">
        <v>200</v>
      </c>
    </row>
    <row r="37" spans="1:8">
      <c r="A37" s="30" t="s">
        <v>18</v>
      </c>
      <c r="B37" s="31" t="s">
        <v>3</v>
      </c>
      <c r="C37" s="80">
        <v>479.28183805512401</v>
      </c>
      <c r="D37" s="80">
        <v>415.46900827342301</v>
      </c>
      <c r="E37" s="83">
        <v>433.23801897055898</v>
      </c>
      <c r="F37" s="22" t="s">
        <v>200</v>
      </c>
      <c r="G37" s="32">
        <v>-9.6068357756692961</v>
      </c>
      <c r="H37" s="33">
        <v>4.2768558769230793</v>
      </c>
    </row>
    <row r="38" spans="1:8">
      <c r="A38" s="34"/>
      <c r="B38" s="25" t="s">
        <v>200</v>
      </c>
      <c r="C38" s="82" t="s">
        <v>200</v>
      </c>
      <c r="D38" s="82" t="s">
        <v>200</v>
      </c>
      <c r="E38" s="82" t="s">
        <v>200</v>
      </c>
      <c r="F38" s="27"/>
      <c r="G38" s="35" t="s">
        <v>200</v>
      </c>
      <c r="H38" s="29" t="s">
        <v>200</v>
      </c>
    </row>
    <row r="39" spans="1:8">
      <c r="A39" s="30" t="s">
        <v>19</v>
      </c>
      <c r="B39" s="31" t="s">
        <v>3</v>
      </c>
      <c r="C39" s="80">
        <v>161.50081730479599</v>
      </c>
      <c r="D39" s="80">
        <v>142.06705910020301</v>
      </c>
      <c r="E39" s="83">
        <v>150.14569225925399</v>
      </c>
      <c r="F39" s="22" t="s">
        <v>200</v>
      </c>
      <c r="G39" s="37">
        <v>-7.0310015980363687</v>
      </c>
      <c r="H39" s="33">
        <v>5.6864928507831962</v>
      </c>
    </row>
    <row r="40" spans="1:8">
      <c r="A40" s="34"/>
      <c r="B40" s="25" t="s">
        <v>200</v>
      </c>
      <c r="C40" s="82" t="s">
        <v>200</v>
      </c>
      <c r="D40" s="82" t="s">
        <v>200</v>
      </c>
      <c r="E40" s="82" t="s">
        <v>200</v>
      </c>
      <c r="F40" s="27"/>
      <c r="G40" s="28" t="s">
        <v>200</v>
      </c>
      <c r="H40" s="29" t="s">
        <v>200</v>
      </c>
    </row>
    <row r="41" spans="1:8">
      <c r="A41" s="30" t="s">
        <v>20</v>
      </c>
      <c r="B41" s="31" t="s">
        <v>3</v>
      </c>
      <c r="C41" s="80">
        <v>307.522936948412</v>
      </c>
      <c r="D41" s="80">
        <v>328.67322605049299</v>
      </c>
      <c r="E41" s="83">
        <v>323.12567838198902</v>
      </c>
      <c r="F41" s="22" t="s">
        <v>200</v>
      </c>
      <c r="G41" s="23">
        <v>5.0736838001109561</v>
      </c>
      <c r="H41" s="24">
        <v>-1.6878611425597825</v>
      </c>
    </row>
    <row r="42" spans="1:8">
      <c r="A42" s="34"/>
      <c r="B42" s="25" t="s">
        <v>200</v>
      </c>
      <c r="C42" s="82" t="s">
        <v>200</v>
      </c>
      <c r="D42" s="82" t="s">
        <v>200</v>
      </c>
      <c r="E42" s="82" t="s">
        <v>200</v>
      </c>
      <c r="F42" s="27"/>
      <c r="G42" s="38" t="s">
        <v>200</v>
      </c>
      <c r="H42" s="24" t="s">
        <v>200</v>
      </c>
    </row>
    <row r="43" spans="1:8">
      <c r="A43" s="30" t="s">
        <v>21</v>
      </c>
      <c r="B43" s="31" t="s">
        <v>3</v>
      </c>
      <c r="C43" s="80">
        <v>4.1627791930314899</v>
      </c>
      <c r="D43" s="80">
        <v>4.1457410865807196</v>
      </c>
      <c r="E43" s="83">
        <v>5.7022714532732302</v>
      </c>
      <c r="F43" s="22" t="s">
        <v>200</v>
      </c>
      <c r="G43" s="37">
        <v>36.982318514968483</v>
      </c>
      <c r="H43" s="33">
        <v>37.545286456282042</v>
      </c>
    </row>
    <row r="44" spans="1:8">
      <c r="A44" s="34"/>
      <c r="B44" s="25" t="s">
        <v>200</v>
      </c>
      <c r="C44" s="82" t="s">
        <v>200</v>
      </c>
      <c r="D44" s="82" t="s">
        <v>200</v>
      </c>
      <c r="E44" s="82" t="s">
        <v>200</v>
      </c>
      <c r="F44" s="27"/>
      <c r="G44" s="28" t="s">
        <v>200</v>
      </c>
      <c r="H44" s="29" t="s">
        <v>200</v>
      </c>
    </row>
    <row r="45" spans="1:8">
      <c r="A45" s="30" t="s">
        <v>22</v>
      </c>
      <c r="B45" s="31" t="s">
        <v>3</v>
      </c>
      <c r="C45" s="80">
        <v>23.659419880570201</v>
      </c>
      <c r="D45" s="80">
        <v>21.989571995654501</v>
      </c>
      <c r="E45" s="83">
        <v>24.846832920891</v>
      </c>
      <c r="F45" s="22" t="s">
        <v>200</v>
      </c>
      <c r="G45" s="37">
        <v>5.0187749586199146</v>
      </c>
      <c r="H45" s="33">
        <v>12.993708680647089</v>
      </c>
    </row>
    <row r="46" spans="1:8">
      <c r="A46" s="34"/>
      <c r="B46" s="25" t="s">
        <v>200</v>
      </c>
      <c r="C46" s="82" t="s">
        <v>200</v>
      </c>
      <c r="D46" s="82" t="s">
        <v>200</v>
      </c>
      <c r="E46" s="82" t="s">
        <v>200</v>
      </c>
      <c r="F46" s="27"/>
      <c r="G46" s="28" t="s">
        <v>200</v>
      </c>
      <c r="H46" s="29" t="s">
        <v>200</v>
      </c>
    </row>
    <row r="47" spans="1:8">
      <c r="A47" s="30" t="s">
        <v>190</v>
      </c>
      <c r="B47" s="31" t="s">
        <v>3</v>
      </c>
      <c r="C47" s="80">
        <v>175.86300214960701</v>
      </c>
      <c r="D47" s="80">
        <v>198.64957067614199</v>
      </c>
      <c r="E47" s="83">
        <v>168.26758628422101</v>
      </c>
      <c r="F47" s="22" t="s">
        <v>200</v>
      </c>
      <c r="G47" s="23">
        <v>-4.318939044907566</v>
      </c>
      <c r="H47" s="24">
        <v>-15.29426129062854</v>
      </c>
    </row>
    <row r="48" spans="1:8">
      <c r="A48" s="30"/>
      <c r="B48" s="25" t="s">
        <v>200</v>
      </c>
      <c r="C48" s="82" t="s">
        <v>200</v>
      </c>
      <c r="D48" s="82" t="s">
        <v>200</v>
      </c>
      <c r="E48" s="82" t="s">
        <v>200</v>
      </c>
      <c r="F48" s="27"/>
      <c r="G48" s="38" t="s">
        <v>200</v>
      </c>
      <c r="H48" s="24" t="s">
        <v>200</v>
      </c>
    </row>
    <row r="49" spans="1:8">
      <c r="A49" s="39" t="s">
        <v>12</v>
      </c>
      <c r="B49" s="31" t="s">
        <v>3</v>
      </c>
      <c r="C49" s="80">
        <v>20.904674108752101</v>
      </c>
      <c r="D49" s="80">
        <v>13.6753016800215</v>
      </c>
      <c r="E49" s="83">
        <v>12.9626434863301</v>
      </c>
      <c r="F49" s="22" t="s">
        <v>200</v>
      </c>
      <c r="G49" s="37">
        <v>-37.991650006621882</v>
      </c>
      <c r="H49" s="33">
        <v>-5.2112795049526</v>
      </c>
    </row>
    <row r="50" spans="1:8">
      <c r="A50" s="34"/>
      <c r="B50" s="25" t="s">
        <v>200</v>
      </c>
      <c r="C50" s="82" t="s">
        <v>200</v>
      </c>
      <c r="D50" s="82" t="s">
        <v>200</v>
      </c>
      <c r="E50" s="82" t="s">
        <v>200</v>
      </c>
      <c r="F50" s="27"/>
      <c r="G50" s="28" t="s">
        <v>200</v>
      </c>
      <c r="H50" s="29" t="s">
        <v>200</v>
      </c>
    </row>
    <row r="51" spans="1:8">
      <c r="A51" s="39" t="s">
        <v>23</v>
      </c>
      <c r="B51" s="31" t="s">
        <v>3</v>
      </c>
      <c r="C51" s="80">
        <v>88.945649486663299</v>
      </c>
      <c r="D51" s="80">
        <v>96.198411198213506</v>
      </c>
      <c r="E51" s="83">
        <v>98.875533094773104</v>
      </c>
      <c r="F51" s="22" t="s">
        <v>200</v>
      </c>
      <c r="G51" s="23">
        <v>11.163990218092351</v>
      </c>
      <c r="H51" s="24">
        <v>2.7829169559188358</v>
      </c>
    </row>
    <row r="52" spans="1:8">
      <c r="A52" s="34"/>
      <c r="B52" s="25" t="s">
        <v>200</v>
      </c>
      <c r="C52" s="82" t="s">
        <v>200</v>
      </c>
      <c r="D52" s="82" t="s">
        <v>200</v>
      </c>
      <c r="E52" s="82" t="s">
        <v>200</v>
      </c>
      <c r="F52" s="27"/>
      <c r="G52" s="38" t="s">
        <v>200</v>
      </c>
      <c r="H52" s="24" t="s">
        <v>200</v>
      </c>
    </row>
    <row r="53" spans="1:8">
      <c r="A53" s="30" t="s">
        <v>24</v>
      </c>
      <c r="B53" s="31" t="s">
        <v>3</v>
      </c>
      <c r="C53" s="80">
        <v>117.787424451108</v>
      </c>
      <c r="D53" s="80">
        <v>80.068481523930203</v>
      </c>
      <c r="E53" s="83">
        <v>66.733095387091396</v>
      </c>
      <c r="F53" s="22" t="s">
        <v>200</v>
      </c>
      <c r="G53" s="37">
        <v>-43.344465083544279</v>
      </c>
      <c r="H53" s="33">
        <v>-16.654975694591172</v>
      </c>
    </row>
    <row r="54" spans="1:8" ht="13.5" thickBot="1">
      <c r="A54" s="41"/>
      <c r="B54" s="42" t="s">
        <v>200</v>
      </c>
      <c r="C54" s="86" t="s">
        <v>200</v>
      </c>
      <c r="D54" s="86" t="s">
        <v>200</v>
      </c>
      <c r="E54" s="86" t="s">
        <v>200</v>
      </c>
      <c r="F54" s="44"/>
      <c r="G54" s="45" t="s">
        <v>200</v>
      </c>
      <c r="H54" s="46" t="s">
        <v>200</v>
      </c>
    </row>
    <row r="59" spans="1:8">
      <c r="A59" s="47"/>
      <c r="B59" s="48"/>
      <c r="C59" s="49"/>
      <c r="D59" s="49"/>
      <c r="E59" s="49"/>
      <c r="F59" s="49"/>
      <c r="G59" s="50"/>
      <c r="H59" s="51"/>
    </row>
    <row r="60" spans="1:8">
      <c r="A60" s="52"/>
      <c r="B60" s="52"/>
      <c r="C60" s="52"/>
      <c r="D60" s="52"/>
      <c r="E60" s="52"/>
      <c r="F60" s="52"/>
      <c r="G60" s="52"/>
      <c r="H60" s="52"/>
    </row>
    <row r="61" spans="1:8" ht="12.75" customHeight="1">
      <c r="A61" s="147">
        <v>14</v>
      </c>
      <c r="H61" s="53" t="s">
        <v>201</v>
      </c>
    </row>
    <row r="62" spans="1:8" ht="12.75" customHeight="1">
      <c r="A62" s="148"/>
      <c r="H62" s="53" t="s">
        <v>202</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3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150</v>
      </c>
      <c r="B4" s="5"/>
      <c r="C4" s="5"/>
      <c r="D4" s="5"/>
      <c r="E4" s="5"/>
      <c r="F4" s="5"/>
      <c r="G4" s="5"/>
      <c r="H4" s="6"/>
    </row>
    <row r="5" spans="1:8">
      <c r="A5" s="7"/>
      <c r="B5" s="8"/>
      <c r="C5" s="9"/>
      <c r="D5" s="8"/>
      <c r="E5" s="10"/>
      <c r="F5" s="11"/>
      <c r="G5" s="150" t="s">
        <v>1</v>
      </c>
      <c r="H5" s="151"/>
    </row>
    <row r="6" spans="1:8">
      <c r="A6" s="12"/>
      <c r="B6" s="13"/>
      <c r="C6" s="14" t="s">
        <v>195</v>
      </c>
      <c r="D6" s="15" t="s">
        <v>196</v>
      </c>
      <c r="E6" s="15" t="s">
        <v>197</v>
      </c>
      <c r="F6" s="16"/>
      <c r="G6" s="17" t="s">
        <v>198</v>
      </c>
      <c r="H6" s="18" t="s">
        <v>199</v>
      </c>
    </row>
    <row r="7" spans="1:8">
      <c r="A7" s="152" t="s">
        <v>44</v>
      </c>
      <c r="B7" s="19" t="s">
        <v>3</v>
      </c>
      <c r="C7" s="20">
        <v>111907.64</v>
      </c>
      <c r="D7" s="20">
        <v>100999</v>
      </c>
      <c r="E7" s="21">
        <v>118928</v>
      </c>
      <c r="F7" s="22" t="s">
        <v>200</v>
      </c>
      <c r="G7" s="23">
        <v>6.2733518462189153</v>
      </c>
      <c r="H7" s="24">
        <v>17.751660907533733</v>
      </c>
    </row>
    <row r="8" spans="1:8">
      <c r="A8" s="153"/>
      <c r="B8" s="25" t="s">
        <v>200</v>
      </c>
      <c r="C8" s="26" t="s">
        <v>200</v>
      </c>
      <c r="D8" s="26" t="s">
        <v>200</v>
      </c>
      <c r="E8" s="26" t="s">
        <v>200</v>
      </c>
      <c r="F8" s="27"/>
      <c r="G8" s="28" t="s">
        <v>200</v>
      </c>
      <c r="H8" s="29" t="s">
        <v>200</v>
      </c>
    </row>
    <row r="9" spans="1:8">
      <c r="A9" s="30" t="s">
        <v>18</v>
      </c>
      <c r="B9" s="31" t="s">
        <v>3</v>
      </c>
      <c r="C9" s="20">
        <v>11000.408648648599</v>
      </c>
      <c r="D9" s="20">
        <v>9109</v>
      </c>
      <c r="E9" s="21">
        <v>11253</v>
      </c>
      <c r="F9" s="22" t="s">
        <v>200</v>
      </c>
      <c r="G9" s="32">
        <v>2.2961997087483752</v>
      </c>
      <c r="H9" s="33">
        <v>23.537161049511468</v>
      </c>
    </row>
    <row r="10" spans="1:8">
      <c r="A10" s="34"/>
      <c r="B10" s="25" t="s">
        <v>200</v>
      </c>
      <c r="C10" s="26" t="s">
        <v>200</v>
      </c>
      <c r="D10" s="26" t="s">
        <v>200</v>
      </c>
      <c r="E10" s="26" t="s">
        <v>200</v>
      </c>
      <c r="F10" s="27"/>
      <c r="G10" s="35" t="s">
        <v>200</v>
      </c>
      <c r="H10" s="29" t="s">
        <v>200</v>
      </c>
    </row>
    <row r="11" spans="1:8">
      <c r="A11" s="30" t="s">
        <v>19</v>
      </c>
      <c r="B11" s="31" t="s">
        <v>3</v>
      </c>
      <c r="C11" s="20">
        <v>53896.266666666699</v>
      </c>
      <c r="D11" s="20">
        <v>44868</v>
      </c>
      <c r="E11" s="21">
        <v>50710</v>
      </c>
      <c r="F11" s="22" t="s">
        <v>200</v>
      </c>
      <c r="G11" s="37">
        <v>-5.9118504188293173</v>
      </c>
      <c r="H11" s="33">
        <v>13.020415440848708</v>
      </c>
    </row>
    <row r="12" spans="1:8">
      <c r="A12" s="34"/>
      <c r="B12" s="25" t="s">
        <v>200</v>
      </c>
      <c r="C12" s="26" t="s">
        <v>200</v>
      </c>
      <c r="D12" s="26" t="s">
        <v>200</v>
      </c>
      <c r="E12" s="26" t="s">
        <v>200</v>
      </c>
      <c r="F12" s="27"/>
      <c r="G12" s="28" t="s">
        <v>200</v>
      </c>
      <c r="H12" s="29" t="s">
        <v>200</v>
      </c>
    </row>
    <row r="13" spans="1:8">
      <c r="A13" s="30" t="s">
        <v>20</v>
      </c>
      <c r="B13" s="31" t="s">
        <v>3</v>
      </c>
      <c r="C13" s="20">
        <v>5423.3771428571399</v>
      </c>
      <c r="D13" s="20">
        <v>5548</v>
      </c>
      <c r="E13" s="21">
        <v>5447</v>
      </c>
      <c r="F13" s="22" t="s">
        <v>200</v>
      </c>
      <c r="G13" s="23">
        <v>0.43557467092200852</v>
      </c>
      <c r="H13" s="24">
        <v>-1.8204758471521245</v>
      </c>
    </row>
    <row r="14" spans="1:8">
      <c r="A14" s="34"/>
      <c r="B14" s="25" t="s">
        <v>200</v>
      </c>
      <c r="C14" s="26" t="s">
        <v>200</v>
      </c>
      <c r="D14" s="26" t="s">
        <v>200</v>
      </c>
      <c r="E14" s="26" t="s">
        <v>200</v>
      </c>
      <c r="F14" s="27"/>
      <c r="G14" s="38" t="s">
        <v>200</v>
      </c>
      <c r="H14" s="24" t="s">
        <v>200</v>
      </c>
    </row>
    <row r="15" spans="1:8">
      <c r="A15" s="30" t="s">
        <v>21</v>
      </c>
      <c r="B15" s="31" t="s">
        <v>3</v>
      </c>
      <c r="C15" s="20">
        <v>2954.36</v>
      </c>
      <c r="D15" s="20">
        <v>3006</v>
      </c>
      <c r="E15" s="21">
        <v>3012</v>
      </c>
      <c r="F15" s="22" t="s">
        <v>200</v>
      </c>
      <c r="G15" s="37">
        <v>1.9510147713887278</v>
      </c>
      <c r="H15" s="33">
        <v>0.19960079840319622</v>
      </c>
    </row>
    <row r="16" spans="1:8">
      <c r="A16" s="34"/>
      <c r="B16" s="25" t="s">
        <v>200</v>
      </c>
      <c r="C16" s="26" t="s">
        <v>200</v>
      </c>
      <c r="D16" s="26" t="s">
        <v>200</v>
      </c>
      <c r="E16" s="26" t="s">
        <v>200</v>
      </c>
      <c r="F16" s="27"/>
      <c r="G16" s="28" t="s">
        <v>200</v>
      </c>
      <c r="H16" s="29" t="s">
        <v>200</v>
      </c>
    </row>
    <row r="17" spans="1:8">
      <c r="A17" s="30" t="s">
        <v>22</v>
      </c>
      <c r="B17" s="31" t="s">
        <v>3</v>
      </c>
      <c r="C17" s="20">
        <v>862.66399999999999</v>
      </c>
      <c r="D17" s="20">
        <v>741</v>
      </c>
      <c r="E17" s="21">
        <v>725</v>
      </c>
      <c r="F17" s="22" t="s">
        <v>200</v>
      </c>
      <c r="G17" s="37">
        <v>-15.958009143768606</v>
      </c>
      <c r="H17" s="33">
        <v>-2.1592442645074215</v>
      </c>
    </row>
    <row r="18" spans="1:8">
      <c r="A18" s="34"/>
      <c r="B18" s="25" t="s">
        <v>200</v>
      </c>
      <c r="C18" s="26" t="s">
        <v>200</v>
      </c>
      <c r="D18" s="26" t="s">
        <v>200</v>
      </c>
      <c r="E18" s="26" t="s">
        <v>200</v>
      </c>
      <c r="F18" s="27"/>
      <c r="G18" s="28" t="s">
        <v>200</v>
      </c>
      <c r="H18" s="29" t="s">
        <v>200</v>
      </c>
    </row>
    <row r="19" spans="1:8">
      <c r="A19" s="30" t="s">
        <v>190</v>
      </c>
      <c r="B19" s="31" t="s">
        <v>3</v>
      </c>
      <c r="C19" s="20">
        <v>23921.11</v>
      </c>
      <c r="D19" s="20">
        <v>25498</v>
      </c>
      <c r="E19" s="21">
        <v>24816</v>
      </c>
      <c r="F19" s="22" t="s">
        <v>200</v>
      </c>
      <c r="G19" s="23">
        <v>3.7410053296021744</v>
      </c>
      <c r="H19" s="24">
        <v>-2.6747195858498714</v>
      </c>
    </row>
    <row r="20" spans="1:8">
      <c r="A20" s="30"/>
      <c r="B20" s="25" t="s">
        <v>200</v>
      </c>
      <c r="C20" s="26" t="s">
        <v>200</v>
      </c>
      <c r="D20" s="26" t="s">
        <v>200</v>
      </c>
      <c r="E20" s="26" t="s">
        <v>200</v>
      </c>
      <c r="F20" s="27"/>
      <c r="G20" s="38" t="s">
        <v>200</v>
      </c>
      <c r="H20" s="24" t="s">
        <v>200</v>
      </c>
    </row>
    <row r="21" spans="1:8">
      <c r="A21" s="39" t="s">
        <v>12</v>
      </c>
      <c r="B21" s="31" t="s">
        <v>3</v>
      </c>
      <c r="C21" s="20">
        <v>736</v>
      </c>
      <c r="D21" s="20">
        <v>615</v>
      </c>
      <c r="E21" s="21">
        <v>561</v>
      </c>
      <c r="F21" s="22" t="s">
        <v>200</v>
      </c>
      <c r="G21" s="37">
        <v>-23.777173913043484</v>
      </c>
      <c r="H21" s="33">
        <v>-8.7804878048780495</v>
      </c>
    </row>
    <row r="22" spans="1:8">
      <c r="A22" s="34"/>
      <c r="B22" s="25" t="s">
        <v>200</v>
      </c>
      <c r="C22" s="26" t="s">
        <v>200</v>
      </c>
      <c r="D22" s="26" t="s">
        <v>200</v>
      </c>
      <c r="E22" s="26" t="s">
        <v>200</v>
      </c>
      <c r="F22" s="27"/>
      <c r="G22" s="28" t="s">
        <v>200</v>
      </c>
      <c r="H22" s="29" t="s">
        <v>200</v>
      </c>
    </row>
    <row r="23" spans="1:8">
      <c r="A23" s="39" t="s">
        <v>23</v>
      </c>
      <c r="B23" s="31" t="s">
        <v>3</v>
      </c>
      <c r="C23" s="20">
        <v>6382.3663157894698</v>
      </c>
      <c r="D23" s="20">
        <v>5715</v>
      </c>
      <c r="E23" s="21">
        <v>5920</v>
      </c>
      <c r="F23" s="22" t="s">
        <v>200</v>
      </c>
      <c r="G23" s="23">
        <v>-7.2444340063279071</v>
      </c>
      <c r="H23" s="24">
        <v>3.5870516185476902</v>
      </c>
    </row>
    <row r="24" spans="1:8">
      <c r="A24" s="34"/>
      <c r="B24" s="25" t="s">
        <v>200</v>
      </c>
      <c r="C24" s="26" t="s">
        <v>200</v>
      </c>
      <c r="D24" s="26" t="s">
        <v>200</v>
      </c>
      <c r="E24" s="26" t="s">
        <v>200</v>
      </c>
      <c r="F24" s="27"/>
      <c r="G24" s="28" t="s">
        <v>200</v>
      </c>
      <c r="H24" s="29" t="s">
        <v>200</v>
      </c>
    </row>
    <row r="25" spans="1:8">
      <c r="A25" s="30" t="s">
        <v>24</v>
      </c>
      <c r="B25" s="31" t="s">
        <v>3</v>
      </c>
      <c r="C25" s="20">
        <v>8697.0533333333296</v>
      </c>
      <c r="D25" s="20">
        <v>8003</v>
      </c>
      <c r="E25" s="21">
        <v>19525</v>
      </c>
      <c r="F25" s="22" t="s">
        <v>200</v>
      </c>
      <c r="G25" s="23">
        <v>124.5013253531082</v>
      </c>
      <c r="H25" s="24">
        <v>143.97101087092338</v>
      </c>
    </row>
    <row r="26" spans="1:8" ht="13.5" thickBot="1">
      <c r="A26" s="41"/>
      <c r="B26" s="42" t="s">
        <v>200</v>
      </c>
      <c r="C26" s="43" t="s">
        <v>200</v>
      </c>
      <c r="D26" s="43" t="s">
        <v>200</v>
      </c>
      <c r="E26" s="43" t="s">
        <v>200</v>
      </c>
      <c r="F26" s="44"/>
      <c r="G26" s="45" t="s">
        <v>200</v>
      </c>
      <c r="H26" s="46" t="s">
        <v>200</v>
      </c>
    </row>
    <row r="31" spans="1:8">
      <c r="A31" s="47"/>
      <c r="B31" s="48"/>
      <c r="C31" s="49"/>
      <c r="D31" s="55"/>
      <c r="E31" s="49"/>
      <c r="F31" s="49"/>
      <c r="G31" s="50"/>
      <c r="H31" s="51"/>
    </row>
    <row r="32" spans="1:8" ht="16.5" thickBot="1">
      <c r="A32" s="4" t="s">
        <v>99</v>
      </c>
      <c r="B32" s="5"/>
      <c r="C32" s="5"/>
      <c r="D32" s="5"/>
      <c r="E32" s="5"/>
      <c r="F32" s="5"/>
      <c r="G32" s="5"/>
      <c r="H32" s="6"/>
    </row>
    <row r="33" spans="1:8">
      <c r="A33" s="7"/>
      <c r="B33" s="8"/>
      <c r="C33" s="156" t="s">
        <v>16</v>
      </c>
      <c r="D33" s="150"/>
      <c r="E33" s="150"/>
      <c r="F33" s="157"/>
      <c r="G33" s="150" t="s">
        <v>1</v>
      </c>
      <c r="H33" s="151"/>
    </row>
    <row r="34" spans="1:8">
      <c r="A34" s="12"/>
      <c r="B34" s="13"/>
      <c r="C34" s="14" t="s">
        <v>195</v>
      </c>
      <c r="D34" s="15" t="s">
        <v>196</v>
      </c>
      <c r="E34" s="15" t="s">
        <v>197</v>
      </c>
      <c r="F34" s="16"/>
      <c r="G34" s="17" t="s">
        <v>198</v>
      </c>
      <c r="H34" s="18" t="s">
        <v>199</v>
      </c>
    </row>
    <row r="35" spans="1:8" ht="12.75" customHeight="1">
      <c r="A35" s="152" t="s">
        <v>44</v>
      </c>
      <c r="B35" s="19" t="s">
        <v>3</v>
      </c>
      <c r="C35" s="80">
        <v>4500.00051982691</v>
      </c>
      <c r="D35" s="80">
        <v>3933.3546353749898</v>
      </c>
      <c r="E35" s="83">
        <v>4467.9881743546503</v>
      </c>
      <c r="F35" s="22" t="s">
        <v>200</v>
      </c>
      <c r="G35" s="23">
        <v>-0.71138537276193858</v>
      </c>
      <c r="H35" s="24">
        <v>13.592304496812574</v>
      </c>
    </row>
    <row r="36" spans="1:8" ht="12.75" customHeight="1">
      <c r="A36" s="153"/>
      <c r="B36" s="25" t="s">
        <v>200</v>
      </c>
      <c r="C36" s="82" t="s">
        <v>200</v>
      </c>
      <c r="D36" s="82" t="s">
        <v>200</v>
      </c>
      <c r="E36" s="82" t="s">
        <v>200</v>
      </c>
      <c r="F36" s="27"/>
      <c r="G36" s="28" t="s">
        <v>200</v>
      </c>
      <c r="H36" s="29" t="s">
        <v>200</v>
      </c>
    </row>
    <row r="37" spans="1:8">
      <c r="A37" s="30" t="s">
        <v>18</v>
      </c>
      <c r="B37" s="31" t="s">
        <v>3</v>
      </c>
      <c r="C37" s="80">
        <v>1748.8934246101001</v>
      </c>
      <c r="D37" s="80">
        <v>1511.6695929119801</v>
      </c>
      <c r="E37" s="83">
        <v>1755.96674908876</v>
      </c>
      <c r="F37" s="22" t="s">
        <v>200</v>
      </c>
      <c r="G37" s="32">
        <v>0.40444571287909525</v>
      </c>
      <c r="H37" s="33">
        <v>16.16075082294816</v>
      </c>
    </row>
    <row r="38" spans="1:8">
      <c r="A38" s="34"/>
      <c r="B38" s="25" t="s">
        <v>200</v>
      </c>
      <c r="C38" s="82" t="s">
        <v>200</v>
      </c>
      <c r="D38" s="82" t="s">
        <v>200</v>
      </c>
      <c r="E38" s="82" t="s">
        <v>200</v>
      </c>
      <c r="F38" s="27"/>
      <c r="G38" s="35" t="s">
        <v>200</v>
      </c>
      <c r="H38" s="29" t="s">
        <v>200</v>
      </c>
    </row>
    <row r="39" spans="1:8">
      <c r="A39" s="30" t="s">
        <v>19</v>
      </c>
      <c r="B39" s="31" t="s">
        <v>3</v>
      </c>
      <c r="C39" s="80">
        <v>1977.0282081059299</v>
      </c>
      <c r="D39" s="80">
        <v>1707.9021518919501</v>
      </c>
      <c r="E39" s="83">
        <v>1946.44377082797</v>
      </c>
      <c r="F39" s="22" t="s">
        <v>200</v>
      </c>
      <c r="G39" s="37">
        <v>-1.5469904350662347</v>
      </c>
      <c r="H39" s="33">
        <v>13.966937079608016</v>
      </c>
    </row>
    <row r="40" spans="1:8">
      <c r="A40" s="34"/>
      <c r="B40" s="25" t="s">
        <v>200</v>
      </c>
      <c r="C40" s="82" t="s">
        <v>200</v>
      </c>
      <c r="D40" s="82" t="s">
        <v>200</v>
      </c>
      <c r="E40" s="82" t="s">
        <v>200</v>
      </c>
      <c r="F40" s="27"/>
      <c r="G40" s="28" t="s">
        <v>200</v>
      </c>
      <c r="H40" s="29" t="s">
        <v>200</v>
      </c>
    </row>
    <row r="41" spans="1:8">
      <c r="A41" s="30" t="s">
        <v>20</v>
      </c>
      <c r="B41" s="31" t="s">
        <v>3</v>
      </c>
      <c r="C41" s="80">
        <v>107.067739828822</v>
      </c>
      <c r="D41" s="80">
        <v>110.872576601586</v>
      </c>
      <c r="E41" s="83">
        <v>101.371686041329</v>
      </c>
      <c r="F41" s="22" t="s">
        <v>200</v>
      </c>
      <c r="G41" s="23">
        <v>-5.3200467261191307</v>
      </c>
      <c r="H41" s="24">
        <v>-8.5691979490996175</v>
      </c>
    </row>
    <row r="42" spans="1:8">
      <c r="A42" s="34"/>
      <c r="B42" s="25" t="s">
        <v>200</v>
      </c>
      <c r="C42" s="82" t="s">
        <v>200</v>
      </c>
      <c r="D42" s="82" t="s">
        <v>200</v>
      </c>
      <c r="E42" s="82" t="s">
        <v>200</v>
      </c>
      <c r="F42" s="27"/>
      <c r="G42" s="38" t="s">
        <v>200</v>
      </c>
      <c r="H42" s="24" t="s">
        <v>200</v>
      </c>
    </row>
    <row r="43" spans="1:8">
      <c r="A43" s="30" t="s">
        <v>21</v>
      </c>
      <c r="B43" s="31" t="s">
        <v>3</v>
      </c>
      <c r="C43" s="80">
        <v>23.679315930953699</v>
      </c>
      <c r="D43" s="80">
        <v>21.1208608824202</v>
      </c>
      <c r="E43" s="83">
        <v>22.3273450724264</v>
      </c>
      <c r="F43" s="22" t="s">
        <v>200</v>
      </c>
      <c r="G43" s="37">
        <v>-5.7095013321731898</v>
      </c>
      <c r="H43" s="33">
        <v>5.7122869977824138</v>
      </c>
    </row>
    <row r="44" spans="1:8">
      <c r="A44" s="34"/>
      <c r="B44" s="25" t="s">
        <v>200</v>
      </c>
      <c r="C44" s="82" t="s">
        <v>200</v>
      </c>
      <c r="D44" s="82" t="s">
        <v>200</v>
      </c>
      <c r="E44" s="82" t="s">
        <v>200</v>
      </c>
      <c r="F44" s="27"/>
      <c r="G44" s="28" t="s">
        <v>200</v>
      </c>
      <c r="H44" s="29" t="s">
        <v>200</v>
      </c>
    </row>
    <row r="45" spans="1:8">
      <c r="A45" s="30" t="s">
        <v>22</v>
      </c>
      <c r="B45" s="31" t="s">
        <v>3</v>
      </c>
      <c r="C45" s="80">
        <v>7.2351333719966098</v>
      </c>
      <c r="D45" s="80">
        <v>4.9992291625055998</v>
      </c>
      <c r="E45" s="83">
        <v>4.5109582542523201</v>
      </c>
      <c r="F45" s="22" t="s">
        <v>200</v>
      </c>
      <c r="G45" s="37">
        <v>-37.65203732509115</v>
      </c>
      <c r="H45" s="33">
        <v>-9.7669239072961318</v>
      </c>
    </row>
    <row r="46" spans="1:8">
      <c r="A46" s="34"/>
      <c r="B46" s="25" t="s">
        <v>200</v>
      </c>
      <c r="C46" s="82" t="s">
        <v>200</v>
      </c>
      <c r="D46" s="82" t="s">
        <v>200</v>
      </c>
      <c r="E46" s="82" t="s">
        <v>200</v>
      </c>
      <c r="F46" s="27"/>
      <c r="G46" s="28" t="s">
        <v>200</v>
      </c>
      <c r="H46" s="29" t="s">
        <v>200</v>
      </c>
    </row>
    <row r="47" spans="1:8">
      <c r="A47" s="30" t="s">
        <v>190</v>
      </c>
      <c r="B47" s="31" t="s">
        <v>3</v>
      </c>
      <c r="C47" s="80">
        <v>317.193973977464</v>
      </c>
      <c r="D47" s="80">
        <v>252.97221744601799</v>
      </c>
      <c r="E47" s="83">
        <v>276.93618063604998</v>
      </c>
      <c r="F47" s="22" t="s">
        <v>200</v>
      </c>
      <c r="G47" s="23">
        <v>-12.691853138507057</v>
      </c>
      <c r="H47" s="24">
        <v>9.4729624588698869</v>
      </c>
    </row>
    <row r="48" spans="1:8">
      <c r="A48" s="30"/>
      <c r="B48" s="25" t="s">
        <v>200</v>
      </c>
      <c r="C48" s="82" t="s">
        <v>200</v>
      </c>
      <c r="D48" s="82" t="s">
        <v>200</v>
      </c>
      <c r="E48" s="82" t="s">
        <v>200</v>
      </c>
      <c r="F48" s="27"/>
      <c r="G48" s="38" t="s">
        <v>200</v>
      </c>
      <c r="H48" s="24" t="s">
        <v>200</v>
      </c>
    </row>
    <row r="49" spans="1:8">
      <c r="A49" s="39" t="s">
        <v>12</v>
      </c>
      <c r="B49" s="31" t="s">
        <v>3</v>
      </c>
      <c r="C49" s="80">
        <v>8.1906416789914491</v>
      </c>
      <c r="D49" s="80">
        <v>6.9060175866315801</v>
      </c>
      <c r="E49" s="83">
        <v>4.3023171066068802</v>
      </c>
      <c r="F49" s="22" t="s">
        <v>200</v>
      </c>
      <c r="G49" s="37">
        <v>-47.472771057216555</v>
      </c>
      <c r="H49" s="33">
        <v>-37.701909202560522</v>
      </c>
    </row>
    <row r="50" spans="1:8">
      <c r="A50" s="34"/>
      <c r="B50" s="25" t="s">
        <v>200</v>
      </c>
      <c r="C50" s="82" t="s">
        <v>200</v>
      </c>
      <c r="D50" s="82" t="s">
        <v>200</v>
      </c>
      <c r="E50" s="82" t="s">
        <v>200</v>
      </c>
      <c r="F50" s="27"/>
      <c r="G50" s="28" t="s">
        <v>200</v>
      </c>
      <c r="H50" s="29" t="s">
        <v>200</v>
      </c>
    </row>
    <row r="51" spans="1:8">
      <c r="A51" s="39" t="s">
        <v>23</v>
      </c>
      <c r="B51" s="31" t="s">
        <v>3</v>
      </c>
      <c r="C51" s="80">
        <v>145.36183575816301</v>
      </c>
      <c r="D51" s="80">
        <v>140.16103685559099</v>
      </c>
      <c r="E51" s="83">
        <v>148.077855183845</v>
      </c>
      <c r="F51" s="22" t="s">
        <v>200</v>
      </c>
      <c r="G51" s="23">
        <v>1.8684542689737356</v>
      </c>
      <c r="H51" s="24">
        <v>5.6483731184228958</v>
      </c>
    </row>
    <row r="52" spans="1:8">
      <c r="A52" s="34"/>
      <c r="B52" s="25" t="s">
        <v>200</v>
      </c>
      <c r="C52" s="82" t="s">
        <v>200</v>
      </c>
      <c r="D52" s="82" t="s">
        <v>200</v>
      </c>
      <c r="E52" s="82" t="s">
        <v>200</v>
      </c>
      <c r="F52" s="27"/>
      <c r="G52" s="28" t="s">
        <v>200</v>
      </c>
      <c r="H52" s="29" t="s">
        <v>200</v>
      </c>
    </row>
    <row r="53" spans="1:8">
      <c r="A53" s="30" t="s">
        <v>24</v>
      </c>
      <c r="B53" s="31" t="s">
        <v>3</v>
      </c>
      <c r="C53" s="80">
        <v>165.35024656447899</v>
      </c>
      <c r="D53" s="80">
        <v>176.75095203630701</v>
      </c>
      <c r="E53" s="83">
        <v>208.051312143405</v>
      </c>
      <c r="F53" s="22" t="s">
        <v>200</v>
      </c>
      <c r="G53" s="23">
        <v>25.824615606046009</v>
      </c>
      <c r="H53" s="24">
        <v>17.708736358414896</v>
      </c>
    </row>
    <row r="54" spans="1:8" ht="13.5" thickBot="1">
      <c r="A54" s="41"/>
      <c r="B54" s="42" t="s">
        <v>200</v>
      </c>
      <c r="C54" s="86" t="s">
        <v>200</v>
      </c>
      <c r="D54" s="86" t="s">
        <v>200</v>
      </c>
      <c r="E54" s="86" t="s">
        <v>200</v>
      </c>
      <c r="F54" s="44"/>
      <c r="G54" s="45" t="s">
        <v>200</v>
      </c>
      <c r="H54" s="46" t="s">
        <v>200</v>
      </c>
    </row>
    <row r="59" spans="1:8">
      <c r="A59" s="47"/>
      <c r="B59" s="48"/>
      <c r="C59" s="49"/>
      <c r="D59" s="49"/>
      <c r="E59" s="49"/>
      <c r="F59" s="49"/>
      <c r="G59" s="50"/>
      <c r="H59" s="51"/>
    </row>
    <row r="60" spans="1:8">
      <c r="A60" s="52"/>
      <c r="B60" s="52"/>
      <c r="C60" s="52"/>
      <c r="D60" s="52"/>
      <c r="E60" s="52"/>
      <c r="F60" s="52"/>
      <c r="G60" s="52"/>
      <c r="H60" s="52"/>
    </row>
    <row r="61" spans="1:8" ht="12.75" customHeight="1">
      <c r="A61" s="54" t="s">
        <v>201</v>
      </c>
      <c r="G61" s="53"/>
      <c r="H61" s="155">
        <v>15</v>
      </c>
    </row>
    <row r="62" spans="1:8" ht="12.75" customHeight="1">
      <c r="A62" s="54" t="s">
        <v>202</v>
      </c>
      <c r="G62" s="53"/>
      <c r="H62" s="146"/>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151</v>
      </c>
      <c r="B4" s="5"/>
      <c r="C4" s="5"/>
      <c r="D4" s="5"/>
      <c r="E4" s="5"/>
      <c r="F4" s="5"/>
      <c r="G4" s="5"/>
      <c r="H4" s="6"/>
    </row>
    <row r="5" spans="1:8">
      <c r="A5" s="7"/>
      <c r="B5" s="8"/>
      <c r="C5" s="9"/>
      <c r="D5" s="8"/>
      <c r="E5" s="10"/>
      <c r="F5" s="11"/>
      <c r="G5" s="150" t="s">
        <v>1</v>
      </c>
      <c r="H5" s="151"/>
    </row>
    <row r="6" spans="1:8">
      <c r="A6" s="12"/>
      <c r="B6" s="13"/>
      <c r="C6" s="14" t="s">
        <v>195</v>
      </c>
      <c r="D6" s="15" t="s">
        <v>196</v>
      </c>
      <c r="E6" s="15" t="s">
        <v>197</v>
      </c>
      <c r="F6" s="16"/>
      <c r="G6" s="17" t="s">
        <v>198</v>
      </c>
      <c r="H6" s="18" t="s">
        <v>199</v>
      </c>
    </row>
    <row r="7" spans="1:8" ht="12.75" customHeight="1">
      <c r="A7" s="152" t="s">
        <v>45</v>
      </c>
      <c r="B7" s="19" t="s">
        <v>3</v>
      </c>
      <c r="C7" s="20">
        <v>15098.097142857099</v>
      </c>
      <c r="D7" s="20">
        <v>13654</v>
      </c>
      <c r="E7" s="21">
        <v>14071</v>
      </c>
      <c r="F7" s="22" t="s">
        <v>200</v>
      </c>
      <c r="G7" s="23">
        <v>-6.8028251053015509</v>
      </c>
      <c r="H7" s="24">
        <v>3.0540500952102008</v>
      </c>
    </row>
    <row r="8" spans="1:8" ht="12.75" customHeight="1">
      <c r="A8" s="153"/>
      <c r="B8" s="25" t="s">
        <v>200</v>
      </c>
      <c r="C8" s="26" t="s">
        <v>200</v>
      </c>
      <c r="D8" s="26" t="s">
        <v>200</v>
      </c>
      <c r="E8" s="26" t="s">
        <v>200</v>
      </c>
      <c r="F8" s="27"/>
      <c r="G8" s="28" t="s">
        <v>200</v>
      </c>
      <c r="H8" s="29" t="s">
        <v>200</v>
      </c>
    </row>
    <row r="9" spans="1:8">
      <c r="A9" s="30" t="s">
        <v>18</v>
      </c>
      <c r="B9" s="31" t="s">
        <v>3</v>
      </c>
      <c r="C9" s="20">
        <v>1632.1870270270299</v>
      </c>
      <c r="D9" s="20">
        <v>1223</v>
      </c>
      <c r="E9" s="21">
        <v>1773</v>
      </c>
      <c r="F9" s="22" t="s">
        <v>200</v>
      </c>
      <c r="G9" s="32">
        <v>8.6272572101896827</v>
      </c>
      <c r="H9" s="33">
        <v>44.971381847914955</v>
      </c>
    </row>
    <row r="10" spans="1:8">
      <c r="A10" s="34"/>
      <c r="B10" s="25" t="s">
        <v>200</v>
      </c>
      <c r="C10" s="26" t="s">
        <v>200</v>
      </c>
      <c r="D10" s="26" t="s">
        <v>200</v>
      </c>
      <c r="E10" s="26" t="s">
        <v>200</v>
      </c>
      <c r="F10" s="27"/>
      <c r="G10" s="35" t="s">
        <v>200</v>
      </c>
      <c r="H10" s="29" t="s">
        <v>200</v>
      </c>
    </row>
    <row r="11" spans="1:8">
      <c r="A11" s="30" t="s">
        <v>19</v>
      </c>
      <c r="B11" s="31" t="s">
        <v>3</v>
      </c>
      <c r="C11" s="20">
        <v>4879.4571428571398</v>
      </c>
      <c r="D11" s="20">
        <v>3428</v>
      </c>
      <c r="E11" s="21">
        <v>4535</v>
      </c>
      <c r="F11" s="22" t="s">
        <v>200</v>
      </c>
      <c r="G11" s="37">
        <v>-7.0593332982005705</v>
      </c>
      <c r="H11" s="33">
        <v>32.2928821470245</v>
      </c>
    </row>
    <row r="12" spans="1:8">
      <c r="A12" s="34"/>
      <c r="B12" s="25" t="s">
        <v>200</v>
      </c>
      <c r="C12" s="26" t="s">
        <v>200</v>
      </c>
      <c r="D12" s="26" t="s">
        <v>200</v>
      </c>
      <c r="E12" s="26" t="s">
        <v>200</v>
      </c>
      <c r="F12" s="27"/>
      <c r="G12" s="28" t="s">
        <v>200</v>
      </c>
      <c r="H12" s="29" t="s">
        <v>200</v>
      </c>
    </row>
    <row r="13" spans="1:8">
      <c r="A13" s="30" t="s">
        <v>20</v>
      </c>
      <c r="B13" s="31" t="s">
        <v>3</v>
      </c>
      <c r="C13" s="20">
        <v>2225.5853061224502</v>
      </c>
      <c r="D13" s="20">
        <v>2440</v>
      </c>
      <c r="E13" s="21">
        <v>2075</v>
      </c>
      <c r="F13" s="22" t="s">
        <v>200</v>
      </c>
      <c r="G13" s="23">
        <v>-6.7660990440671469</v>
      </c>
      <c r="H13" s="24">
        <v>-14.959016393442624</v>
      </c>
    </row>
    <row r="14" spans="1:8">
      <c r="A14" s="34"/>
      <c r="B14" s="25" t="s">
        <v>200</v>
      </c>
      <c r="C14" s="26" t="s">
        <v>200</v>
      </c>
      <c r="D14" s="26" t="s">
        <v>200</v>
      </c>
      <c r="E14" s="26" t="s">
        <v>200</v>
      </c>
      <c r="F14" s="27"/>
      <c r="G14" s="38" t="s">
        <v>200</v>
      </c>
      <c r="H14" s="24" t="s">
        <v>200</v>
      </c>
    </row>
    <row r="15" spans="1:8">
      <c r="A15" s="30" t="s">
        <v>21</v>
      </c>
      <c r="B15" s="31" t="s">
        <v>3</v>
      </c>
      <c r="C15" s="20">
        <v>305.42233766233801</v>
      </c>
      <c r="D15" s="20">
        <v>354</v>
      </c>
      <c r="E15" s="21">
        <v>333</v>
      </c>
      <c r="F15" s="22" t="s">
        <v>200</v>
      </c>
      <c r="G15" s="37">
        <v>9.0293534352260423</v>
      </c>
      <c r="H15" s="33">
        <v>-5.9322033898305051</v>
      </c>
    </row>
    <row r="16" spans="1:8">
      <c r="A16" s="34"/>
      <c r="B16" s="25" t="s">
        <v>200</v>
      </c>
      <c r="C16" s="26" t="s">
        <v>200</v>
      </c>
      <c r="D16" s="26" t="s">
        <v>200</v>
      </c>
      <c r="E16" s="26" t="s">
        <v>200</v>
      </c>
      <c r="F16" s="27"/>
      <c r="G16" s="28" t="s">
        <v>200</v>
      </c>
      <c r="H16" s="29" t="s">
        <v>200</v>
      </c>
    </row>
    <row r="17" spans="1:8">
      <c r="A17" s="30" t="s">
        <v>22</v>
      </c>
      <c r="B17" s="31" t="s">
        <v>3</v>
      </c>
      <c r="C17" s="20">
        <v>302.50971428571398</v>
      </c>
      <c r="D17" s="20">
        <v>274</v>
      </c>
      <c r="E17" s="21">
        <v>342</v>
      </c>
      <c r="F17" s="22" t="s">
        <v>200</v>
      </c>
      <c r="G17" s="37">
        <v>13.054220690905922</v>
      </c>
      <c r="H17" s="33">
        <v>24.817518248175176</v>
      </c>
    </row>
    <row r="18" spans="1:8">
      <c r="A18" s="34"/>
      <c r="B18" s="25" t="s">
        <v>200</v>
      </c>
      <c r="C18" s="26" t="s">
        <v>200</v>
      </c>
      <c r="D18" s="26" t="s">
        <v>200</v>
      </c>
      <c r="E18" s="26" t="s">
        <v>200</v>
      </c>
      <c r="F18" s="27"/>
      <c r="G18" s="28" t="s">
        <v>200</v>
      </c>
      <c r="H18" s="29" t="s">
        <v>200</v>
      </c>
    </row>
    <row r="19" spans="1:8">
      <c r="A19" s="30" t="s">
        <v>190</v>
      </c>
      <c r="B19" s="31" t="s">
        <v>3</v>
      </c>
      <c r="C19" s="20">
        <v>2905.1171428571402</v>
      </c>
      <c r="D19" s="20">
        <v>3356</v>
      </c>
      <c r="E19" s="21">
        <v>2854</v>
      </c>
      <c r="F19" s="22" t="s">
        <v>200</v>
      </c>
      <c r="G19" s="23">
        <v>-1.7595553068427137</v>
      </c>
      <c r="H19" s="24">
        <v>-14.958283671036952</v>
      </c>
    </row>
    <row r="20" spans="1:8">
      <c r="A20" s="30"/>
      <c r="B20" s="25" t="s">
        <v>200</v>
      </c>
      <c r="C20" s="26" t="s">
        <v>200</v>
      </c>
      <c r="D20" s="26" t="s">
        <v>200</v>
      </c>
      <c r="E20" s="26" t="s">
        <v>200</v>
      </c>
      <c r="F20" s="27"/>
      <c r="G20" s="38" t="s">
        <v>200</v>
      </c>
      <c r="H20" s="24" t="s">
        <v>200</v>
      </c>
    </row>
    <row r="21" spans="1:8">
      <c r="A21" s="39" t="s">
        <v>12</v>
      </c>
      <c r="B21" s="31" t="s">
        <v>3</v>
      </c>
      <c r="C21" s="20">
        <v>43</v>
      </c>
      <c r="D21" s="20">
        <v>34</v>
      </c>
      <c r="E21" s="21">
        <v>44</v>
      </c>
      <c r="F21" s="22" t="s">
        <v>200</v>
      </c>
      <c r="G21" s="37">
        <v>2.3255813953488484</v>
      </c>
      <c r="H21" s="33">
        <v>29.411764705882348</v>
      </c>
    </row>
    <row r="22" spans="1:8">
      <c r="A22" s="34"/>
      <c r="B22" s="25" t="s">
        <v>200</v>
      </c>
      <c r="C22" s="26" t="s">
        <v>200</v>
      </c>
      <c r="D22" s="26" t="s">
        <v>200</v>
      </c>
      <c r="E22" s="26" t="s">
        <v>200</v>
      </c>
      <c r="F22" s="27"/>
      <c r="G22" s="28" t="s">
        <v>200</v>
      </c>
      <c r="H22" s="29" t="s">
        <v>200</v>
      </c>
    </row>
    <row r="23" spans="1:8">
      <c r="A23" s="39" t="s">
        <v>23</v>
      </c>
      <c r="B23" s="31" t="s">
        <v>3</v>
      </c>
      <c r="C23" s="20">
        <v>1571.9813533834599</v>
      </c>
      <c r="D23" s="20">
        <v>1548</v>
      </c>
      <c r="E23" s="21">
        <v>1454</v>
      </c>
      <c r="F23" s="22" t="s">
        <v>200</v>
      </c>
      <c r="G23" s="23">
        <v>-7.5052641769269286</v>
      </c>
      <c r="H23" s="24">
        <v>-6.0723514211886283</v>
      </c>
    </row>
    <row r="24" spans="1:8">
      <c r="A24" s="34"/>
      <c r="B24" s="25" t="s">
        <v>200</v>
      </c>
      <c r="C24" s="26" t="s">
        <v>200</v>
      </c>
      <c r="D24" s="26" t="s">
        <v>200</v>
      </c>
      <c r="E24" s="26" t="s">
        <v>200</v>
      </c>
      <c r="F24" s="27"/>
      <c r="G24" s="28" t="s">
        <v>200</v>
      </c>
      <c r="H24" s="29" t="s">
        <v>200</v>
      </c>
    </row>
    <row r="25" spans="1:8">
      <c r="A25" s="30" t="s">
        <v>24</v>
      </c>
      <c r="B25" s="31" t="s">
        <v>3</v>
      </c>
      <c r="C25" s="20">
        <v>1564.09142857143</v>
      </c>
      <c r="D25" s="20">
        <v>1301</v>
      </c>
      <c r="E25" s="21">
        <v>1150</v>
      </c>
      <c r="F25" s="22" t="s">
        <v>200</v>
      </c>
      <c r="G25" s="23">
        <v>-26.474886378582255</v>
      </c>
      <c r="H25" s="24">
        <v>-11.606456571867795</v>
      </c>
    </row>
    <row r="26" spans="1:8" ht="13.5" thickBot="1">
      <c r="A26" s="41"/>
      <c r="B26" s="42" t="s">
        <v>200</v>
      </c>
      <c r="C26" s="43" t="s">
        <v>200</v>
      </c>
      <c r="D26" s="43" t="s">
        <v>200</v>
      </c>
      <c r="E26" s="43" t="s">
        <v>200</v>
      </c>
      <c r="F26" s="44"/>
      <c r="G26" s="45" t="s">
        <v>200</v>
      </c>
      <c r="H26" s="46" t="s">
        <v>200</v>
      </c>
    </row>
    <row r="31" spans="1:8">
      <c r="A31" s="47"/>
      <c r="B31" s="48"/>
      <c r="C31" s="49"/>
      <c r="D31" s="55"/>
      <c r="E31" s="49"/>
      <c r="F31" s="49"/>
      <c r="G31" s="50"/>
      <c r="H31" s="51"/>
    </row>
    <row r="32" spans="1:8" ht="16.5" thickBot="1">
      <c r="A32" s="4" t="s">
        <v>98</v>
      </c>
      <c r="B32" s="5"/>
      <c r="C32" s="5"/>
      <c r="D32" s="5"/>
      <c r="E32" s="5"/>
      <c r="F32" s="5"/>
      <c r="G32" s="5"/>
      <c r="H32" s="6"/>
    </row>
    <row r="33" spans="1:8">
      <c r="A33" s="7"/>
      <c r="B33" s="8"/>
      <c r="C33" s="156" t="s">
        <v>16</v>
      </c>
      <c r="D33" s="150"/>
      <c r="E33" s="150"/>
      <c r="F33" s="157"/>
      <c r="G33" s="150" t="s">
        <v>1</v>
      </c>
      <c r="H33" s="151"/>
    </row>
    <row r="34" spans="1:8">
      <c r="A34" s="12"/>
      <c r="B34" s="13"/>
      <c r="C34" s="14" t="s">
        <v>195</v>
      </c>
      <c r="D34" s="15" t="s">
        <v>196</v>
      </c>
      <c r="E34" s="15" t="s">
        <v>197</v>
      </c>
      <c r="F34" s="16"/>
      <c r="G34" s="17" t="s">
        <v>198</v>
      </c>
      <c r="H34" s="18" t="s">
        <v>199</v>
      </c>
    </row>
    <row r="35" spans="1:8" ht="12.75" customHeight="1">
      <c r="A35" s="152" t="s">
        <v>45</v>
      </c>
      <c r="B35" s="19" t="s">
        <v>3</v>
      </c>
      <c r="C35" s="80">
        <v>669.59931894463705</v>
      </c>
      <c r="D35" s="80">
        <v>560.50862801026403</v>
      </c>
      <c r="E35" s="83">
        <v>624.65958181684005</v>
      </c>
      <c r="F35" s="22" t="s">
        <v>200</v>
      </c>
      <c r="G35" s="23">
        <v>-6.7114371022101693</v>
      </c>
      <c r="H35" s="24">
        <v>11.445132260372844</v>
      </c>
    </row>
    <row r="36" spans="1:8" ht="12.75" customHeight="1">
      <c r="A36" s="153"/>
      <c r="B36" s="25" t="s">
        <v>200</v>
      </c>
      <c r="C36" s="82" t="s">
        <v>200</v>
      </c>
      <c r="D36" s="82" t="s">
        <v>200</v>
      </c>
      <c r="E36" s="82" t="s">
        <v>200</v>
      </c>
      <c r="F36" s="27"/>
      <c r="G36" s="28" t="s">
        <v>200</v>
      </c>
      <c r="H36" s="29" t="s">
        <v>200</v>
      </c>
    </row>
    <row r="37" spans="1:8">
      <c r="A37" s="30" t="s">
        <v>18</v>
      </c>
      <c r="B37" s="31" t="s">
        <v>3</v>
      </c>
      <c r="C37" s="80">
        <v>268.777576200998</v>
      </c>
      <c r="D37" s="80">
        <v>252.795935868318</v>
      </c>
      <c r="E37" s="83">
        <v>272.43924507677298</v>
      </c>
      <c r="F37" s="22" t="s">
        <v>200</v>
      </c>
      <c r="G37" s="32">
        <v>1.3623416534706507</v>
      </c>
      <c r="H37" s="33">
        <v>7.7704212850507162</v>
      </c>
    </row>
    <row r="38" spans="1:8">
      <c r="A38" s="34"/>
      <c r="B38" s="25" t="s">
        <v>200</v>
      </c>
      <c r="C38" s="82" t="s">
        <v>200</v>
      </c>
      <c r="D38" s="82" t="s">
        <v>200</v>
      </c>
      <c r="E38" s="82" t="s">
        <v>200</v>
      </c>
      <c r="F38" s="27"/>
      <c r="G38" s="35" t="s">
        <v>200</v>
      </c>
      <c r="H38" s="29" t="s">
        <v>200</v>
      </c>
    </row>
    <row r="39" spans="1:8">
      <c r="A39" s="30" t="s">
        <v>19</v>
      </c>
      <c r="B39" s="31" t="s">
        <v>3</v>
      </c>
      <c r="C39" s="80">
        <v>220.87220671859799</v>
      </c>
      <c r="D39" s="80">
        <v>149.16802567678801</v>
      </c>
      <c r="E39" s="83">
        <v>191.53792300176801</v>
      </c>
      <c r="F39" s="22" t="s">
        <v>200</v>
      </c>
      <c r="G39" s="37">
        <v>-13.281111350602529</v>
      </c>
      <c r="H39" s="33">
        <v>28.404141660214492</v>
      </c>
    </row>
    <row r="40" spans="1:8">
      <c r="A40" s="34"/>
      <c r="B40" s="25" t="s">
        <v>200</v>
      </c>
      <c r="C40" s="82" t="s">
        <v>200</v>
      </c>
      <c r="D40" s="82" t="s">
        <v>200</v>
      </c>
      <c r="E40" s="82" t="s">
        <v>200</v>
      </c>
      <c r="F40" s="27"/>
      <c r="G40" s="28" t="s">
        <v>200</v>
      </c>
      <c r="H40" s="29" t="s">
        <v>200</v>
      </c>
    </row>
    <row r="41" spans="1:8">
      <c r="A41" s="30" t="s">
        <v>20</v>
      </c>
      <c r="B41" s="31" t="s">
        <v>3</v>
      </c>
      <c r="C41" s="80">
        <v>62.012565660878302</v>
      </c>
      <c r="D41" s="80">
        <v>61.499349223168501</v>
      </c>
      <c r="E41" s="83">
        <v>54.069255399008703</v>
      </c>
      <c r="F41" s="22" t="s">
        <v>200</v>
      </c>
      <c r="G41" s="23">
        <v>-12.809194680491615</v>
      </c>
      <c r="H41" s="24">
        <v>-12.08158121673371</v>
      </c>
    </row>
    <row r="42" spans="1:8">
      <c r="A42" s="34"/>
      <c r="B42" s="25" t="s">
        <v>200</v>
      </c>
      <c r="C42" s="82" t="s">
        <v>200</v>
      </c>
      <c r="D42" s="82" t="s">
        <v>200</v>
      </c>
      <c r="E42" s="82" t="s">
        <v>200</v>
      </c>
      <c r="F42" s="27"/>
      <c r="G42" s="38" t="s">
        <v>200</v>
      </c>
      <c r="H42" s="24" t="s">
        <v>200</v>
      </c>
    </row>
    <row r="43" spans="1:8">
      <c r="A43" s="30" t="s">
        <v>21</v>
      </c>
      <c r="B43" s="31" t="s">
        <v>3</v>
      </c>
      <c r="C43" s="80">
        <v>4.8965511310136796</v>
      </c>
      <c r="D43" s="80">
        <v>4.5925671223877398</v>
      </c>
      <c r="E43" s="83">
        <v>4.7290969644520597</v>
      </c>
      <c r="F43" s="22" t="s">
        <v>200</v>
      </c>
      <c r="G43" s="37">
        <v>-3.4198390271266987</v>
      </c>
      <c r="H43" s="33">
        <v>2.9728436934273219</v>
      </c>
    </row>
    <row r="44" spans="1:8">
      <c r="A44" s="34"/>
      <c r="B44" s="25" t="s">
        <v>200</v>
      </c>
      <c r="C44" s="82" t="s">
        <v>200</v>
      </c>
      <c r="D44" s="82" t="s">
        <v>200</v>
      </c>
      <c r="E44" s="82" t="s">
        <v>200</v>
      </c>
      <c r="F44" s="27"/>
      <c r="G44" s="28" t="s">
        <v>200</v>
      </c>
      <c r="H44" s="29" t="s">
        <v>200</v>
      </c>
    </row>
    <row r="45" spans="1:8">
      <c r="A45" s="30" t="s">
        <v>22</v>
      </c>
      <c r="B45" s="31" t="s">
        <v>3</v>
      </c>
      <c r="C45" s="80">
        <v>1.56977358876631</v>
      </c>
      <c r="D45" s="80">
        <v>1.4321116524709201</v>
      </c>
      <c r="E45" s="83">
        <v>1.6111612926766501</v>
      </c>
      <c r="F45" s="22" t="s">
        <v>200</v>
      </c>
      <c r="G45" s="37">
        <v>2.6365397027011284</v>
      </c>
      <c r="H45" s="33">
        <v>12.502491680505742</v>
      </c>
    </row>
    <row r="46" spans="1:8">
      <c r="A46" s="34"/>
      <c r="B46" s="25" t="s">
        <v>200</v>
      </c>
      <c r="C46" s="82" t="s">
        <v>200</v>
      </c>
      <c r="D46" s="82" t="s">
        <v>200</v>
      </c>
      <c r="E46" s="82" t="s">
        <v>200</v>
      </c>
      <c r="F46" s="27"/>
      <c r="G46" s="28" t="s">
        <v>200</v>
      </c>
      <c r="H46" s="29" t="s">
        <v>200</v>
      </c>
    </row>
    <row r="47" spans="1:8">
      <c r="A47" s="30" t="s">
        <v>190</v>
      </c>
      <c r="B47" s="31" t="s">
        <v>3</v>
      </c>
      <c r="C47" s="80">
        <v>58.773888572399002</v>
      </c>
      <c r="D47" s="80">
        <v>42.501700106843003</v>
      </c>
      <c r="E47" s="83">
        <v>45.751627769086497</v>
      </c>
      <c r="F47" s="22" t="s">
        <v>200</v>
      </c>
      <c r="G47" s="23">
        <v>-22.15654114372812</v>
      </c>
      <c r="H47" s="24">
        <v>7.6465827345109716</v>
      </c>
    </row>
    <row r="48" spans="1:8">
      <c r="A48" s="30"/>
      <c r="B48" s="25" t="s">
        <v>200</v>
      </c>
      <c r="C48" s="82" t="s">
        <v>200</v>
      </c>
      <c r="D48" s="82" t="s">
        <v>200</v>
      </c>
      <c r="E48" s="82" t="s">
        <v>200</v>
      </c>
      <c r="F48" s="27"/>
      <c r="G48" s="38" t="s">
        <v>200</v>
      </c>
      <c r="H48" s="24" t="s">
        <v>200</v>
      </c>
    </row>
    <row r="49" spans="1:8">
      <c r="A49" s="39" t="s">
        <v>12</v>
      </c>
      <c r="B49" s="31" t="s">
        <v>3</v>
      </c>
      <c r="C49" s="80">
        <v>0.64480051737942301</v>
      </c>
      <c r="D49" s="80">
        <v>1.35742473225488</v>
      </c>
      <c r="E49" s="83">
        <v>1.2098447310935601</v>
      </c>
      <c r="F49" s="22" t="s">
        <v>200</v>
      </c>
      <c r="G49" s="37">
        <v>87.630856130601614</v>
      </c>
      <c r="H49" s="33">
        <v>-10.87205777635775</v>
      </c>
    </row>
    <row r="50" spans="1:8">
      <c r="A50" s="34"/>
      <c r="B50" s="25" t="s">
        <v>200</v>
      </c>
      <c r="C50" s="82" t="s">
        <v>200</v>
      </c>
      <c r="D50" s="82" t="s">
        <v>200</v>
      </c>
      <c r="E50" s="82" t="s">
        <v>200</v>
      </c>
      <c r="F50" s="27"/>
      <c r="G50" s="28" t="s">
        <v>200</v>
      </c>
      <c r="H50" s="29" t="s">
        <v>200</v>
      </c>
    </row>
    <row r="51" spans="1:8">
      <c r="A51" s="39" t="s">
        <v>23</v>
      </c>
      <c r="B51" s="31" t="s">
        <v>3</v>
      </c>
      <c r="C51" s="80">
        <v>35.251968318630297</v>
      </c>
      <c r="D51" s="80">
        <v>34.796545929272398</v>
      </c>
      <c r="E51" s="83">
        <v>37.307269444546101</v>
      </c>
      <c r="F51" s="22" t="s">
        <v>200</v>
      </c>
      <c r="G51" s="23">
        <v>5.8303159339604775</v>
      </c>
      <c r="H51" s="24">
        <v>7.2154389127501588</v>
      </c>
    </row>
    <row r="52" spans="1:8">
      <c r="A52" s="34"/>
      <c r="B52" s="25" t="s">
        <v>200</v>
      </c>
      <c r="C52" s="82" t="s">
        <v>200</v>
      </c>
      <c r="D52" s="82" t="s">
        <v>200</v>
      </c>
      <c r="E52" s="82" t="s">
        <v>200</v>
      </c>
      <c r="F52" s="27"/>
      <c r="G52" s="28" t="s">
        <v>200</v>
      </c>
      <c r="H52" s="29" t="s">
        <v>200</v>
      </c>
    </row>
    <row r="53" spans="1:8">
      <c r="A53" s="30" t="s">
        <v>24</v>
      </c>
      <c r="B53" s="31" t="s">
        <v>3</v>
      </c>
      <c r="C53" s="80">
        <v>16.7999882359737</v>
      </c>
      <c r="D53" s="80">
        <v>12.3649676987602</v>
      </c>
      <c r="E53" s="83">
        <v>16.004158137435301</v>
      </c>
      <c r="F53" s="22" t="s">
        <v>200</v>
      </c>
      <c r="G53" s="23">
        <v>-4.7370872369677812</v>
      </c>
      <c r="H53" s="24">
        <v>29.431459323909053</v>
      </c>
    </row>
    <row r="54" spans="1:8" ht="13.5" thickBot="1">
      <c r="A54" s="41"/>
      <c r="B54" s="42" t="s">
        <v>200</v>
      </c>
      <c r="C54" s="86" t="s">
        <v>200</v>
      </c>
      <c r="D54" s="86" t="s">
        <v>200</v>
      </c>
      <c r="E54" s="86" t="s">
        <v>200</v>
      </c>
      <c r="F54" s="44"/>
      <c r="G54" s="45" t="s">
        <v>200</v>
      </c>
      <c r="H54" s="46" t="s">
        <v>200</v>
      </c>
    </row>
    <row r="59" spans="1:8">
      <c r="A59" s="47"/>
      <c r="B59" s="48"/>
      <c r="C59" s="49"/>
      <c r="D59" s="49"/>
      <c r="E59" s="49"/>
      <c r="F59" s="49"/>
      <c r="G59" s="50"/>
      <c r="H59" s="51"/>
    </row>
    <row r="60" spans="1:8">
      <c r="A60" s="52"/>
      <c r="B60" s="52"/>
      <c r="C60" s="52"/>
      <c r="D60" s="52"/>
      <c r="E60" s="52"/>
      <c r="F60" s="52"/>
      <c r="G60" s="52"/>
      <c r="H60" s="52"/>
    </row>
    <row r="61" spans="1:8" ht="12.75" customHeight="1">
      <c r="A61" s="147">
        <v>16</v>
      </c>
      <c r="H61" s="53" t="s">
        <v>201</v>
      </c>
    </row>
    <row r="62" spans="1:8" ht="12.75" customHeight="1">
      <c r="A62" s="148"/>
      <c r="H62" s="53" t="s">
        <v>202</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3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164</v>
      </c>
      <c r="B4" s="5"/>
      <c r="C4" s="5"/>
      <c r="D4" s="5"/>
      <c r="E4" s="5"/>
      <c r="F4" s="5"/>
      <c r="G4" s="5"/>
      <c r="H4" s="6"/>
    </row>
    <row r="5" spans="1:8">
      <c r="A5" s="7"/>
      <c r="B5" s="8"/>
      <c r="C5" s="9"/>
      <c r="D5" s="8"/>
      <c r="E5" s="10"/>
      <c r="F5" s="11"/>
      <c r="G5" s="150" t="s">
        <v>1</v>
      </c>
      <c r="H5" s="151"/>
    </row>
    <row r="6" spans="1:8">
      <c r="A6" s="12"/>
      <c r="B6" s="13"/>
      <c r="C6" s="14" t="s">
        <v>195</v>
      </c>
      <c r="D6" s="15" t="s">
        <v>196</v>
      </c>
      <c r="E6" s="15" t="s">
        <v>197</v>
      </c>
      <c r="F6" s="16"/>
      <c r="G6" s="17" t="s">
        <v>198</v>
      </c>
      <c r="H6" s="18" t="s">
        <v>199</v>
      </c>
    </row>
    <row r="7" spans="1:8">
      <c r="A7" s="152" t="s">
        <v>166</v>
      </c>
      <c r="B7" s="19" t="s">
        <v>3</v>
      </c>
      <c r="C7" s="20">
        <v>49158.0462438424</v>
      </c>
      <c r="D7" s="20">
        <v>38994</v>
      </c>
      <c r="E7" s="79">
        <v>42880</v>
      </c>
      <c r="F7" s="22" t="s">
        <v>200</v>
      </c>
      <c r="G7" s="23">
        <v>-12.771146787854278</v>
      </c>
      <c r="H7" s="24">
        <v>9.9656357388316223</v>
      </c>
    </row>
    <row r="8" spans="1:8">
      <c r="A8" s="153"/>
      <c r="B8" s="25" t="s">
        <v>200</v>
      </c>
      <c r="C8" s="26" t="s">
        <v>200</v>
      </c>
      <c r="D8" s="26" t="s">
        <v>200</v>
      </c>
      <c r="E8" s="26" t="s">
        <v>200</v>
      </c>
      <c r="F8" s="27"/>
      <c r="G8" s="28" t="s">
        <v>200</v>
      </c>
      <c r="H8" s="29" t="s">
        <v>200</v>
      </c>
    </row>
    <row r="9" spans="1:8">
      <c r="A9" s="30" t="s">
        <v>18</v>
      </c>
      <c r="B9" s="31" t="s">
        <v>3</v>
      </c>
      <c r="C9" s="20">
        <v>7127.2118190476203</v>
      </c>
      <c r="D9" s="20">
        <v>5186</v>
      </c>
      <c r="E9" s="36">
        <v>6072</v>
      </c>
      <c r="F9" s="22" t="s">
        <v>200</v>
      </c>
      <c r="G9" s="32">
        <v>-14.80539439318396</v>
      </c>
      <c r="H9" s="33">
        <v>17.084458156575394</v>
      </c>
    </row>
    <row r="10" spans="1:8">
      <c r="A10" s="34"/>
      <c r="B10" s="25" t="s">
        <v>200</v>
      </c>
      <c r="C10" s="26" t="s">
        <v>200</v>
      </c>
      <c r="D10" s="26" t="s">
        <v>200</v>
      </c>
      <c r="E10" s="26" t="s">
        <v>200</v>
      </c>
      <c r="F10" s="27"/>
      <c r="G10" s="35" t="s">
        <v>200</v>
      </c>
      <c r="H10" s="29" t="s">
        <v>200</v>
      </c>
    </row>
    <row r="11" spans="1:8">
      <c r="A11" s="30" t="s">
        <v>19</v>
      </c>
      <c r="B11" s="31" t="s">
        <v>3</v>
      </c>
      <c r="C11" s="20">
        <v>21153.3348809524</v>
      </c>
      <c r="D11" s="20">
        <v>17027</v>
      </c>
      <c r="E11" s="36">
        <v>18865</v>
      </c>
      <c r="F11" s="22" t="s">
        <v>200</v>
      </c>
      <c r="G11" s="37">
        <v>-10.81784453293433</v>
      </c>
      <c r="H11" s="33">
        <v>10.794620308921139</v>
      </c>
    </row>
    <row r="12" spans="1:8">
      <c r="A12" s="34"/>
      <c r="B12" s="25" t="s">
        <v>200</v>
      </c>
      <c r="C12" s="26" t="s">
        <v>200</v>
      </c>
      <c r="D12" s="26" t="s">
        <v>200</v>
      </c>
      <c r="E12" s="26" t="s">
        <v>200</v>
      </c>
      <c r="F12" s="27"/>
      <c r="G12" s="28" t="s">
        <v>200</v>
      </c>
      <c r="H12" s="29" t="s">
        <v>200</v>
      </c>
    </row>
    <row r="13" spans="1:8">
      <c r="A13" s="30" t="s">
        <v>20</v>
      </c>
      <c r="B13" s="31" t="s">
        <v>3</v>
      </c>
      <c r="C13" s="20">
        <v>5441.5193031358904</v>
      </c>
      <c r="D13" s="20">
        <v>4223</v>
      </c>
      <c r="E13" s="36">
        <v>4079</v>
      </c>
      <c r="F13" s="22" t="s">
        <v>200</v>
      </c>
      <c r="G13" s="23">
        <v>-25.039317647016063</v>
      </c>
      <c r="H13" s="24">
        <v>-3.4098981766516658</v>
      </c>
    </row>
    <row r="14" spans="1:8">
      <c r="A14" s="34"/>
      <c r="B14" s="25" t="s">
        <v>200</v>
      </c>
      <c r="C14" s="26" t="s">
        <v>200</v>
      </c>
      <c r="D14" s="26" t="s">
        <v>200</v>
      </c>
      <c r="E14" s="26" t="s">
        <v>200</v>
      </c>
      <c r="F14" s="27"/>
      <c r="G14" s="38" t="s">
        <v>200</v>
      </c>
      <c r="H14" s="24" t="s">
        <v>200</v>
      </c>
    </row>
    <row r="15" spans="1:8">
      <c r="A15" s="30" t="s">
        <v>21</v>
      </c>
      <c r="B15" s="31" t="s">
        <v>3</v>
      </c>
      <c r="C15" s="20">
        <v>1257.1500714285701</v>
      </c>
      <c r="D15" s="20">
        <v>1138</v>
      </c>
      <c r="E15" s="36">
        <v>839</v>
      </c>
      <c r="F15" s="22" t="s">
        <v>200</v>
      </c>
      <c r="G15" s="37">
        <v>-33.261746622931241</v>
      </c>
      <c r="H15" s="33">
        <v>-26.274165202108975</v>
      </c>
    </row>
    <row r="16" spans="1:8">
      <c r="A16" s="34"/>
      <c r="B16" s="25" t="s">
        <v>200</v>
      </c>
      <c r="C16" s="26" t="s">
        <v>200</v>
      </c>
      <c r="D16" s="26" t="s">
        <v>200</v>
      </c>
      <c r="E16" s="26" t="s">
        <v>200</v>
      </c>
      <c r="F16" s="27"/>
      <c r="G16" s="28" t="s">
        <v>200</v>
      </c>
      <c r="H16" s="29" t="s">
        <v>200</v>
      </c>
    </row>
    <row r="17" spans="1:8">
      <c r="A17" s="30" t="s">
        <v>190</v>
      </c>
      <c r="B17" s="31" t="s">
        <v>3</v>
      </c>
      <c r="C17" s="20">
        <v>8173.9373848907999</v>
      </c>
      <c r="D17" s="20">
        <v>6170</v>
      </c>
      <c r="E17" s="36">
        <v>6677</v>
      </c>
      <c r="F17" s="22" t="s">
        <v>200</v>
      </c>
      <c r="G17" s="37">
        <v>-18.313541129613114</v>
      </c>
      <c r="H17" s="33">
        <v>8.2171799027552765</v>
      </c>
    </row>
    <row r="18" spans="1:8">
      <c r="A18" s="34"/>
      <c r="B18" s="25" t="s">
        <v>200</v>
      </c>
      <c r="C18" s="26" t="s">
        <v>200</v>
      </c>
      <c r="D18" s="26" t="s">
        <v>200</v>
      </c>
      <c r="E18" s="26" t="s">
        <v>200</v>
      </c>
      <c r="F18" s="27"/>
      <c r="G18" s="28" t="s">
        <v>200</v>
      </c>
      <c r="H18" s="29" t="s">
        <v>200</v>
      </c>
    </row>
    <row r="19" spans="1:8">
      <c r="A19" s="39" t="s">
        <v>12</v>
      </c>
      <c r="B19" s="31" t="s">
        <v>3</v>
      </c>
      <c r="C19" s="20">
        <v>1823.66552380952</v>
      </c>
      <c r="D19" s="20">
        <v>1187</v>
      </c>
      <c r="E19" s="36">
        <v>891</v>
      </c>
      <c r="F19" s="22" t="s">
        <v>200</v>
      </c>
      <c r="G19" s="37">
        <v>-51.142356513997242</v>
      </c>
      <c r="H19" s="33">
        <v>-24.936815501263681</v>
      </c>
    </row>
    <row r="20" spans="1:8">
      <c r="A20" s="34"/>
      <c r="B20" s="25" t="s">
        <v>200</v>
      </c>
      <c r="C20" s="26" t="s">
        <v>200</v>
      </c>
      <c r="D20" s="26" t="s">
        <v>200</v>
      </c>
      <c r="E20" s="26" t="s">
        <v>200</v>
      </c>
      <c r="F20" s="27"/>
      <c r="G20" s="28" t="s">
        <v>200</v>
      </c>
      <c r="H20" s="29" t="s">
        <v>200</v>
      </c>
    </row>
    <row r="21" spans="1:8">
      <c r="A21" s="39" t="s">
        <v>23</v>
      </c>
      <c r="B21" s="31" t="s">
        <v>3</v>
      </c>
      <c r="C21" s="20">
        <v>1258</v>
      </c>
      <c r="D21" s="20">
        <v>1282</v>
      </c>
      <c r="E21" s="36">
        <v>1139</v>
      </c>
      <c r="F21" s="22" t="s">
        <v>200</v>
      </c>
      <c r="G21" s="23">
        <v>-9.4594594594594668</v>
      </c>
      <c r="H21" s="24">
        <v>-11.154446177847106</v>
      </c>
    </row>
    <row r="22" spans="1:8">
      <c r="A22" s="34"/>
      <c r="B22" s="25" t="s">
        <v>200</v>
      </c>
      <c r="C22" s="26" t="s">
        <v>200</v>
      </c>
      <c r="D22" s="26" t="s">
        <v>200</v>
      </c>
      <c r="E22" s="26" t="s">
        <v>200</v>
      </c>
      <c r="F22" s="27"/>
      <c r="G22" s="38" t="s">
        <v>200</v>
      </c>
      <c r="H22" s="24" t="s">
        <v>200</v>
      </c>
    </row>
    <row r="23" spans="1:8">
      <c r="A23" s="30" t="s">
        <v>24</v>
      </c>
      <c r="B23" s="31" t="s">
        <v>3</v>
      </c>
      <c r="C23" s="20">
        <v>3745.0801864565801</v>
      </c>
      <c r="D23" s="20">
        <v>3586</v>
      </c>
      <c r="E23" s="36">
        <v>5255</v>
      </c>
      <c r="F23" s="22" t="s">
        <v>200</v>
      </c>
      <c r="G23" s="37">
        <v>40.317422815238444</v>
      </c>
      <c r="H23" s="33">
        <v>46.542108198549926</v>
      </c>
    </row>
    <row r="24" spans="1:8" ht="13.5" thickBot="1">
      <c r="A24" s="41"/>
      <c r="B24" s="42" t="s">
        <v>200</v>
      </c>
      <c r="C24" s="43" t="s">
        <v>200</v>
      </c>
      <c r="D24" s="43" t="s">
        <v>200</v>
      </c>
      <c r="E24" s="43" t="s">
        <v>200</v>
      </c>
      <c r="F24" s="44"/>
      <c r="G24" s="45" t="s">
        <v>200</v>
      </c>
      <c r="H24" s="46" t="s">
        <v>200</v>
      </c>
    </row>
    <row r="29" spans="1:8">
      <c r="A29" s="58"/>
      <c r="B29" s="58"/>
      <c r="C29" s="21"/>
      <c r="D29" s="21"/>
      <c r="E29" s="21"/>
      <c r="F29" s="59"/>
      <c r="G29" s="38"/>
      <c r="H29" s="60"/>
    </row>
    <row r="30" spans="1:8">
      <c r="A30" s="58"/>
      <c r="B30" s="62"/>
      <c r="C30" s="21"/>
      <c r="D30" s="21"/>
      <c r="E30" s="21"/>
      <c r="F30" s="63"/>
      <c r="G30" s="38"/>
      <c r="H30" s="60"/>
    </row>
    <row r="31" spans="1:8">
      <c r="A31" s="47"/>
      <c r="B31" s="48"/>
      <c r="C31" s="49"/>
      <c r="D31" s="55"/>
      <c r="E31" s="49"/>
      <c r="F31" s="49"/>
      <c r="G31" s="50"/>
      <c r="H31" s="51"/>
    </row>
    <row r="32" spans="1:8" ht="16.5" thickBot="1">
      <c r="A32" s="4" t="s">
        <v>165</v>
      </c>
      <c r="B32" s="5"/>
      <c r="C32" s="5"/>
      <c r="D32" s="5"/>
      <c r="E32" s="5"/>
      <c r="F32" s="5"/>
      <c r="G32" s="5"/>
      <c r="H32" s="6"/>
    </row>
    <row r="33" spans="1:8">
      <c r="A33" s="7"/>
      <c r="B33" s="8"/>
      <c r="C33" s="156" t="s">
        <v>16</v>
      </c>
      <c r="D33" s="150"/>
      <c r="E33" s="150"/>
      <c r="F33" s="157"/>
      <c r="G33" s="150" t="s">
        <v>1</v>
      </c>
      <c r="H33" s="151"/>
    </row>
    <row r="34" spans="1:8">
      <c r="A34" s="12"/>
      <c r="B34" s="13"/>
      <c r="C34" s="14" t="s">
        <v>195</v>
      </c>
      <c r="D34" s="15" t="s">
        <v>196</v>
      </c>
      <c r="E34" s="15" t="s">
        <v>197</v>
      </c>
      <c r="F34" s="16"/>
      <c r="G34" s="17" t="s">
        <v>198</v>
      </c>
      <c r="H34" s="18" t="s">
        <v>199</v>
      </c>
    </row>
    <row r="35" spans="1:8" ht="12.75" customHeight="1">
      <c r="A35" s="152" t="s">
        <v>166</v>
      </c>
      <c r="B35" s="19" t="s">
        <v>3</v>
      </c>
      <c r="C35" s="80">
        <v>5773.1851242653302</v>
      </c>
      <c r="D35" s="80">
        <v>4591.2209991155596</v>
      </c>
      <c r="E35" s="81">
        <v>4901.7139453122199</v>
      </c>
      <c r="F35" s="22" t="s">
        <v>200</v>
      </c>
      <c r="G35" s="23">
        <v>-15.095153891570561</v>
      </c>
      <c r="H35" s="24">
        <v>6.7627532252634524</v>
      </c>
    </row>
    <row r="36" spans="1:8" ht="12.75" customHeight="1">
      <c r="A36" s="153"/>
      <c r="B36" s="25" t="s">
        <v>200</v>
      </c>
      <c r="C36" s="82" t="s">
        <v>200</v>
      </c>
      <c r="D36" s="82" t="s">
        <v>200</v>
      </c>
      <c r="E36" s="82" t="s">
        <v>200</v>
      </c>
      <c r="F36" s="27"/>
      <c r="G36" s="28" t="s">
        <v>200</v>
      </c>
      <c r="H36" s="29" t="s">
        <v>200</v>
      </c>
    </row>
    <row r="37" spans="1:8">
      <c r="A37" s="30" t="s">
        <v>18</v>
      </c>
      <c r="B37" s="31" t="s">
        <v>3</v>
      </c>
      <c r="C37" s="80">
        <v>3300.2378094618998</v>
      </c>
      <c r="D37" s="80">
        <v>2193.8575866906299</v>
      </c>
      <c r="E37" s="83">
        <v>2346.0749177829898</v>
      </c>
      <c r="F37" s="22" t="s">
        <v>200</v>
      </c>
      <c r="G37" s="32">
        <v>-28.91194352550265</v>
      </c>
      <c r="H37" s="33">
        <v>6.9383414865125985</v>
      </c>
    </row>
    <row r="38" spans="1:8">
      <c r="A38" s="34"/>
      <c r="B38" s="25" t="s">
        <v>200</v>
      </c>
      <c r="C38" s="82" t="s">
        <v>200</v>
      </c>
      <c r="D38" s="82" t="s">
        <v>200</v>
      </c>
      <c r="E38" s="82" t="s">
        <v>200</v>
      </c>
      <c r="F38" s="27"/>
      <c r="G38" s="35" t="s">
        <v>200</v>
      </c>
      <c r="H38" s="29" t="s">
        <v>200</v>
      </c>
    </row>
    <row r="39" spans="1:8">
      <c r="A39" s="30" t="s">
        <v>19</v>
      </c>
      <c r="B39" s="31" t="s">
        <v>3</v>
      </c>
      <c r="C39" s="80">
        <v>1165.44519444961</v>
      </c>
      <c r="D39" s="80">
        <v>1192.5025374371201</v>
      </c>
      <c r="E39" s="83">
        <v>1370.3271052084899</v>
      </c>
      <c r="F39" s="22" t="s">
        <v>200</v>
      </c>
      <c r="G39" s="37">
        <v>17.579712176481792</v>
      </c>
      <c r="H39" s="33">
        <v>14.911881709999847</v>
      </c>
    </row>
    <row r="40" spans="1:8">
      <c r="A40" s="34"/>
      <c r="B40" s="25" t="s">
        <v>200</v>
      </c>
      <c r="C40" s="82" t="s">
        <v>200</v>
      </c>
      <c r="D40" s="82" t="s">
        <v>200</v>
      </c>
      <c r="E40" s="82" t="s">
        <v>200</v>
      </c>
      <c r="F40" s="27"/>
      <c r="G40" s="28" t="s">
        <v>200</v>
      </c>
      <c r="H40" s="29" t="s">
        <v>200</v>
      </c>
    </row>
    <row r="41" spans="1:8">
      <c r="A41" s="30" t="s">
        <v>20</v>
      </c>
      <c r="B41" s="31" t="s">
        <v>3</v>
      </c>
      <c r="C41" s="80">
        <v>212.591177071239</v>
      </c>
      <c r="D41" s="80">
        <v>224.23431667991599</v>
      </c>
      <c r="E41" s="83">
        <v>198.19028947634601</v>
      </c>
      <c r="F41" s="22" t="s">
        <v>200</v>
      </c>
      <c r="G41" s="23">
        <v>-6.7739817772716293</v>
      </c>
      <c r="H41" s="24">
        <v>-11.61464827916889</v>
      </c>
    </row>
    <row r="42" spans="1:8">
      <c r="A42" s="34"/>
      <c r="B42" s="25" t="s">
        <v>200</v>
      </c>
      <c r="C42" s="82" t="s">
        <v>200</v>
      </c>
      <c r="D42" s="82" t="s">
        <v>200</v>
      </c>
      <c r="E42" s="82" t="s">
        <v>200</v>
      </c>
      <c r="F42" s="27"/>
      <c r="G42" s="38" t="s">
        <v>200</v>
      </c>
      <c r="H42" s="24" t="s">
        <v>200</v>
      </c>
    </row>
    <row r="43" spans="1:8">
      <c r="A43" s="30" t="s">
        <v>21</v>
      </c>
      <c r="B43" s="31" t="s">
        <v>3</v>
      </c>
      <c r="C43" s="80">
        <v>17.590426534999899</v>
      </c>
      <c r="D43" s="80">
        <v>16.306733681362601</v>
      </c>
      <c r="E43" s="83">
        <v>13.5695477007515</v>
      </c>
      <c r="F43" s="22" t="s">
        <v>200</v>
      </c>
      <c r="G43" s="37">
        <v>-22.85833618785766</v>
      </c>
      <c r="H43" s="33">
        <v>-16.785617733731101</v>
      </c>
    </row>
    <row r="44" spans="1:8">
      <c r="A44" s="34"/>
      <c r="B44" s="25" t="s">
        <v>200</v>
      </c>
      <c r="C44" s="82" t="s">
        <v>200</v>
      </c>
      <c r="D44" s="82" t="s">
        <v>200</v>
      </c>
      <c r="E44" s="82" t="s">
        <v>200</v>
      </c>
      <c r="F44" s="27"/>
      <c r="G44" s="28" t="s">
        <v>200</v>
      </c>
      <c r="H44" s="29" t="s">
        <v>200</v>
      </c>
    </row>
    <row r="45" spans="1:8">
      <c r="A45" s="30" t="s">
        <v>190</v>
      </c>
      <c r="B45" s="31" t="s">
        <v>3</v>
      </c>
      <c r="C45" s="80">
        <v>567.039730456592</v>
      </c>
      <c r="D45" s="80">
        <v>443.71247203065099</v>
      </c>
      <c r="E45" s="83">
        <v>493.96127976220401</v>
      </c>
      <c r="F45" s="22" t="s">
        <v>200</v>
      </c>
      <c r="G45" s="37">
        <v>-12.887712583304122</v>
      </c>
      <c r="H45" s="33">
        <v>11.324632706759232</v>
      </c>
    </row>
    <row r="46" spans="1:8">
      <c r="A46" s="34"/>
      <c r="B46" s="25" t="s">
        <v>200</v>
      </c>
      <c r="C46" s="82" t="s">
        <v>200</v>
      </c>
      <c r="D46" s="82" t="s">
        <v>200</v>
      </c>
      <c r="E46" s="82" t="s">
        <v>200</v>
      </c>
      <c r="F46" s="27"/>
      <c r="G46" s="28" t="s">
        <v>200</v>
      </c>
      <c r="H46" s="29" t="s">
        <v>200</v>
      </c>
    </row>
    <row r="47" spans="1:8">
      <c r="A47" s="39" t="s">
        <v>12</v>
      </c>
      <c r="B47" s="31" t="s">
        <v>3</v>
      </c>
      <c r="C47" s="80">
        <v>88.031522186187203</v>
      </c>
      <c r="D47" s="80">
        <v>64.7547003149419</v>
      </c>
      <c r="E47" s="83">
        <v>43.954682500984099</v>
      </c>
      <c r="F47" s="22" t="s">
        <v>200</v>
      </c>
      <c r="G47" s="37">
        <v>-50.069382637710525</v>
      </c>
      <c r="H47" s="33">
        <v>-32.121247898290832</v>
      </c>
    </row>
    <row r="48" spans="1:8">
      <c r="A48" s="34"/>
      <c r="B48" s="25" t="s">
        <v>200</v>
      </c>
      <c r="C48" s="82" t="s">
        <v>200</v>
      </c>
      <c r="D48" s="82" t="s">
        <v>200</v>
      </c>
      <c r="E48" s="82" t="s">
        <v>200</v>
      </c>
      <c r="F48" s="27"/>
      <c r="G48" s="28" t="s">
        <v>200</v>
      </c>
      <c r="H48" s="29" t="s">
        <v>200</v>
      </c>
    </row>
    <row r="49" spans="1:8">
      <c r="A49" s="39" t="s">
        <v>23</v>
      </c>
      <c r="B49" s="31" t="s">
        <v>3</v>
      </c>
      <c r="C49" s="80">
        <v>29.715926233988199</v>
      </c>
      <c r="D49" s="80">
        <v>35.319970120918001</v>
      </c>
      <c r="E49" s="83">
        <v>35.6774992422841</v>
      </c>
      <c r="F49" s="22" t="s">
        <v>200</v>
      </c>
      <c r="G49" s="23">
        <v>20.061878473359613</v>
      </c>
      <c r="H49" s="24">
        <v>1.012257711832973</v>
      </c>
    </row>
    <row r="50" spans="1:8">
      <c r="A50" s="34"/>
      <c r="B50" s="25" t="s">
        <v>200</v>
      </c>
      <c r="C50" s="82" t="s">
        <v>200</v>
      </c>
      <c r="D50" s="82" t="s">
        <v>200</v>
      </c>
      <c r="E50" s="82" t="s">
        <v>200</v>
      </c>
      <c r="F50" s="27"/>
      <c r="G50" s="38" t="s">
        <v>200</v>
      </c>
      <c r="H50" s="24" t="s">
        <v>200</v>
      </c>
    </row>
    <row r="51" spans="1:8">
      <c r="A51" s="30" t="s">
        <v>24</v>
      </c>
      <c r="B51" s="31" t="s">
        <v>3</v>
      </c>
      <c r="C51" s="80">
        <v>392.53333787080999</v>
      </c>
      <c r="D51" s="80">
        <v>420.532682160018</v>
      </c>
      <c r="E51" s="83">
        <v>399.95862363816599</v>
      </c>
      <c r="F51" s="22" t="s">
        <v>200</v>
      </c>
      <c r="G51" s="37">
        <v>1.8916318821816418</v>
      </c>
      <c r="H51" s="33">
        <v>-4.8923804010132415</v>
      </c>
    </row>
    <row r="52" spans="1:8" ht="13.5" thickBot="1">
      <c r="A52" s="41"/>
      <c r="B52" s="42" t="s">
        <v>200</v>
      </c>
      <c r="C52" s="86" t="s">
        <v>200</v>
      </c>
      <c r="D52" s="86" t="s">
        <v>200</v>
      </c>
      <c r="E52" s="86" t="s">
        <v>200</v>
      </c>
      <c r="F52" s="44"/>
      <c r="G52" s="45" t="s">
        <v>200</v>
      </c>
      <c r="H52" s="46" t="s">
        <v>200</v>
      </c>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201</v>
      </c>
      <c r="G61" s="53"/>
      <c r="H61" s="155">
        <v>17</v>
      </c>
    </row>
    <row r="62" spans="1:8" ht="12.75" customHeight="1">
      <c r="A62" s="54" t="s">
        <v>202</v>
      </c>
      <c r="G62" s="53"/>
      <c r="H62" s="146"/>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152</v>
      </c>
      <c r="B4" s="5"/>
      <c r="C4" s="5"/>
      <c r="D4" s="5"/>
      <c r="E4" s="5"/>
      <c r="F4" s="5"/>
      <c r="G4" s="5"/>
      <c r="H4" s="6"/>
    </row>
    <row r="5" spans="1:9">
      <c r="A5" s="7"/>
      <c r="B5" s="8"/>
      <c r="C5" s="9"/>
      <c r="D5" s="8"/>
      <c r="E5" s="10"/>
      <c r="F5" s="11"/>
      <c r="G5" s="150" t="s">
        <v>1</v>
      </c>
      <c r="H5" s="151"/>
    </row>
    <row r="6" spans="1:9">
      <c r="A6" s="12"/>
      <c r="B6" s="13"/>
      <c r="C6" s="14" t="s">
        <v>195</v>
      </c>
      <c r="D6" s="15" t="s">
        <v>196</v>
      </c>
      <c r="E6" s="15" t="s">
        <v>197</v>
      </c>
      <c r="F6" s="16"/>
      <c r="G6" s="17" t="s">
        <v>198</v>
      </c>
      <c r="H6" s="18" t="s">
        <v>199</v>
      </c>
    </row>
    <row r="7" spans="1:9">
      <c r="A7" s="152" t="s">
        <v>58</v>
      </c>
      <c r="B7" s="19" t="s">
        <v>3</v>
      </c>
      <c r="C7" s="20">
        <v>8831.7474299107107</v>
      </c>
      <c r="D7" s="20">
        <v>8926</v>
      </c>
      <c r="E7" s="79">
        <v>9389</v>
      </c>
      <c r="F7" s="22" t="s">
        <v>200</v>
      </c>
      <c r="G7" s="23">
        <v>6.3096524726469028</v>
      </c>
      <c r="H7" s="24">
        <v>5.1870938830383011</v>
      </c>
    </row>
    <row r="8" spans="1:9">
      <c r="A8" s="153"/>
      <c r="B8" s="25" t="s">
        <v>200</v>
      </c>
      <c r="C8" s="26" t="s">
        <v>200</v>
      </c>
      <c r="D8" s="26" t="s">
        <v>200</v>
      </c>
      <c r="E8" s="26" t="s">
        <v>200</v>
      </c>
      <c r="F8" s="27"/>
      <c r="G8" s="28" t="s">
        <v>200</v>
      </c>
      <c r="H8" s="29" t="s">
        <v>200</v>
      </c>
    </row>
    <row r="9" spans="1:9">
      <c r="A9" s="30" t="s">
        <v>9</v>
      </c>
      <c r="B9" s="31" t="s">
        <v>3</v>
      </c>
      <c r="C9" s="20">
        <v>8096.3016205357098</v>
      </c>
      <c r="D9" s="20">
        <v>8192</v>
      </c>
      <c r="E9" s="21">
        <v>8683</v>
      </c>
      <c r="F9" s="22" t="s">
        <v>200</v>
      </c>
      <c r="G9" s="32">
        <v>7.2464985491174048</v>
      </c>
      <c r="H9" s="33">
        <v>5.99365234375</v>
      </c>
    </row>
    <row r="10" spans="1:9">
      <c r="A10" s="34"/>
      <c r="B10" s="25" t="s">
        <v>200</v>
      </c>
      <c r="C10" s="26" t="s">
        <v>200</v>
      </c>
      <c r="D10" s="26" t="s">
        <v>200</v>
      </c>
      <c r="E10" s="26" t="s">
        <v>200</v>
      </c>
      <c r="F10" s="27"/>
      <c r="G10" s="35" t="s">
        <v>200</v>
      </c>
      <c r="H10" s="29" t="s">
        <v>200</v>
      </c>
    </row>
    <row r="11" spans="1:9">
      <c r="A11" s="30" t="s">
        <v>46</v>
      </c>
      <c r="B11" s="31" t="s">
        <v>3</v>
      </c>
      <c r="C11" s="20">
        <v>735.44580937499995</v>
      </c>
      <c r="D11" s="20">
        <v>738</v>
      </c>
      <c r="E11" s="21">
        <v>706</v>
      </c>
      <c r="F11" s="22" t="s">
        <v>200</v>
      </c>
      <c r="G11" s="37">
        <v>-4.0038040872139504</v>
      </c>
      <c r="H11" s="33">
        <v>-4.3360433604336066</v>
      </c>
    </row>
    <row r="12" spans="1:9" ht="13.5" thickBot="1">
      <c r="A12" s="56"/>
      <c r="B12" s="42" t="s">
        <v>200</v>
      </c>
      <c r="C12" s="43" t="s">
        <v>200</v>
      </c>
      <c r="D12" s="43" t="s">
        <v>200</v>
      </c>
      <c r="E12" s="43" t="s">
        <v>200</v>
      </c>
      <c r="F12" s="44"/>
      <c r="G12" s="57" t="s">
        <v>200</v>
      </c>
      <c r="H12" s="46" t="s">
        <v>200</v>
      </c>
    </row>
    <row r="13" spans="1:9">
      <c r="A13" s="58"/>
      <c r="B13" s="58"/>
      <c r="C13" s="21"/>
      <c r="D13" s="21"/>
      <c r="E13" s="21"/>
      <c r="F13" s="59"/>
      <c r="G13" s="38"/>
      <c r="H13" s="60"/>
      <c r="I13" s="61"/>
    </row>
    <row r="14" spans="1:9">
      <c r="A14" s="58"/>
      <c r="B14" s="62"/>
      <c r="C14" s="21"/>
      <c r="D14" s="21"/>
      <c r="E14" s="21"/>
      <c r="F14" s="63"/>
      <c r="G14" s="38"/>
      <c r="H14" s="60"/>
      <c r="I14" s="61"/>
    </row>
    <row r="15" spans="1:9">
      <c r="A15" s="58"/>
      <c r="B15" s="58"/>
      <c r="C15" s="21"/>
      <c r="D15" s="21"/>
      <c r="E15" s="21"/>
      <c r="F15" s="59"/>
      <c r="G15" s="38"/>
      <c r="H15" s="60"/>
      <c r="I15" s="61"/>
    </row>
    <row r="16" spans="1:9">
      <c r="A16" s="58"/>
      <c r="B16" s="62"/>
      <c r="C16" s="21"/>
      <c r="D16" s="21"/>
      <c r="E16" s="21"/>
      <c r="F16" s="63"/>
      <c r="G16" s="38"/>
      <c r="H16" s="60"/>
      <c r="I16" s="61"/>
    </row>
    <row r="17" spans="1:9">
      <c r="A17" s="58"/>
      <c r="B17" s="58"/>
      <c r="C17" s="21"/>
      <c r="D17" s="21"/>
      <c r="E17" s="21"/>
      <c r="F17" s="59"/>
      <c r="G17" s="38"/>
      <c r="H17" s="60"/>
      <c r="I17" s="61"/>
    </row>
    <row r="18" spans="1:9">
      <c r="A18" s="58"/>
      <c r="B18" s="62"/>
      <c r="C18" s="21"/>
      <c r="D18" s="21"/>
      <c r="E18" s="21"/>
      <c r="F18" s="63"/>
      <c r="G18" s="38"/>
      <c r="H18" s="60"/>
      <c r="I18" s="61"/>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59</v>
      </c>
      <c r="B32" s="5"/>
      <c r="C32" s="5"/>
      <c r="D32" s="5"/>
      <c r="E32" s="5"/>
      <c r="F32" s="5"/>
      <c r="G32" s="5"/>
      <c r="H32" s="6"/>
    </row>
    <row r="33" spans="1:9">
      <c r="A33" s="7"/>
      <c r="B33" s="8"/>
      <c r="C33" s="156" t="s">
        <v>16</v>
      </c>
      <c r="D33" s="150"/>
      <c r="E33" s="150"/>
      <c r="F33" s="157"/>
      <c r="G33" s="150" t="s">
        <v>1</v>
      </c>
      <c r="H33" s="151"/>
    </row>
    <row r="34" spans="1:9">
      <c r="A34" s="12"/>
      <c r="B34" s="13"/>
      <c r="C34" s="14" t="s">
        <v>195</v>
      </c>
      <c r="D34" s="15" t="s">
        <v>196</v>
      </c>
      <c r="E34" s="15" t="s">
        <v>197</v>
      </c>
      <c r="F34" s="16"/>
      <c r="G34" s="17" t="s">
        <v>198</v>
      </c>
      <c r="H34" s="18" t="s">
        <v>199</v>
      </c>
    </row>
    <row r="35" spans="1:9" ht="12.75" customHeight="1">
      <c r="A35" s="152" t="s">
        <v>58</v>
      </c>
      <c r="B35" s="19" t="s">
        <v>3</v>
      </c>
      <c r="C35" s="80">
        <v>2295.1505355760801</v>
      </c>
      <c r="D35" s="80">
        <v>2320.4183533923601</v>
      </c>
      <c r="E35" s="81">
        <v>2573.20470325621</v>
      </c>
      <c r="F35" s="22" t="s">
        <v>200</v>
      </c>
      <c r="G35" s="23">
        <v>12.114855360035818</v>
      </c>
      <c r="H35" s="24">
        <v>10.893998898702307</v>
      </c>
    </row>
    <row r="36" spans="1:9" ht="12.75" customHeight="1">
      <c r="A36" s="153"/>
      <c r="B36" s="25" t="s">
        <v>200</v>
      </c>
      <c r="C36" s="82" t="s">
        <v>200</v>
      </c>
      <c r="D36" s="82" t="s">
        <v>200</v>
      </c>
      <c r="E36" s="82" t="s">
        <v>200</v>
      </c>
      <c r="F36" s="27"/>
      <c r="G36" s="28" t="s">
        <v>200</v>
      </c>
      <c r="H36" s="29" t="s">
        <v>200</v>
      </c>
    </row>
    <row r="37" spans="1:9">
      <c r="A37" s="30" t="s">
        <v>9</v>
      </c>
      <c r="B37" s="31" t="s">
        <v>3</v>
      </c>
      <c r="C37" s="80">
        <v>1622.80553570445</v>
      </c>
      <c r="D37" s="80">
        <v>1683.13751015504</v>
      </c>
      <c r="E37" s="83">
        <v>1806.7170198262399</v>
      </c>
      <c r="F37" s="22" t="s">
        <v>200</v>
      </c>
      <c r="G37" s="32">
        <v>11.332934234905423</v>
      </c>
      <c r="H37" s="33">
        <v>7.3422111340039322</v>
      </c>
    </row>
    <row r="38" spans="1:9">
      <c r="A38" s="34"/>
      <c r="B38" s="25" t="s">
        <v>200</v>
      </c>
      <c r="C38" s="82" t="s">
        <v>200</v>
      </c>
      <c r="D38" s="82" t="s">
        <v>200</v>
      </c>
      <c r="E38" s="82" t="s">
        <v>200</v>
      </c>
      <c r="F38" s="27"/>
      <c r="G38" s="35" t="s">
        <v>200</v>
      </c>
      <c r="H38" s="29" t="s">
        <v>200</v>
      </c>
    </row>
    <row r="39" spans="1:9">
      <c r="A39" s="30" t="s">
        <v>46</v>
      </c>
      <c r="B39" s="31" t="s">
        <v>3</v>
      </c>
      <c r="C39" s="80">
        <v>672.34499987162701</v>
      </c>
      <c r="D39" s="80">
        <v>637.28084323732696</v>
      </c>
      <c r="E39" s="83">
        <v>766.487683429973</v>
      </c>
      <c r="F39" s="22" t="s">
        <v>200</v>
      </c>
      <c r="G39" s="37">
        <v>14.002139314834054</v>
      </c>
      <c r="H39" s="33">
        <v>20.274709582715104</v>
      </c>
    </row>
    <row r="40" spans="1:9" ht="13.5" thickBot="1">
      <c r="A40" s="56"/>
      <c r="B40" s="42" t="s">
        <v>200</v>
      </c>
      <c r="C40" s="86" t="s">
        <v>200</v>
      </c>
      <c r="D40" s="86" t="s">
        <v>200</v>
      </c>
      <c r="E40" s="86" t="s">
        <v>200</v>
      </c>
      <c r="F40" s="44"/>
      <c r="G40" s="57" t="s">
        <v>200</v>
      </c>
      <c r="H40" s="46" t="s">
        <v>200</v>
      </c>
    </row>
    <row r="41" spans="1:9">
      <c r="A41" s="58"/>
      <c r="B41" s="58"/>
      <c r="C41" s="21"/>
      <c r="D41" s="21"/>
      <c r="E41" s="21"/>
      <c r="F41" s="59"/>
      <c r="G41" s="38"/>
      <c r="H41" s="60"/>
      <c r="I41" s="61"/>
    </row>
    <row r="42" spans="1:9">
      <c r="A42" s="58"/>
      <c r="B42" s="62"/>
      <c r="C42" s="21"/>
      <c r="D42" s="21"/>
      <c r="E42" s="21"/>
      <c r="F42" s="63"/>
      <c r="G42" s="38"/>
      <c r="H42" s="60"/>
      <c r="I42" s="61"/>
    </row>
    <row r="43" spans="1:9">
      <c r="A43" s="58"/>
      <c r="B43" s="58"/>
      <c r="C43" s="21"/>
      <c r="D43" s="21"/>
      <c r="E43" s="21"/>
      <c r="F43" s="59"/>
      <c r="G43" s="38"/>
      <c r="H43" s="60"/>
      <c r="I43" s="61"/>
    </row>
    <row r="44" spans="1:9">
      <c r="A44" s="58"/>
      <c r="B44" s="62"/>
      <c r="C44" s="21"/>
      <c r="D44" s="21"/>
      <c r="E44" s="21"/>
      <c r="F44" s="63"/>
      <c r="G44" s="38"/>
      <c r="H44" s="60"/>
      <c r="I44" s="61"/>
    </row>
    <row r="45" spans="1:9">
      <c r="A45" s="58"/>
      <c r="B45" s="58"/>
      <c r="C45" s="21"/>
      <c r="D45" s="21"/>
      <c r="E45" s="21"/>
      <c r="F45" s="59"/>
      <c r="G45" s="38"/>
      <c r="H45" s="60"/>
      <c r="I45" s="61"/>
    </row>
    <row r="46" spans="1:9">
      <c r="A46" s="58"/>
      <c r="B46" s="62"/>
      <c r="C46" s="21"/>
      <c r="D46" s="21"/>
      <c r="E46" s="21"/>
      <c r="F46" s="63"/>
      <c r="G46" s="38"/>
      <c r="H46" s="60"/>
      <c r="I46" s="61"/>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147">
        <v>18</v>
      </c>
      <c r="H61" s="53" t="s">
        <v>201</v>
      </c>
    </row>
    <row r="62" spans="1:9" ht="12.75" customHeight="1">
      <c r="A62" s="148"/>
      <c r="H62" s="53" t="s">
        <v>202</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4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153</v>
      </c>
      <c r="B4" s="5"/>
      <c r="C4" s="5"/>
      <c r="D4" s="5"/>
      <c r="E4" s="5"/>
      <c r="F4" s="5"/>
      <c r="G4" s="5"/>
      <c r="H4" s="6"/>
    </row>
    <row r="5" spans="1:9">
      <c r="A5" s="7"/>
      <c r="B5" s="8"/>
      <c r="C5" s="9"/>
      <c r="D5" s="8"/>
      <c r="E5" s="10"/>
      <c r="F5" s="11"/>
      <c r="G5" s="150" t="s">
        <v>1</v>
      </c>
      <c r="H5" s="151"/>
    </row>
    <row r="6" spans="1:9">
      <c r="A6" s="12"/>
      <c r="B6" s="13"/>
      <c r="C6" s="14" t="s">
        <v>195</v>
      </c>
      <c r="D6" s="15" t="s">
        <v>196</v>
      </c>
      <c r="E6" s="15" t="s">
        <v>197</v>
      </c>
      <c r="F6" s="16"/>
      <c r="G6" s="17" t="s">
        <v>198</v>
      </c>
      <c r="H6" s="18" t="s">
        <v>199</v>
      </c>
    </row>
    <row r="7" spans="1:9">
      <c r="A7" s="152" t="s">
        <v>57</v>
      </c>
      <c r="B7" s="19" t="s">
        <v>3</v>
      </c>
      <c r="C7" s="20">
        <v>4563.4662578571397</v>
      </c>
      <c r="D7" s="20">
        <v>4526</v>
      </c>
      <c r="E7" s="79">
        <v>4064</v>
      </c>
      <c r="F7" s="22" t="s">
        <v>200</v>
      </c>
      <c r="G7" s="23">
        <v>-10.944887715498822</v>
      </c>
      <c r="H7" s="24">
        <v>-10.207688908528496</v>
      </c>
    </row>
    <row r="8" spans="1:9">
      <c r="A8" s="153"/>
      <c r="B8" s="25" t="s">
        <v>200</v>
      </c>
      <c r="C8" s="26" t="s">
        <v>200</v>
      </c>
      <c r="D8" s="26" t="s">
        <v>200</v>
      </c>
      <c r="E8" s="26" t="s">
        <v>200</v>
      </c>
      <c r="F8" s="27"/>
      <c r="G8" s="28" t="s">
        <v>200</v>
      </c>
      <c r="H8" s="29" t="s">
        <v>200</v>
      </c>
    </row>
    <row r="9" spans="1:9">
      <c r="A9" s="30" t="s">
        <v>9</v>
      </c>
      <c r="B9" s="31" t="s">
        <v>3</v>
      </c>
      <c r="C9" s="20">
        <v>1745.1478378571401</v>
      </c>
      <c r="D9" s="20">
        <v>1944</v>
      </c>
      <c r="E9" s="21">
        <v>2067</v>
      </c>
      <c r="F9" s="22" t="s">
        <v>200</v>
      </c>
      <c r="G9" s="32">
        <v>18.442687499648216</v>
      </c>
      <c r="H9" s="33">
        <v>6.3271604938271508</v>
      </c>
    </row>
    <row r="10" spans="1:9">
      <c r="A10" s="34"/>
      <c r="B10" s="25" t="s">
        <v>200</v>
      </c>
      <c r="C10" s="26" t="s">
        <v>200</v>
      </c>
      <c r="D10" s="26" t="s">
        <v>200</v>
      </c>
      <c r="E10" s="26" t="s">
        <v>200</v>
      </c>
      <c r="F10" s="27"/>
      <c r="G10" s="35" t="s">
        <v>200</v>
      </c>
      <c r="H10" s="29" t="s">
        <v>200</v>
      </c>
    </row>
    <row r="11" spans="1:9">
      <c r="A11" s="30" t="s">
        <v>46</v>
      </c>
      <c r="B11" s="31" t="s">
        <v>3</v>
      </c>
      <c r="C11" s="20">
        <v>2297.3184200000001</v>
      </c>
      <c r="D11" s="20">
        <v>2212</v>
      </c>
      <c r="E11" s="21">
        <v>1313</v>
      </c>
      <c r="F11" s="22" t="s">
        <v>200</v>
      </c>
      <c r="G11" s="37">
        <v>-42.846407856687108</v>
      </c>
      <c r="H11" s="33">
        <v>-40.64195298372514</v>
      </c>
    </row>
    <row r="12" spans="1:9">
      <c r="A12" s="34"/>
      <c r="B12" s="25" t="s">
        <v>200</v>
      </c>
      <c r="C12" s="26" t="s">
        <v>200</v>
      </c>
      <c r="D12" s="26" t="s">
        <v>200</v>
      </c>
      <c r="E12" s="26" t="s">
        <v>200</v>
      </c>
      <c r="F12" s="27"/>
      <c r="G12" s="28" t="s">
        <v>200</v>
      </c>
      <c r="H12" s="29" t="s">
        <v>200</v>
      </c>
    </row>
    <row r="13" spans="1:9">
      <c r="A13" s="30" t="s">
        <v>24</v>
      </c>
      <c r="B13" s="31" t="s">
        <v>3</v>
      </c>
      <c r="C13" s="20">
        <v>521</v>
      </c>
      <c r="D13" s="20">
        <v>434</v>
      </c>
      <c r="E13" s="21">
        <v>714</v>
      </c>
      <c r="F13" s="22" t="s">
        <v>200</v>
      </c>
      <c r="G13" s="23">
        <v>37.044145873320531</v>
      </c>
      <c r="H13" s="24">
        <v>64.516129032258078</v>
      </c>
    </row>
    <row r="14" spans="1:9" ht="13.5" thickBot="1">
      <c r="A14" s="56"/>
      <c r="B14" s="42" t="s">
        <v>200</v>
      </c>
      <c r="C14" s="43" t="s">
        <v>200</v>
      </c>
      <c r="D14" s="43" t="s">
        <v>200</v>
      </c>
      <c r="E14" s="43" t="s">
        <v>200</v>
      </c>
      <c r="F14" s="44"/>
      <c r="G14" s="57" t="s">
        <v>200</v>
      </c>
      <c r="H14" s="46" t="s">
        <v>200</v>
      </c>
    </row>
    <row r="15" spans="1:9">
      <c r="A15" s="58"/>
      <c r="B15" s="62"/>
      <c r="C15" s="21"/>
      <c r="D15" s="21"/>
      <c r="E15" s="21"/>
      <c r="F15" s="63"/>
      <c r="G15" s="38"/>
      <c r="H15" s="60"/>
      <c r="I15" s="61"/>
    </row>
    <row r="16" spans="1:9">
      <c r="A16" s="58"/>
      <c r="B16" s="62"/>
      <c r="C16" s="21"/>
      <c r="D16" s="21"/>
      <c r="E16" s="21"/>
      <c r="F16" s="63"/>
      <c r="G16" s="38"/>
      <c r="H16" s="60"/>
      <c r="I16" s="61"/>
    </row>
    <row r="17" spans="1:9">
      <c r="A17" s="58"/>
      <c r="B17" s="62"/>
      <c r="C17" s="21"/>
      <c r="D17" s="21"/>
      <c r="E17" s="21"/>
      <c r="F17" s="63"/>
      <c r="G17" s="38"/>
      <c r="H17" s="60"/>
      <c r="I17" s="61"/>
    </row>
    <row r="18" spans="1:9">
      <c r="A18" s="58"/>
      <c r="B18" s="62"/>
      <c r="C18" s="21"/>
      <c r="D18" s="21"/>
      <c r="E18" s="21"/>
      <c r="F18" s="63"/>
      <c r="G18" s="38"/>
      <c r="H18" s="60"/>
      <c r="I18" s="61"/>
    </row>
    <row r="19" spans="1:9">
      <c r="A19" s="58"/>
      <c r="B19" s="62"/>
      <c r="C19" s="21"/>
      <c r="D19" s="21"/>
      <c r="E19" s="21"/>
      <c r="F19" s="63"/>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66" t="s">
        <v>73</v>
      </c>
      <c r="B32" s="5"/>
      <c r="C32" s="5"/>
      <c r="D32" s="5"/>
      <c r="E32" s="5"/>
      <c r="F32" s="5"/>
      <c r="G32" s="5"/>
      <c r="H32" s="6"/>
    </row>
    <row r="33" spans="1:9">
      <c r="A33" s="7"/>
      <c r="B33" s="8"/>
      <c r="C33" s="156" t="s">
        <v>16</v>
      </c>
      <c r="D33" s="150"/>
      <c r="E33" s="150"/>
      <c r="F33" s="157"/>
      <c r="G33" s="150" t="s">
        <v>1</v>
      </c>
      <c r="H33" s="151"/>
    </row>
    <row r="34" spans="1:9">
      <c r="A34" s="12"/>
      <c r="B34" s="13"/>
      <c r="C34" s="14" t="s">
        <v>195</v>
      </c>
      <c r="D34" s="15" t="s">
        <v>196</v>
      </c>
      <c r="E34" s="15" t="s">
        <v>197</v>
      </c>
      <c r="F34" s="16"/>
      <c r="G34" s="17" t="s">
        <v>198</v>
      </c>
      <c r="H34" s="18" t="s">
        <v>199</v>
      </c>
    </row>
    <row r="35" spans="1:9" ht="12.75" customHeight="1">
      <c r="A35" s="152" t="s">
        <v>57</v>
      </c>
      <c r="B35" s="19" t="s">
        <v>3</v>
      </c>
      <c r="C35" s="80">
        <v>1427.55647975631</v>
      </c>
      <c r="D35" s="80">
        <v>1570.8861755238199</v>
      </c>
      <c r="E35" s="81">
        <v>1695.5254231061699</v>
      </c>
      <c r="F35" s="22" t="s">
        <v>200</v>
      </c>
      <c r="G35" s="23">
        <v>18.771162272725178</v>
      </c>
      <c r="H35" s="24">
        <v>7.9343271030307676</v>
      </c>
    </row>
    <row r="36" spans="1:9" ht="12.75" customHeight="1">
      <c r="A36" s="153"/>
      <c r="B36" s="25" t="s">
        <v>200</v>
      </c>
      <c r="C36" s="82" t="s">
        <v>200</v>
      </c>
      <c r="D36" s="82" t="s">
        <v>200</v>
      </c>
      <c r="E36" s="82" t="s">
        <v>200</v>
      </c>
      <c r="F36" s="27"/>
      <c r="G36" s="28" t="s">
        <v>200</v>
      </c>
      <c r="H36" s="29" t="s">
        <v>200</v>
      </c>
    </row>
    <row r="37" spans="1:9">
      <c r="A37" s="30" t="s">
        <v>9</v>
      </c>
      <c r="B37" s="31" t="s">
        <v>3</v>
      </c>
      <c r="C37" s="80">
        <v>379.17344360113498</v>
      </c>
      <c r="D37" s="80">
        <v>390.86714775272202</v>
      </c>
      <c r="E37" s="83">
        <v>517.90074357458695</v>
      </c>
      <c r="F37" s="22" t="s">
        <v>200</v>
      </c>
      <c r="G37" s="32">
        <v>36.586765849399455</v>
      </c>
      <c r="H37" s="33">
        <v>32.50045355621225</v>
      </c>
    </row>
    <row r="38" spans="1:9">
      <c r="A38" s="34"/>
      <c r="B38" s="25" t="s">
        <v>200</v>
      </c>
      <c r="C38" s="82" t="s">
        <v>200</v>
      </c>
      <c r="D38" s="82" t="s">
        <v>200</v>
      </c>
      <c r="E38" s="82" t="s">
        <v>200</v>
      </c>
      <c r="F38" s="27"/>
      <c r="G38" s="35" t="s">
        <v>200</v>
      </c>
      <c r="H38" s="29" t="s">
        <v>200</v>
      </c>
    </row>
    <row r="39" spans="1:9">
      <c r="A39" s="30" t="s">
        <v>46</v>
      </c>
      <c r="B39" s="31" t="s">
        <v>3</v>
      </c>
      <c r="C39" s="80">
        <v>831.22035656308697</v>
      </c>
      <c r="D39" s="80">
        <v>927.67820768823299</v>
      </c>
      <c r="E39" s="83">
        <v>849.156364069814</v>
      </c>
      <c r="F39" s="22" t="s">
        <v>200</v>
      </c>
      <c r="G39" s="37">
        <v>2.1577921384034084</v>
      </c>
      <c r="H39" s="33">
        <v>-8.464340648261512</v>
      </c>
    </row>
    <row r="40" spans="1:9">
      <c r="A40" s="34"/>
      <c r="B40" s="25" t="s">
        <v>200</v>
      </c>
      <c r="C40" s="82" t="s">
        <v>200</v>
      </c>
      <c r="D40" s="82" t="s">
        <v>200</v>
      </c>
      <c r="E40" s="82" t="s">
        <v>200</v>
      </c>
      <c r="F40" s="27"/>
      <c r="G40" s="28" t="s">
        <v>200</v>
      </c>
      <c r="H40" s="29" t="s">
        <v>200</v>
      </c>
    </row>
    <row r="41" spans="1:9">
      <c r="A41" s="30" t="s">
        <v>24</v>
      </c>
      <c r="B41" s="31" t="s">
        <v>3</v>
      </c>
      <c r="C41" s="80">
        <v>217.16267959209199</v>
      </c>
      <c r="D41" s="80">
        <v>252.34082008286001</v>
      </c>
      <c r="E41" s="83">
        <v>328.46831546176901</v>
      </c>
      <c r="F41" s="22" t="s">
        <v>200</v>
      </c>
      <c r="G41" s="23">
        <v>51.254495514030395</v>
      </c>
      <c r="H41" s="24">
        <v>30.168521824535304</v>
      </c>
    </row>
    <row r="42" spans="1:9" ht="13.5" thickBot="1">
      <c r="A42" s="56"/>
      <c r="B42" s="42" t="s">
        <v>200</v>
      </c>
      <c r="C42" s="86" t="s">
        <v>200</v>
      </c>
      <c r="D42" s="86" t="s">
        <v>200</v>
      </c>
      <c r="E42" s="86" t="s">
        <v>200</v>
      </c>
      <c r="F42" s="44"/>
      <c r="G42" s="57" t="s">
        <v>200</v>
      </c>
      <c r="H42" s="46" t="s">
        <v>200</v>
      </c>
    </row>
    <row r="43" spans="1:9">
      <c r="A43" s="58"/>
      <c r="B43" s="62"/>
      <c r="C43" s="21"/>
      <c r="D43" s="21"/>
      <c r="E43" s="21"/>
      <c r="F43" s="63"/>
      <c r="G43" s="38"/>
      <c r="H43" s="60"/>
    </row>
    <row r="44" spans="1:9">
      <c r="A44" s="58"/>
      <c r="B44" s="62"/>
      <c r="C44" s="21"/>
      <c r="D44" s="21"/>
      <c r="E44" s="21"/>
      <c r="F44" s="63"/>
      <c r="G44" s="38"/>
      <c r="H44" s="60"/>
    </row>
    <row r="45" spans="1:9">
      <c r="A45" s="58"/>
      <c r="B45" s="62"/>
      <c r="C45" s="21"/>
      <c r="D45" s="21"/>
      <c r="E45" s="21"/>
      <c r="F45" s="63"/>
      <c r="G45" s="38"/>
      <c r="H45" s="60"/>
    </row>
    <row r="46" spans="1:9">
      <c r="A46" s="58"/>
      <c r="B46" s="62"/>
      <c r="C46" s="21"/>
      <c r="D46" s="21"/>
      <c r="E46" s="21"/>
      <c r="F46" s="63"/>
      <c r="G46" s="38"/>
      <c r="H46" s="60"/>
    </row>
    <row r="47" spans="1:9">
      <c r="A47" s="58"/>
      <c r="B47" s="62"/>
      <c r="C47" s="21"/>
      <c r="D47" s="21"/>
      <c r="E47" s="21"/>
      <c r="F47" s="63"/>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201</v>
      </c>
      <c r="G61" s="53"/>
      <c r="H61" s="155">
        <v>19</v>
      </c>
    </row>
    <row r="62" spans="1:9" ht="12.75" customHeight="1">
      <c r="A62" s="54" t="s">
        <v>202</v>
      </c>
      <c r="G62" s="53"/>
      <c r="H62" s="146"/>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154</v>
      </c>
      <c r="B4" s="5"/>
      <c r="C4" s="5"/>
      <c r="D4" s="5"/>
      <c r="E4" s="5"/>
      <c r="F4" s="5"/>
      <c r="G4" s="5"/>
      <c r="H4" s="6"/>
    </row>
    <row r="5" spans="1:9">
      <c r="A5" s="7"/>
      <c r="B5" s="8"/>
      <c r="C5" s="9"/>
      <c r="D5" s="8"/>
      <c r="E5" s="10"/>
      <c r="F5" s="11"/>
      <c r="G5" s="150" t="s">
        <v>1</v>
      </c>
      <c r="H5" s="151"/>
    </row>
    <row r="6" spans="1:9">
      <c r="A6" s="12"/>
      <c r="B6" s="13"/>
      <c r="C6" s="14" t="s">
        <v>195</v>
      </c>
      <c r="D6" s="15" t="s">
        <v>196</v>
      </c>
      <c r="E6" s="15" t="s">
        <v>197</v>
      </c>
      <c r="F6" s="16"/>
      <c r="G6" s="17" t="s">
        <v>198</v>
      </c>
      <c r="H6" s="18" t="s">
        <v>199</v>
      </c>
    </row>
    <row r="7" spans="1:9" ht="12.75" customHeight="1">
      <c r="A7" s="152" t="s">
        <v>60</v>
      </c>
      <c r="B7" s="19" t="s">
        <v>3</v>
      </c>
      <c r="C7" s="20">
        <v>14876.9826586621</v>
      </c>
      <c r="D7" s="20">
        <v>16278</v>
      </c>
      <c r="E7" s="79">
        <v>18904</v>
      </c>
      <c r="F7" s="22" t="s">
        <v>200</v>
      </c>
      <c r="G7" s="23">
        <v>27.068777545379305</v>
      </c>
      <c r="H7" s="24">
        <v>16.132202973338238</v>
      </c>
    </row>
    <row r="8" spans="1:9" ht="13.5" customHeight="1" thickBot="1">
      <c r="A8" s="158"/>
      <c r="B8" s="42" t="s">
        <v>200</v>
      </c>
      <c r="C8" s="43" t="s">
        <v>200</v>
      </c>
      <c r="D8" s="43" t="s">
        <v>200</v>
      </c>
      <c r="E8" s="43" t="s">
        <v>200</v>
      </c>
      <c r="F8" s="44"/>
      <c r="G8" s="57" t="s">
        <v>200</v>
      </c>
      <c r="H8" s="46" t="s">
        <v>200</v>
      </c>
    </row>
    <row r="9" spans="1:9">
      <c r="A9" s="58"/>
      <c r="B9" s="58"/>
      <c r="C9" s="21"/>
      <c r="D9" s="21"/>
      <c r="E9" s="21"/>
      <c r="F9" s="59"/>
      <c r="G9" s="38"/>
      <c r="H9" s="60"/>
      <c r="I9" s="61"/>
    </row>
    <row r="10" spans="1:9">
      <c r="A10" s="58"/>
      <c r="B10" s="58"/>
      <c r="C10" s="21"/>
      <c r="D10" s="21"/>
      <c r="E10" s="21"/>
      <c r="F10" s="59"/>
      <c r="G10" s="38"/>
      <c r="H10" s="60"/>
      <c r="I10" s="61"/>
    </row>
    <row r="11" spans="1:9">
      <c r="A11" s="58"/>
      <c r="B11" s="58"/>
      <c r="C11" s="21"/>
      <c r="D11" s="21"/>
      <c r="E11" s="21"/>
      <c r="F11" s="59"/>
      <c r="G11" s="38"/>
      <c r="H11" s="60"/>
      <c r="I11" s="61"/>
    </row>
    <row r="12" spans="1:9">
      <c r="A12" s="58"/>
      <c r="B12" s="58"/>
      <c r="C12" s="21"/>
      <c r="D12" s="21"/>
      <c r="E12" s="21"/>
      <c r="F12" s="59"/>
      <c r="G12" s="38"/>
      <c r="H12" s="60"/>
      <c r="I12" s="61"/>
    </row>
    <row r="13" spans="1:9">
      <c r="A13" s="58"/>
      <c r="B13" s="58"/>
      <c r="C13" s="21"/>
      <c r="D13" s="21"/>
      <c r="E13" s="21"/>
      <c r="F13" s="59"/>
      <c r="G13" s="38"/>
      <c r="H13" s="60"/>
      <c r="I13" s="61"/>
    </row>
    <row r="14" spans="1:9">
      <c r="A14" s="58"/>
      <c r="B14" s="62"/>
      <c r="C14" s="21"/>
      <c r="D14" s="21"/>
      <c r="E14" s="21"/>
      <c r="F14" s="63"/>
      <c r="G14" s="38"/>
      <c r="H14" s="60"/>
      <c r="I14" s="61"/>
    </row>
    <row r="15" spans="1:9">
      <c r="A15" s="58"/>
      <c r="B15" s="58"/>
      <c r="C15" s="21"/>
      <c r="D15" s="21"/>
      <c r="E15" s="21"/>
      <c r="F15" s="59"/>
      <c r="G15" s="38"/>
      <c r="H15" s="60"/>
      <c r="I15" s="61"/>
    </row>
    <row r="16" spans="1:9">
      <c r="A16" s="58"/>
      <c r="B16" s="62"/>
      <c r="C16" s="21"/>
      <c r="D16" s="21"/>
      <c r="E16" s="21"/>
      <c r="F16" s="63"/>
      <c r="G16" s="38"/>
      <c r="H16" s="60"/>
      <c r="I16" s="61"/>
    </row>
    <row r="17" spans="1:9">
      <c r="A17" s="58"/>
      <c r="B17" s="58"/>
      <c r="C17" s="21"/>
      <c r="D17" s="21"/>
      <c r="E17" s="21"/>
      <c r="F17" s="59"/>
      <c r="G17" s="38"/>
      <c r="H17" s="60"/>
      <c r="I17" s="61"/>
    </row>
    <row r="18" spans="1:9">
      <c r="A18" s="58"/>
      <c r="B18" s="62"/>
      <c r="C18" s="21"/>
      <c r="D18" s="21"/>
      <c r="E18" s="21"/>
      <c r="F18" s="63"/>
      <c r="G18" s="38"/>
      <c r="H18" s="60"/>
      <c r="I18" s="61"/>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72</v>
      </c>
      <c r="B32" s="5"/>
      <c r="C32" s="5"/>
      <c r="D32" s="5"/>
      <c r="E32" s="5"/>
      <c r="F32" s="5"/>
      <c r="G32" s="5"/>
      <c r="H32" s="6"/>
    </row>
    <row r="33" spans="1:9">
      <c r="A33" s="7"/>
      <c r="B33" s="8"/>
      <c r="C33" s="156" t="s">
        <v>16</v>
      </c>
      <c r="D33" s="150"/>
      <c r="E33" s="150"/>
      <c r="F33" s="157"/>
      <c r="G33" s="150" t="s">
        <v>1</v>
      </c>
      <c r="H33" s="151"/>
    </row>
    <row r="34" spans="1:9">
      <c r="A34" s="12"/>
      <c r="B34" s="13"/>
      <c r="C34" s="14" t="s">
        <v>195</v>
      </c>
      <c r="D34" s="15" t="s">
        <v>196</v>
      </c>
      <c r="E34" s="15" t="s">
        <v>197</v>
      </c>
      <c r="F34" s="16"/>
      <c r="G34" s="17" t="s">
        <v>198</v>
      </c>
      <c r="H34" s="18" t="s">
        <v>199</v>
      </c>
    </row>
    <row r="35" spans="1:9" ht="12.75" customHeight="1">
      <c r="A35" s="152" t="s">
        <v>60</v>
      </c>
      <c r="B35" s="19" t="s">
        <v>3</v>
      </c>
      <c r="C35" s="80">
        <v>625.02091863863996</v>
      </c>
      <c r="D35" s="80">
        <v>613.82802342537798</v>
      </c>
      <c r="E35" s="81">
        <v>625.94929511716498</v>
      </c>
      <c r="F35" s="22" t="s">
        <v>200</v>
      </c>
      <c r="G35" s="23">
        <v>0.14853526511512882</v>
      </c>
      <c r="H35" s="24">
        <v>1.9747015823986089</v>
      </c>
    </row>
    <row r="36" spans="1:9" ht="12.75" customHeight="1" thickBot="1">
      <c r="A36" s="158"/>
      <c r="B36" s="42" t="s">
        <v>200</v>
      </c>
      <c r="C36" s="86" t="s">
        <v>200</v>
      </c>
      <c r="D36" s="86" t="s">
        <v>200</v>
      </c>
      <c r="E36" s="86" t="s">
        <v>200</v>
      </c>
      <c r="F36" s="44"/>
      <c r="G36" s="57" t="s">
        <v>200</v>
      </c>
      <c r="H36" s="46" t="s">
        <v>200</v>
      </c>
    </row>
    <row r="37" spans="1:9">
      <c r="A37" s="58"/>
      <c r="B37" s="58"/>
      <c r="C37" s="21"/>
      <c r="D37" s="21"/>
      <c r="E37" s="21"/>
      <c r="F37" s="59"/>
      <c r="G37" s="38"/>
      <c r="H37" s="60"/>
      <c r="I37" s="61"/>
    </row>
    <row r="38" spans="1:9">
      <c r="A38" s="58"/>
      <c r="B38" s="62"/>
      <c r="C38" s="21"/>
      <c r="D38" s="21"/>
      <c r="E38" s="21"/>
      <c r="F38" s="63"/>
      <c r="G38" s="38"/>
      <c r="H38" s="60"/>
      <c r="I38" s="61"/>
    </row>
    <row r="39" spans="1:9">
      <c r="A39" s="58"/>
      <c r="B39" s="58"/>
      <c r="C39" s="21"/>
      <c r="D39" s="21"/>
      <c r="E39" s="21"/>
      <c r="F39" s="59"/>
      <c r="G39" s="38"/>
      <c r="H39" s="60"/>
      <c r="I39" s="61"/>
    </row>
    <row r="40" spans="1:9">
      <c r="A40" s="58"/>
      <c r="B40" s="62"/>
      <c r="C40" s="21"/>
      <c r="D40" s="21"/>
      <c r="E40" s="21"/>
      <c r="F40" s="63"/>
      <c r="G40" s="38"/>
      <c r="H40" s="60"/>
      <c r="I40" s="61"/>
    </row>
    <row r="41" spans="1:9">
      <c r="A41" s="58"/>
      <c r="B41" s="58"/>
      <c r="C41" s="21"/>
      <c r="D41" s="21"/>
      <c r="E41" s="21"/>
      <c r="F41" s="59"/>
      <c r="G41" s="38"/>
      <c r="H41" s="60"/>
      <c r="I41" s="61"/>
    </row>
    <row r="42" spans="1:9">
      <c r="A42" s="58"/>
      <c r="B42" s="62"/>
      <c r="C42" s="21"/>
      <c r="D42" s="21"/>
      <c r="E42" s="21"/>
      <c r="F42" s="63"/>
      <c r="G42" s="38"/>
      <c r="H42" s="60"/>
      <c r="I42" s="61"/>
    </row>
    <row r="43" spans="1:9">
      <c r="A43" s="58"/>
      <c r="B43" s="58"/>
      <c r="C43" s="21"/>
      <c r="D43" s="21"/>
      <c r="E43" s="21"/>
      <c r="F43" s="59"/>
      <c r="G43" s="38"/>
      <c r="H43" s="60"/>
      <c r="I43" s="61"/>
    </row>
    <row r="44" spans="1:9">
      <c r="A44" s="58"/>
      <c r="B44" s="62"/>
      <c r="C44" s="21"/>
      <c r="D44" s="21"/>
      <c r="E44" s="21"/>
      <c r="F44" s="63"/>
      <c r="G44" s="38"/>
      <c r="H44" s="60"/>
      <c r="I44" s="61"/>
    </row>
    <row r="45" spans="1:9">
      <c r="A45" s="58"/>
      <c r="B45" s="58"/>
      <c r="C45" s="21"/>
      <c r="D45" s="21"/>
      <c r="E45" s="21"/>
      <c r="F45" s="59"/>
      <c r="G45" s="38"/>
      <c r="H45" s="60"/>
      <c r="I45" s="61"/>
    </row>
    <row r="46" spans="1:9">
      <c r="A46" s="58"/>
      <c r="B46" s="62"/>
      <c r="C46" s="21"/>
      <c r="D46" s="21"/>
      <c r="E46" s="21"/>
      <c r="F46" s="63"/>
      <c r="G46" s="38"/>
      <c r="H46" s="60"/>
      <c r="I46" s="61"/>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147">
        <v>20</v>
      </c>
      <c r="H61" s="53" t="s">
        <v>201</v>
      </c>
    </row>
    <row r="62" spans="1:9" ht="12.75" customHeight="1">
      <c r="A62" s="148"/>
      <c r="H62" s="53" t="s">
        <v>202</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6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155</v>
      </c>
      <c r="B4" s="5"/>
      <c r="C4" s="5"/>
      <c r="D4" s="5"/>
      <c r="E4" s="5"/>
      <c r="F4" s="5"/>
      <c r="G4" s="5"/>
      <c r="H4" s="6"/>
    </row>
    <row r="5" spans="1:8">
      <c r="A5" s="7"/>
      <c r="B5" s="8"/>
      <c r="C5" s="9"/>
      <c r="D5" s="8"/>
      <c r="E5" s="10"/>
      <c r="F5" s="11"/>
      <c r="G5" s="150" t="s">
        <v>1</v>
      </c>
      <c r="H5" s="151"/>
    </row>
    <row r="6" spans="1:8">
      <c r="A6" s="12"/>
      <c r="B6" s="13"/>
      <c r="C6" s="14" t="s">
        <v>195</v>
      </c>
      <c r="D6" s="15" t="s">
        <v>196</v>
      </c>
      <c r="E6" s="15" t="s">
        <v>197</v>
      </c>
      <c r="F6" s="16"/>
      <c r="G6" s="17" t="s">
        <v>198</v>
      </c>
      <c r="H6" s="18" t="s">
        <v>199</v>
      </c>
    </row>
    <row r="7" spans="1:8">
      <c r="A7" s="152" t="s">
        <v>61</v>
      </c>
      <c r="B7" s="19" t="s">
        <v>3</v>
      </c>
      <c r="C7" s="20">
        <v>271585.66666666698</v>
      </c>
      <c r="D7" s="20">
        <v>299510</v>
      </c>
      <c r="E7" s="79">
        <v>317630</v>
      </c>
      <c r="F7" s="22" t="s">
        <v>200</v>
      </c>
      <c r="G7" s="23">
        <v>16.953889319146569</v>
      </c>
      <c r="H7" s="24">
        <v>6.0498814730726878</v>
      </c>
    </row>
    <row r="8" spans="1:8">
      <c r="A8" s="153"/>
      <c r="B8" s="25" t="s">
        <v>200</v>
      </c>
      <c r="C8" s="26" t="s">
        <v>200</v>
      </c>
      <c r="D8" s="26" t="s">
        <v>200</v>
      </c>
      <c r="E8" s="26" t="s">
        <v>200</v>
      </c>
      <c r="F8" s="27"/>
      <c r="G8" s="28" t="s">
        <v>200</v>
      </c>
      <c r="H8" s="29" t="s">
        <v>200</v>
      </c>
    </row>
    <row r="9" spans="1:8">
      <c r="A9" s="30" t="s">
        <v>62</v>
      </c>
      <c r="B9" s="31" t="s">
        <v>3</v>
      </c>
      <c r="C9" s="20">
        <v>95585.166666666701</v>
      </c>
      <c r="D9" s="20">
        <v>100045</v>
      </c>
      <c r="E9" s="21">
        <v>104271</v>
      </c>
      <c r="F9" s="22" t="s">
        <v>200</v>
      </c>
      <c r="G9" s="32">
        <v>9.0870096650281766</v>
      </c>
      <c r="H9" s="33">
        <v>4.2240991553800882</v>
      </c>
    </row>
    <row r="10" spans="1:8">
      <c r="A10" s="34"/>
      <c r="B10" s="25" t="s">
        <v>200</v>
      </c>
      <c r="C10" s="26" t="s">
        <v>200</v>
      </c>
      <c r="D10" s="26" t="s">
        <v>200</v>
      </c>
      <c r="E10" s="26" t="s">
        <v>200</v>
      </c>
      <c r="F10" s="27"/>
      <c r="G10" s="35" t="s">
        <v>200</v>
      </c>
      <c r="H10" s="29" t="s">
        <v>200</v>
      </c>
    </row>
    <row r="11" spans="1:8">
      <c r="A11" s="30" t="s">
        <v>47</v>
      </c>
      <c r="B11" s="31" t="s">
        <v>3</v>
      </c>
      <c r="C11" s="20">
        <v>8398.2265432098793</v>
      </c>
      <c r="D11" s="20">
        <v>8274</v>
      </c>
      <c r="E11" s="21">
        <v>9861</v>
      </c>
      <c r="F11" s="22" t="s">
        <v>200</v>
      </c>
      <c r="G11" s="37">
        <v>17.417647038502437</v>
      </c>
      <c r="H11" s="33">
        <v>19.180565627266134</v>
      </c>
    </row>
    <row r="12" spans="1:8">
      <c r="A12" s="34"/>
      <c r="B12" s="25" t="s">
        <v>200</v>
      </c>
      <c r="C12" s="26" t="s">
        <v>200</v>
      </c>
      <c r="D12" s="26" t="s">
        <v>200</v>
      </c>
      <c r="E12" s="26" t="s">
        <v>200</v>
      </c>
      <c r="F12" s="27"/>
      <c r="G12" s="28" t="s">
        <v>200</v>
      </c>
      <c r="H12" s="29" t="s">
        <v>200</v>
      </c>
    </row>
    <row r="13" spans="1:8">
      <c r="A13" s="30" t="s">
        <v>48</v>
      </c>
      <c r="B13" s="31" t="s">
        <v>3</v>
      </c>
      <c r="C13" s="20">
        <v>90145.038888888899</v>
      </c>
      <c r="D13" s="20">
        <v>96673</v>
      </c>
      <c r="E13" s="21">
        <v>98034</v>
      </c>
      <c r="F13" s="22" t="s">
        <v>200</v>
      </c>
      <c r="G13" s="23">
        <v>8.7514090718124606</v>
      </c>
      <c r="H13" s="24">
        <v>1.4078387967684876</v>
      </c>
    </row>
    <row r="14" spans="1:8">
      <c r="A14" s="34"/>
      <c r="B14" s="25" t="s">
        <v>200</v>
      </c>
      <c r="C14" s="26" t="s">
        <v>200</v>
      </c>
      <c r="D14" s="26" t="s">
        <v>200</v>
      </c>
      <c r="E14" s="26" t="s">
        <v>200</v>
      </c>
      <c r="F14" s="27"/>
      <c r="G14" s="38" t="s">
        <v>200</v>
      </c>
      <c r="H14" s="24" t="s">
        <v>200</v>
      </c>
    </row>
    <row r="15" spans="1:8">
      <c r="A15" s="30" t="s">
        <v>49</v>
      </c>
      <c r="B15" s="31" t="s">
        <v>3</v>
      </c>
      <c r="C15" s="20">
        <v>48607.038888888899</v>
      </c>
      <c r="D15" s="20">
        <v>52704</v>
      </c>
      <c r="E15" s="21">
        <v>57038</v>
      </c>
      <c r="F15" s="22" t="s">
        <v>200</v>
      </c>
      <c r="G15" s="37">
        <v>17.345144456101266</v>
      </c>
      <c r="H15" s="33">
        <v>8.223284760170003</v>
      </c>
    </row>
    <row r="16" spans="1:8">
      <c r="A16" s="34"/>
      <c r="B16" s="25" t="s">
        <v>200</v>
      </c>
      <c r="C16" s="26" t="s">
        <v>200</v>
      </c>
      <c r="D16" s="26" t="s">
        <v>200</v>
      </c>
      <c r="E16" s="26" t="s">
        <v>200</v>
      </c>
      <c r="F16" s="27"/>
      <c r="G16" s="28" t="s">
        <v>200</v>
      </c>
      <c r="H16" s="29" t="s">
        <v>200</v>
      </c>
    </row>
    <row r="17" spans="1:9">
      <c r="A17" s="30" t="s">
        <v>50</v>
      </c>
      <c r="B17" s="31" t="s">
        <v>3</v>
      </c>
      <c r="C17" s="20">
        <v>33992.679629629602</v>
      </c>
      <c r="D17" s="20">
        <v>47387</v>
      </c>
      <c r="E17" s="21">
        <v>60746</v>
      </c>
      <c r="F17" s="22" t="s">
        <v>200</v>
      </c>
      <c r="G17" s="37">
        <v>78.70318157280829</v>
      </c>
      <c r="H17" s="33">
        <v>28.191276088378658</v>
      </c>
    </row>
    <row r="18" spans="1:9" ht="13.5" thickBot="1">
      <c r="A18" s="56"/>
      <c r="B18" s="42" t="s">
        <v>200</v>
      </c>
      <c r="C18" s="43" t="s">
        <v>200</v>
      </c>
      <c r="D18" s="43" t="s">
        <v>200</v>
      </c>
      <c r="E18" s="43" t="s">
        <v>200</v>
      </c>
      <c r="F18" s="44"/>
      <c r="G18" s="57" t="s">
        <v>200</v>
      </c>
      <c r="H18" s="46" t="s">
        <v>200</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71</v>
      </c>
      <c r="B32" s="5"/>
      <c r="C32" s="5"/>
      <c r="D32" s="5"/>
      <c r="E32" s="5"/>
      <c r="F32" s="5"/>
      <c r="G32" s="5"/>
      <c r="H32" s="6"/>
    </row>
    <row r="33" spans="1:9">
      <c r="A33" s="7"/>
      <c r="B33" s="8"/>
      <c r="C33" s="156" t="s">
        <v>16</v>
      </c>
      <c r="D33" s="150"/>
      <c r="E33" s="150"/>
      <c r="F33" s="157"/>
      <c r="G33" s="150" t="s">
        <v>1</v>
      </c>
      <c r="H33" s="151"/>
    </row>
    <row r="34" spans="1:9">
      <c r="A34" s="12"/>
      <c r="B34" s="13"/>
      <c r="C34" s="14" t="s">
        <v>195</v>
      </c>
      <c r="D34" s="15" t="s">
        <v>196</v>
      </c>
      <c r="E34" s="15" t="s">
        <v>197</v>
      </c>
      <c r="F34" s="16"/>
      <c r="G34" s="17" t="s">
        <v>198</v>
      </c>
      <c r="H34" s="18" t="s">
        <v>199</v>
      </c>
    </row>
    <row r="35" spans="1:9" ht="12.75" customHeight="1">
      <c r="A35" s="152" t="s">
        <v>61</v>
      </c>
      <c r="B35" s="19" t="s">
        <v>3</v>
      </c>
      <c r="C35" s="80">
        <v>1522.1364975195499</v>
      </c>
      <c r="D35" s="80">
        <v>1684.93698043927</v>
      </c>
      <c r="E35" s="81">
        <v>1801.5142984868201</v>
      </c>
      <c r="F35" s="22" t="s">
        <v>200</v>
      </c>
      <c r="G35" s="23">
        <v>18.354319827593628</v>
      </c>
      <c r="H35" s="24">
        <v>6.9187939608968492</v>
      </c>
    </row>
    <row r="36" spans="1:9" ht="12.75" customHeight="1">
      <c r="A36" s="153"/>
      <c r="B36" s="25" t="s">
        <v>200</v>
      </c>
      <c r="C36" s="82" t="s">
        <v>200</v>
      </c>
      <c r="D36" s="82" t="s">
        <v>200</v>
      </c>
      <c r="E36" s="82" t="s">
        <v>200</v>
      </c>
      <c r="F36" s="27"/>
      <c r="G36" s="28" t="s">
        <v>200</v>
      </c>
      <c r="H36" s="29" t="s">
        <v>200</v>
      </c>
    </row>
    <row r="37" spans="1:9">
      <c r="A37" s="30" t="s">
        <v>62</v>
      </c>
      <c r="B37" s="31" t="s">
        <v>3</v>
      </c>
      <c r="C37" s="80">
        <v>315.81642100250298</v>
      </c>
      <c r="D37" s="80">
        <v>325.12739390000098</v>
      </c>
      <c r="E37" s="83">
        <v>329.962690165955</v>
      </c>
      <c r="F37" s="22" t="s">
        <v>200</v>
      </c>
      <c r="G37" s="32">
        <v>4.47926967145888</v>
      </c>
      <c r="H37" s="33">
        <v>1.4872005117603919</v>
      </c>
    </row>
    <row r="38" spans="1:9">
      <c r="A38" s="34"/>
      <c r="B38" s="25" t="s">
        <v>200</v>
      </c>
      <c r="C38" s="82" t="s">
        <v>200</v>
      </c>
      <c r="D38" s="82" t="s">
        <v>200</v>
      </c>
      <c r="E38" s="82" t="s">
        <v>200</v>
      </c>
      <c r="F38" s="27"/>
      <c r="G38" s="35" t="s">
        <v>200</v>
      </c>
      <c r="H38" s="29" t="s">
        <v>200</v>
      </c>
    </row>
    <row r="39" spans="1:9">
      <c r="A39" s="30" t="s">
        <v>47</v>
      </c>
      <c r="B39" s="31" t="s">
        <v>3</v>
      </c>
      <c r="C39" s="80">
        <v>159.26507662943499</v>
      </c>
      <c r="D39" s="80">
        <v>156.13917776832099</v>
      </c>
      <c r="E39" s="83">
        <v>161.99595767031099</v>
      </c>
      <c r="F39" s="22" t="s">
        <v>200</v>
      </c>
      <c r="G39" s="37">
        <v>1.7146766250770753</v>
      </c>
      <c r="H39" s="33">
        <v>3.7509995797981475</v>
      </c>
    </row>
    <row r="40" spans="1:9">
      <c r="A40" s="34"/>
      <c r="B40" s="25" t="s">
        <v>200</v>
      </c>
      <c r="C40" s="82" t="s">
        <v>200</v>
      </c>
      <c r="D40" s="82" t="s">
        <v>200</v>
      </c>
      <c r="E40" s="82" t="s">
        <v>200</v>
      </c>
      <c r="F40" s="27"/>
      <c r="G40" s="28" t="s">
        <v>200</v>
      </c>
      <c r="H40" s="29" t="s">
        <v>200</v>
      </c>
    </row>
    <row r="41" spans="1:9">
      <c r="A41" s="30" t="s">
        <v>48</v>
      </c>
      <c r="B41" s="31" t="s">
        <v>3</v>
      </c>
      <c r="C41" s="80">
        <v>675.67575371707699</v>
      </c>
      <c r="D41" s="80">
        <v>742.96737256322001</v>
      </c>
      <c r="E41" s="83">
        <v>787.49019373077795</v>
      </c>
      <c r="F41" s="22" t="s">
        <v>200</v>
      </c>
      <c r="G41" s="23">
        <v>16.548535210650854</v>
      </c>
      <c r="H41" s="24">
        <v>5.9925674816587531</v>
      </c>
    </row>
    <row r="42" spans="1:9">
      <c r="A42" s="34"/>
      <c r="B42" s="25" t="s">
        <v>200</v>
      </c>
      <c r="C42" s="82" t="s">
        <v>200</v>
      </c>
      <c r="D42" s="82" t="s">
        <v>200</v>
      </c>
      <c r="E42" s="82" t="s">
        <v>200</v>
      </c>
      <c r="F42" s="27"/>
      <c r="G42" s="38" t="s">
        <v>200</v>
      </c>
      <c r="H42" s="24" t="s">
        <v>200</v>
      </c>
    </row>
    <row r="43" spans="1:9">
      <c r="A43" s="30" t="s">
        <v>49</v>
      </c>
      <c r="B43" s="31" t="s">
        <v>3</v>
      </c>
      <c r="C43" s="80">
        <v>254.61516366712601</v>
      </c>
      <c r="D43" s="80">
        <v>262.06058354049497</v>
      </c>
      <c r="E43" s="83">
        <v>290.17067962360102</v>
      </c>
      <c r="F43" s="22" t="s">
        <v>200</v>
      </c>
      <c r="G43" s="37">
        <v>13.964414155222471</v>
      </c>
      <c r="H43" s="33">
        <v>10.72656395072184</v>
      </c>
    </row>
    <row r="44" spans="1:9">
      <c r="A44" s="34"/>
      <c r="B44" s="25" t="s">
        <v>200</v>
      </c>
      <c r="C44" s="82" t="s">
        <v>200</v>
      </c>
      <c r="D44" s="82" t="s">
        <v>200</v>
      </c>
      <c r="E44" s="82" t="s">
        <v>200</v>
      </c>
      <c r="F44" s="27"/>
      <c r="G44" s="28" t="s">
        <v>200</v>
      </c>
      <c r="H44" s="29" t="s">
        <v>200</v>
      </c>
    </row>
    <row r="45" spans="1:9">
      <c r="A45" s="30" t="s">
        <v>50</v>
      </c>
      <c r="B45" s="31" t="s">
        <v>3</v>
      </c>
      <c r="C45" s="80">
        <v>110.62908250340899</v>
      </c>
      <c r="D45" s="80">
        <v>189.222452667233</v>
      </c>
      <c r="E45" s="83">
        <v>231.894777296173</v>
      </c>
      <c r="F45" s="22" t="s">
        <v>200</v>
      </c>
      <c r="G45" s="37">
        <v>109.61466193939305</v>
      </c>
      <c r="H45" s="33">
        <v>22.551406573290549</v>
      </c>
    </row>
    <row r="46" spans="1:9" ht="13.5" thickBot="1">
      <c r="A46" s="56"/>
      <c r="B46" s="42" t="s">
        <v>200</v>
      </c>
      <c r="C46" s="86" t="s">
        <v>200</v>
      </c>
      <c r="D46" s="86" t="s">
        <v>200</v>
      </c>
      <c r="E46" s="86" t="s">
        <v>200</v>
      </c>
      <c r="F46" s="44"/>
      <c r="G46" s="57" t="s">
        <v>200</v>
      </c>
      <c r="H46" s="46" t="s">
        <v>200</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201</v>
      </c>
      <c r="G61" s="53"/>
      <c r="H61" s="155">
        <v>21</v>
      </c>
    </row>
    <row r="62" spans="1:9" ht="12.75" customHeight="1">
      <c r="A62" s="54" t="s">
        <v>202</v>
      </c>
      <c r="G62" s="53"/>
      <c r="H62" s="146"/>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69"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156</v>
      </c>
      <c r="B4" s="5"/>
      <c r="C4" s="5"/>
      <c r="D4" s="5"/>
      <c r="E4" s="5"/>
      <c r="F4" s="5"/>
      <c r="G4" s="5"/>
      <c r="H4" s="6"/>
    </row>
    <row r="5" spans="1:8">
      <c r="A5" s="7"/>
      <c r="B5" s="8"/>
      <c r="C5" s="9"/>
      <c r="D5" s="8"/>
      <c r="E5" s="10"/>
      <c r="F5" s="11"/>
      <c r="G5" s="150" t="s">
        <v>1</v>
      </c>
      <c r="H5" s="151"/>
    </row>
    <row r="6" spans="1:8">
      <c r="A6" s="12"/>
      <c r="B6" s="13"/>
      <c r="C6" s="14" t="s">
        <v>195</v>
      </c>
      <c r="D6" s="15" t="s">
        <v>196</v>
      </c>
      <c r="E6" s="15" t="s">
        <v>197</v>
      </c>
      <c r="F6" s="16"/>
      <c r="G6" s="17" t="s">
        <v>198</v>
      </c>
      <c r="H6" s="18" t="s">
        <v>199</v>
      </c>
    </row>
    <row r="7" spans="1:8">
      <c r="A7" s="152" t="s">
        <v>51</v>
      </c>
      <c r="B7" s="19" t="s">
        <v>3</v>
      </c>
      <c r="C7" s="20">
        <v>9746.9906759906808</v>
      </c>
      <c r="D7" s="20">
        <v>8915</v>
      </c>
      <c r="E7" s="79">
        <v>9251</v>
      </c>
      <c r="F7" s="22" t="s">
        <v>200</v>
      </c>
      <c r="G7" s="23">
        <v>-5.0886544624735564</v>
      </c>
      <c r="H7" s="24">
        <v>3.7689287717330302</v>
      </c>
    </row>
    <row r="8" spans="1:8">
      <c r="A8" s="153"/>
      <c r="B8" s="25" t="s">
        <v>200</v>
      </c>
      <c r="C8" s="26" t="s">
        <v>200</v>
      </c>
      <c r="D8" s="26" t="s">
        <v>200</v>
      </c>
      <c r="E8" s="26" t="s">
        <v>200</v>
      </c>
      <c r="F8" s="27"/>
      <c r="G8" s="28" t="s">
        <v>200</v>
      </c>
      <c r="H8" s="29" t="s">
        <v>200</v>
      </c>
    </row>
    <row r="9" spans="1:8">
      <c r="A9" s="30" t="s">
        <v>12</v>
      </c>
      <c r="B9" s="31" t="s">
        <v>3</v>
      </c>
      <c r="C9" s="20">
        <v>251.83441558441601</v>
      </c>
      <c r="D9" s="20">
        <v>181</v>
      </c>
      <c r="E9" s="21">
        <v>190</v>
      </c>
      <c r="F9" s="22" t="s">
        <v>200</v>
      </c>
      <c r="G9" s="32">
        <v>-24.55360020627873</v>
      </c>
      <c r="H9" s="33">
        <v>4.9723756906077341</v>
      </c>
    </row>
    <row r="10" spans="1:8">
      <c r="A10" s="34"/>
      <c r="B10" s="25" t="s">
        <v>200</v>
      </c>
      <c r="C10" s="26" t="s">
        <v>200</v>
      </c>
      <c r="D10" s="26" t="s">
        <v>200</v>
      </c>
      <c r="E10" s="26" t="s">
        <v>200</v>
      </c>
      <c r="F10" s="27"/>
      <c r="G10" s="35" t="s">
        <v>200</v>
      </c>
      <c r="H10" s="29" t="s">
        <v>200</v>
      </c>
    </row>
    <row r="11" spans="1:8">
      <c r="A11" s="30" t="s">
        <v>18</v>
      </c>
      <c r="B11" s="31" t="s">
        <v>3</v>
      </c>
      <c r="C11" s="20">
        <v>263.073011363636</v>
      </c>
      <c r="D11" s="20">
        <v>265</v>
      </c>
      <c r="E11" s="21">
        <v>279</v>
      </c>
      <c r="F11" s="22" t="s">
        <v>200</v>
      </c>
      <c r="G11" s="37">
        <v>6.0542085080512891</v>
      </c>
      <c r="H11" s="33">
        <v>5.2830188679245254</v>
      </c>
    </row>
    <row r="12" spans="1:8">
      <c r="A12" s="34"/>
      <c r="B12" s="25" t="s">
        <v>200</v>
      </c>
      <c r="C12" s="26" t="s">
        <v>200</v>
      </c>
      <c r="D12" s="26" t="s">
        <v>200</v>
      </c>
      <c r="E12" s="26" t="s">
        <v>200</v>
      </c>
      <c r="F12" s="27"/>
      <c r="G12" s="28" t="s">
        <v>200</v>
      </c>
      <c r="H12" s="29" t="s">
        <v>200</v>
      </c>
    </row>
    <row r="13" spans="1:8">
      <c r="A13" s="30" t="s">
        <v>63</v>
      </c>
      <c r="B13" s="31" t="s">
        <v>3</v>
      </c>
      <c r="C13" s="20">
        <v>1737.8319559228701</v>
      </c>
      <c r="D13" s="20">
        <v>1499</v>
      </c>
      <c r="E13" s="21">
        <v>1425</v>
      </c>
      <c r="F13" s="22" t="s">
        <v>200</v>
      </c>
      <c r="G13" s="23">
        <v>-18.001277675708394</v>
      </c>
      <c r="H13" s="24">
        <v>-4.9366244162775104</v>
      </c>
    </row>
    <row r="14" spans="1:8">
      <c r="A14" s="34"/>
      <c r="B14" s="25" t="s">
        <v>200</v>
      </c>
      <c r="C14" s="26" t="s">
        <v>200</v>
      </c>
      <c r="D14" s="26" t="s">
        <v>200</v>
      </c>
      <c r="E14" s="26" t="s">
        <v>200</v>
      </c>
      <c r="F14" s="27"/>
      <c r="G14" s="38" t="s">
        <v>200</v>
      </c>
      <c r="H14" s="24" t="s">
        <v>200</v>
      </c>
    </row>
    <row r="15" spans="1:8">
      <c r="A15" s="30" t="s">
        <v>52</v>
      </c>
      <c r="B15" s="31" t="s">
        <v>3</v>
      </c>
      <c r="C15" s="20">
        <v>5045.67012987013</v>
      </c>
      <c r="D15" s="20">
        <v>4567</v>
      </c>
      <c r="E15" s="21">
        <v>4289</v>
      </c>
      <c r="F15" s="22" t="s">
        <v>200</v>
      </c>
      <c r="G15" s="37">
        <v>-14.996424863184743</v>
      </c>
      <c r="H15" s="33">
        <v>-6.0871469235822246</v>
      </c>
    </row>
    <row r="16" spans="1:8">
      <c r="A16" s="34"/>
      <c r="B16" s="25" t="s">
        <v>200</v>
      </c>
      <c r="C16" s="26" t="s">
        <v>200</v>
      </c>
      <c r="D16" s="26" t="s">
        <v>200</v>
      </c>
      <c r="E16" s="26" t="s">
        <v>200</v>
      </c>
      <c r="F16" s="27"/>
      <c r="G16" s="28" t="s">
        <v>200</v>
      </c>
      <c r="H16" s="29" t="s">
        <v>200</v>
      </c>
    </row>
    <row r="17" spans="1:9">
      <c r="A17" s="30" t="s">
        <v>50</v>
      </c>
      <c r="B17" s="31" t="s">
        <v>3</v>
      </c>
      <c r="C17" s="20">
        <v>3119.1681818181801</v>
      </c>
      <c r="D17" s="20">
        <v>3047</v>
      </c>
      <c r="E17" s="21">
        <v>3689</v>
      </c>
      <c r="F17" s="22" t="s">
        <v>200</v>
      </c>
      <c r="G17" s="37">
        <v>18.268710917975</v>
      </c>
      <c r="H17" s="33">
        <v>21.069904824417463</v>
      </c>
    </row>
    <row r="18" spans="1:9" ht="13.5" thickBot="1">
      <c r="A18" s="56"/>
      <c r="B18" s="42" t="s">
        <v>200</v>
      </c>
      <c r="C18" s="43" t="s">
        <v>200</v>
      </c>
      <c r="D18" s="43" t="s">
        <v>200</v>
      </c>
      <c r="E18" s="43" t="s">
        <v>200</v>
      </c>
      <c r="F18" s="44"/>
      <c r="G18" s="57" t="s">
        <v>200</v>
      </c>
      <c r="H18" s="46" t="s">
        <v>200</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70</v>
      </c>
      <c r="B32" s="5"/>
      <c r="C32" s="5"/>
      <c r="D32" s="5"/>
      <c r="E32" s="5"/>
      <c r="F32" s="5"/>
      <c r="G32" s="5"/>
      <c r="H32" s="6"/>
    </row>
    <row r="33" spans="1:9">
      <c r="A33" s="7"/>
      <c r="B33" s="8"/>
      <c r="C33" s="156" t="s">
        <v>16</v>
      </c>
      <c r="D33" s="150"/>
      <c r="E33" s="150"/>
      <c r="F33" s="157"/>
      <c r="G33" s="150" t="s">
        <v>1</v>
      </c>
      <c r="H33" s="151"/>
    </row>
    <row r="34" spans="1:9">
      <c r="A34" s="12"/>
      <c r="B34" s="13"/>
      <c r="C34" s="14" t="s">
        <v>195</v>
      </c>
      <c r="D34" s="15" t="s">
        <v>196</v>
      </c>
      <c r="E34" s="15" t="s">
        <v>197</v>
      </c>
      <c r="F34" s="16"/>
      <c r="G34" s="17" t="s">
        <v>198</v>
      </c>
      <c r="H34" s="18" t="s">
        <v>199</v>
      </c>
    </row>
    <row r="35" spans="1:9" ht="12.75" customHeight="1">
      <c r="A35" s="152" t="s">
        <v>51</v>
      </c>
      <c r="B35" s="19" t="s">
        <v>3</v>
      </c>
      <c r="C35" s="80">
        <v>443.46113981184601</v>
      </c>
      <c r="D35" s="80">
        <v>394.80414792680301</v>
      </c>
      <c r="E35" s="81">
        <v>404.534367515675</v>
      </c>
      <c r="F35" s="22" t="s">
        <v>200</v>
      </c>
      <c r="G35" s="23">
        <v>-8.777944401777134</v>
      </c>
      <c r="H35" s="24">
        <v>2.464568733628397</v>
      </c>
    </row>
    <row r="36" spans="1:9" ht="12.75" customHeight="1">
      <c r="A36" s="153"/>
      <c r="B36" s="25" t="s">
        <v>200</v>
      </c>
      <c r="C36" s="82" t="s">
        <v>200</v>
      </c>
      <c r="D36" s="82" t="s">
        <v>200</v>
      </c>
      <c r="E36" s="82" t="s">
        <v>200</v>
      </c>
      <c r="F36" s="27"/>
      <c r="G36" s="28" t="s">
        <v>200</v>
      </c>
      <c r="H36" s="29" t="s">
        <v>200</v>
      </c>
    </row>
    <row r="37" spans="1:9">
      <c r="A37" s="30" t="s">
        <v>12</v>
      </c>
      <c r="B37" s="31" t="s">
        <v>3</v>
      </c>
      <c r="C37" s="80">
        <v>2.45444077195907</v>
      </c>
      <c r="D37" s="80">
        <v>1.8544556363036</v>
      </c>
      <c r="E37" s="83">
        <v>2.0241663228742</v>
      </c>
      <c r="F37" s="22" t="s">
        <v>200</v>
      </c>
      <c r="G37" s="32">
        <v>-17.530447424137122</v>
      </c>
      <c r="H37" s="33">
        <v>9.1515096531980902</v>
      </c>
    </row>
    <row r="38" spans="1:9">
      <c r="A38" s="34"/>
      <c r="B38" s="25" t="s">
        <v>200</v>
      </c>
      <c r="C38" s="82" t="s">
        <v>200</v>
      </c>
      <c r="D38" s="82" t="s">
        <v>200</v>
      </c>
      <c r="E38" s="82" t="s">
        <v>200</v>
      </c>
      <c r="F38" s="27"/>
      <c r="G38" s="35" t="s">
        <v>200</v>
      </c>
      <c r="H38" s="29" t="s">
        <v>200</v>
      </c>
    </row>
    <row r="39" spans="1:9">
      <c r="A39" s="30" t="s">
        <v>18</v>
      </c>
      <c r="B39" s="31" t="s">
        <v>3</v>
      </c>
      <c r="C39" s="80">
        <v>44.467868687842703</v>
      </c>
      <c r="D39" s="80">
        <v>40.100149569710297</v>
      </c>
      <c r="E39" s="83">
        <v>31.099412505888399</v>
      </c>
      <c r="F39" s="22" t="s">
        <v>200</v>
      </c>
      <c r="G39" s="37">
        <v>-30.063181745450223</v>
      </c>
      <c r="H39" s="33">
        <v>-22.445644618294935</v>
      </c>
    </row>
    <row r="40" spans="1:9">
      <c r="A40" s="34"/>
      <c r="B40" s="25" t="s">
        <v>200</v>
      </c>
      <c r="C40" s="82" t="s">
        <v>200</v>
      </c>
      <c r="D40" s="82" t="s">
        <v>200</v>
      </c>
      <c r="E40" s="82" t="s">
        <v>200</v>
      </c>
      <c r="F40" s="27"/>
      <c r="G40" s="28" t="s">
        <v>200</v>
      </c>
      <c r="H40" s="29" t="s">
        <v>200</v>
      </c>
    </row>
    <row r="41" spans="1:9">
      <c r="A41" s="30" t="s">
        <v>63</v>
      </c>
      <c r="B41" s="31" t="s">
        <v>3</v>
      </c>
      <c r="C41" s="80">
        <v>82.703554729131994</v>
      </c>
      <c r="D41" s="80">
        <v>69.817991306111097</v>
      </c>
      <c r="E41" s="83">
        <v>61.685822127677099</v>
      </c>
      <c r="F41" s="22" t="s">
        <v>200</v>
      </c>
      <c r="G41" s="23">
        <v>-25.413336428272643</v>
      </c>
      <c r="H41" s="24">
        <v>-11.64766992905767</v>
      </c>
    </row>
    <row r="42" spans="1:9">
      <c r="A42" s="34"/>
      <c r="B42" s="25" t="s">
        <v>200</v>
      </c>
      <c r="C42" s="82" t="s">
        <v>200</v>
      </c>
      <c r="D42" s="82" t="s">
        <v>200</v>
      </c>
      <c r="E42" s="82" t="s">
        <v>200</v>
      </c>
      <c r="F42" s="27"/>
      <c r="G42" s="38" t="s">
        <v>200</v>
      </c>
      <c r="H42" s="24" t="s">
        <v>200</v>
      </c>
    </row>
    <row r="43" spans="1:9">
      <c r="A43" s="30" t="s">
        <v>52</v>
      </c>
      <c r="B43" s="31" t="s">
        <v>3</v>
      </c>
      <c r="C43" s="80">
        <v>231.68631336202799</v>
      </c>
      <c r="D43" s="80">
        <v>203.934184681294</v>
      </c>
      <c r="E43" s="83">
        <v>199.56325693002799</v>
      </c>
      <c r="F43" s="22" t="s">
        <v>200</v>
      </c>
      <c r="G43" s="37">
        <v>-13.864891700272864</v>
      </c>
      <c r="H43" s="33">
        <v>-2.1433031240431006</v>
      </c>
    </row>
    <row r="44" spans="1:9">
      <c r="A44" s="34"/>
      <c r="B44" s="25" t="s">
        <v>200</v>
      </c>
      <c r="C44" s="82" t="s">
        <v>200</v>
      </c>
      <c r="D44" s="82" t="s">
        <v>200</v>
      </c>
      <c r="E44" s="82" t="s">
        <v>200</v>
      </c>
      <c r="F44" s="27"/>
      <c r="G44" s="28" t="s">
        <v>200</v>
      </c>
      <c r="H44" s="29" t="s">
        <v>200</v>
      </c>
    </row>
    <row r="45" spans="1:9">
      <c r="A45" s="30" t="s">
        <v>50</v>
      </c>
      <c r="B45" s="31" t="s">
        <v>3</v>
      </c>
      <c r="C45" s="80">
        <v>82.148962260884602</v>
      </c>
      <c r="D45" s="80">
        <v>79.097366733383694</v>
      </c>
      <c r="E45" s="83">
        <v>110.161709629208</v>
      </c>
      <c r="F45" s="22" t="s">
        <v>200</v>
      </c>
      <c r="G45" s="37">
        <v>34.099940641199964</v>
      </c>
      <c r="H45" s="33">
        <v>39.273548764946867</v>
      </c>
    </row>
    <row r="46" spans="1:9" ht="13.5" thickBot="1">
      <c r="A46" s="56"/>
      <c r="B46" s="42" t="s">
        <v>200</v>
      </c>
      <c r="C46" s="86" t="s">
        <v>200</v>
      </c>
      <c r="D46" s="86" t="s">
        <v>200</v>
      </c>
      <c r="E46" s="86" t="s">
        <v>200</v>
      </c>
      <c r="F46" s="44"/>
      <c r="G46" s="57" t="s">
        <v>200</v>
      </c>
      <c r="H46" s="46" t="s">
        <v>200</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147">
        <v>22</v>
      </c>
      <c r="H61" s="53" t="s">
        <v>201</v>
      </c>
    </row>
    <row r="62" spans="1:9" ht="12.75" customHeight="1">
      <c r="A62" s="148"/>
      <c r="H62" s="53" t="s">
        <v>202</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72"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157</v>
      </c>
      <c r="B4" s="5"/>
      <c r="C4" s="5"/>
      <c r="D4" s="5"/>
      <c r="E4" s="5"/>
      <c r="F4" s="5"/>
      <c r="G4" s="5"/>
      <c r="H4" s="6"/>
    </row>
    <row r="5" spans="1:8">
      <c r="A5" s="7"/>
      <c r="B5" s="8"/>
      <c r="C5" s="9"/>
      <c r="D5" s="8"/>
      <c r="E5" s="10"/>
      <c r="F5" s="11"/>
      <c r="G5" s="150" t="s">
        <v>1</v>
      </c>
      <c r="H5" s="151"/>
    </row>
    <row r="6" spans="1:8">
      <c r="A6" s="12"/>
      <c r="B6" s="13"/>
      <c r="C6" s="14" t="s">
        <v>195</v>
      </c>
      <c r="D6" s="15" t="s">
        <v>196</v>
      </c>
      <c r="E6" s="15" t="s">
        <v>197</v>
      </c>
      <c r="F6" s="16"/>
      <c r="G6" s="17" t="s">
        <v>198</v>
      </c>
      <c r="H6" s="18" t="s">
        <v>199</v>
      </c>
    </row>
    <row r="7" spans="1:8" ht="12.75" customHeight="1">
      <c r="A7" s="152" t="s">
        <v>64</v>
      </c>
      <c r="B7" s="19" t="s">
        <v>3</v>
      </c>
      <c r="C7" s="20">
        <v>7847.1235164835198</v>
      </c>
      <c r="D7" s="20">
        <v>6707</v>
      </c>
      <c r="E7" s="79">
        <v>7206</v>
      </c>
      <c r="F7" s="22" t="s">
        <v>200</v>
      </c>
      <c r="G7" s="23">
        <v>-8.1701723585309765</v>
      </c>
      <c r="H7" s="24">
        <v>7.4399880721634162</v>
      </c>
    </row>
    <row r="8" spans="1:8" ht="12.75" customHeight="1">
      <c r="A8" s="153"/>
      <c r="B8" s="25" t="s">
        <v>200</v>
      </c>
      <c r="C8" s="26" t="s">
        <v>200</v>
      </c>
      <c r="D8" s="26" t="s">
        <v>200</v>
      </c>
      <c r="E8" s="26" t="s">
        <v>200</v>
      </c>
      <c r="F8" s="27"/>
      <c r="G8" s="28" t="s">
        <v>200</v>
      </c>
      <c r="H8" s="29" t="s">
        <v>200</v>
      </c>
    </row>
    <row r="9" spans="1:8">
      <c r="A9" s="30" t="s">
        <v>53</v>
      </c>
      <c r="B9" s="31" t="s">
        <v>3</v>
      </c>
      <c r="C9" s="20">
        <v>7.1235164835164802E-2</v>
      </c>
      <c r="D9" s="20">
        <v>3</v>
      </c>
      <c r="E9" s="21">
        <v>9</v>
      </c>
      <c r="F9" s="22" t="s">
        <v>200</v>
      </c>
      <c r="G9" s="32">
        <v>12534.209552017777</v>
      </c>
      <c r="H9" s="33">
        <v>200</v>
      </c>
    </row>
    <row r="10" spans="1:8">
      <c r="A10" s="34"/>
      <c r="B10" s="25" t="s">
        <v>200</v>
      </c>
      <c r="C10" s="26" t="s">
        <v>200</v>
      </c>
      <c r="D10" s="26" t="s">
        <v>200</v>
      </c>
      <c r="E10" s="26" t="s">
        <v>200</v>
      </c>
      <c r="F10" s="27"/>
      <c r="G10" s="35" t="s">
        <v>200</v>
      </c>
      <c r="H10" s="29" t="s">
        <v>200</v>
      </c>
    </row>
    <row r="11" spans="1:8">
      <c r="A11" s="30" t="s">
        <v>54</v>
      </c>
      <c r="B11" s="31" t="s">
        <v>3</v>
      </c>
      <c r="C11" s="20">
        <v>488.071235164835</v>
      </c>
      <c r="D11" s="20">
        <v>363</v>
      </c>
      <c r="E11" s="21">
        <v>640</v>
      </c>
      <c r="F11" s="22" t="s">
        <v>200</v>
      </c>
      <c r="G11" s="37">
        <v>31.128399686134856</v>
      </c>
      <c r="H11" s="33">
        <v>76.3085399449036</v>
      </c>
    </row>
    <row r="12" spans="1:8">
      <c r="A12" s="34"/>
      <c r="B12" s="25" t="s">
        <v>200</v>
      </c>
      <c r="C12" s="26" t="s">
        <v>200</v>
      </c>
      <c r="D12" s="26" t="s">
        <v>200</v>
      </c>
      <c r="E12" s="26" t="s">
        <v>200</v>
      </c>
      <c r="F12" s="27"/>
      <c r="G12" s="28" t="s">
        <v>200</v>
      </c>
      <c r="H12" s="29" t="s">
        <v>200</v>
      </c>
    </row>
    <row r="13" spans="1:8">
      <c r="A13" s="30" t="s">
        <v>66</v>
      </c>
      <c r="B13" s="31" t="s">
        <v>3</v>
      </c>
      <c r="C13" s="20">
        <v>49.142470329670303</v>
      </c>
      <c r="D13" s="20">
        <v>440</v>
      </c>
      <c r="E13" s="21">
        <v>102</v>
      </c>
      <c r="F13" s="22" t="s">
        <v>200</v>
      </c>
      <c r="G13" s="23">
        <v>107.55977327907425</v>
      </c>
      <c r="H13" s="24">
        <v>-76.818181818181813</v>
      </c>
    </row>
    <row r="14" spans="1:8">
      <c r="A14" s="34"/>
      <c r="B14" s="25" t="s">
        <v>200</v>
      </c>
      <c r="C14" s="26" t="s">
        <v>200</v>
      </c>
      <c r="D14" s="26" t="s">
        <v>200</v>
      </c>
      <c r="E14" s="26" t="s">
        <v>200</v>
      </c>
      <c r="F14" s="27"/>
      <c r="G14" s="38" t="s">
        <v>200</v>
      </c>
      <c r="H14" s="24" t="s">
        <v>200</v>
      </c>
    </row>
    <row r="15" spans="1:8">
      <c r="A15" s="30" t="s">
        <v>55</v>
      </c>
      <c r="B15" s="31" t="s">
        <v>3</v>
      </c>
      <c r="C15" s="20">
        <v>5675.4823999999999</v>
      </c>
      <c r="D15" s="20">
        <v>4775</v>
      </c>
      <c r="E15" s="21">
        <v>5307</v>
      </c>
      <c r="F15" s="22" t="s">
        <v>200</v>
      </c>
      <c r="G15" s="37">
        <v>-6.4925300446707439</v>
      </c>
      <c r="H15" s="33">
        <v>11.141361256544499</v>
      </c>
    </row>
    <row r="16" spans="1:8">
      <c r="A16" s="34"/>
      <c r="B16" s="25" t="s">
        <v>200</v>
      </c>
      <c r="C16" s="26" t="s">
        <v>200</v>
      </c>
      <c r="D16" s="26" t="s">
        <v>200</v>
      </c>
      <c r="E16" s="26" t="s">
        <v>200</v>
      </c>
      <c r="F16" s="27"/>
      <c r="G16" s="28" t="s">
        <v>200</v>
      </c>
      <c r="H16" s="29" t="s">
        <v>200</v>
      </c>
    </row>
    <row r="17" spans="1:9">
      <c r="A17" s="30" t="s">
        <v>67</v>
      </c>
      <c r="B17" s="31" t="s">
        <v>3</v>
      </c>
      <c r="C17" s="20">
        <v>1012.14247032967</v>
      </c>
      <c r="D17" s="20">
        <v>426</v>
      </c>
      <c r="E17" s="21">
        <v>547</v>
      </c>
      <c r="F17" s="22" t="s">
        <v>200</v>
      </c>
      <c r="G17" s="37">
        <v>-45.956224935227361</v>
      </c>
      <c r="H17" s="33">
        <v>28.403755868544607</v>
      </c>
    </row>
    <row r="18" spans="1:9">
      <c r="A18" s="30"/>
      <c r="B18" s="25" t="s">
        <v>200</v>
      </c>
      <c r="C18" s="26" t="s">
        <v>200</v>
      </c>
      <c r="D18" s="26" t="s">
        <v>200</v>
      </c>
      <c r="E18" s="26" t="s">
        <v>200</v>
      </c>
      <c r="F18" s="27"/>
      <c r="G18" s="28" t="s">
        <v>200</v>
      </c>
      <c r="H18" s="29" t="s">
        <v>200</v>
      </c>
    </row>
    <row r="19" spans="1:9">
      <c r="A19" s="39" t="s">
        <v>56</v>
      </c>
      <c r="B19" s="31" t="s">
        <v>3</v>
      </c>
      <c r="C19" s="20">
        <v>29.071235164835201</v>
      </c>
      <c r="D19" s="20">
        <v>15</v>
      </c>
      <c r="E19" s="21">
        <v>18</v>
      </c>
      <c r="F19" s="22" t="s">
        <v>200</v>
      </c>
      <c r="G19" s="23">
        <v>-38.083126162547977</v>
      </c>
      <c r="H19" s="24">
        <v>20</v>
      </c>
    </row>
    <row r="20" spans="1:9">
      <c r="A20" s="34"/>
      <c r="B20" s="25" t="s">
        <v>200</v>
      </c>
      <c r="C20" s="26" t="s">
        <v>200</v>
      </c>
      <c r="D20" s="26" t="s">
        <v>200</v>
      </c>
      <c r="E20" s="26" t="s">
        <v>200</v>
      </c>
      <c r="F20" s="27"/>
      <c r="G20" s="38" t="s">
        <v>200</v>
      </c>
      <c r="H20" s="24" t="s">
        <v>200</v>
      </c>
    </row>
    <row r="21" spans="1:9">
      <c r="A21" s="39" t="s">
        <v>68</v>
      </c>
      <c r="B21" s="31" t="s">
        <v>3</v>
      </c>
      <c r="C21" s="20">
        <v>89.071235164835201</v>
      </c>
      <c r="D21" s="20">
        <v>94</v>
      </c>
      <c r="E21" s="21">
        <v>54</v>
      </c>
      <c r="F21" s="22" t="s">
        <v>200</v>
      </c>
      <c r="G21" s="37">
        <v>-39.374367156728418</v>
      </c>
      <c r="H21" s="33">
        <v>-42.553191489361694</v>
      </c>
    </row>
    <row r="22" spans="1:9">
      <c r="A22" s="34"/>
      <c r="B22" s="25" t="s">
        <v>200</v>
      </c>
      <c r="C22" s="26" t="s">
        <v>200</v>
      </c>
      <c r="D22" s="26" t="s">
        <v>200</v>
      </c>
      <c r="E22" s="26" t="s">
        <v>200</v>
      </c>
      <c r="F22" s="27"/>
      <c r="G22" s="28" t="s">
        <v>200</v>
      </c>
      <c r="H22" s="29" t="s">
        <v>200</v>
      </c>
    </row>
    <row r="23" spans="1:9">
      <c r="A23" s="30" t="s">
        <v>69</v>
      </c>
      <c r="B23" s="31" t="s">
        <v>3</v>
      </c>
      <c r="C23" s="20">
        <v>528.071235164835</v>
      </c>
      <c r="D23" s="20">
        <v>605</v>
      </c>
      <c r="E23" s="21">
        <v>560</v>
      </c>
      <c r="F23" s="22" t="s">
        <v>200</v>
      </c>
      <c r="G23" s="23">
        <v>6.046298815196522</v>
      </c>
      <c r="H23" s="24">
        <v>-7.4380165289256155</v>
      </c>
    </row>
    <row r="24" spans="1:9" ht="13.5" thickBot="1">
      <c r="A24" s="56"/>
      <c r="B24" s="42" t="s">
        <v>200</v>
      </c>
      <c r="C24" s="43" t="s">
        <v>200</v>
      </c>
      <c r="D24" s="43" t="s">
        <v>200</v>
      </c>
      <c r="E24" s="43" t="s">
        <v>200</v>
      </c>
      <c r="F24" s="44"/>
      <c r="G24" s="57" t="s">
        <v>200</v>
      </c>
      <c r="H24" s="46" t="s">
        <v>200</v>
      </c>
    </row>
    <row r="25" spans="1:9">
      <c r="A25" s="58"/>
      <c r="B25" s="58"/>
      <c r="C25" s="64"/>
      <c r="D25" s="64"/>
      <c r="E25" s="21"/>
      <c r="F25" s="59"/>
      <c r="G25" s="38"/>
      <c r="H25" s="60"/>
      <c r="I25" s="61"/>
    </row>
    <row r="26" spans="1:9">
      <c r="A26" s="58"/>
      <c r="B26" s="58"/>
      <c r="C26" s="64"/>
      <c r="D26" s="64"/>
      <c r="E26" s="21"/>
      <c r="F26" s="59"/>
      <c r="G26" s="38"/>
      <c r="H26" s="60"/>
      <c r="I26" s="61"/>
    </row>
    <row r="27" spans="1:9">
      <c r="A27" s="58"/>
      <c r="B27" s="58"/>
      <c r="C27" s="64"/>
      <c r="D27" s="64"/>
      <c r="E27" s="21"/>
      <c r="F27" s="59"/>
      <c r="G27" s="38"/>
      <c r="H27" s="60"/>
      <c r="I27" s="61"/>
    </row>
    <row r="28" spans="1:9">
      <c r="A28" s="58"/>
      <c r="B28" s="58"/>
      <c r="C28" s="64"/>
      <c r="D28" s="64"/>
      <c r="E28" s="21"/>
      <c r="F28" s="59"/>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65</v>
      </c>
      <c r="B32" s="5"/>
      <c r="C32" s="5"/>
      <c r="D32" s="5"/>
      <c r="E32" s="5"/>
      <c r="F32" s="5"/>
      <c r="G32" s="5"/>
      <c r="H32" s="6"/>
    </row>
    <row r="33" spans="1:8">
      <c r="A33" s="7"/>
      <c r="B33" s="8"/>
      <c r="C33" s="156" t="s">
        <v>16</v>
      </c>
      <c r="D33" s="150"/>
      <c r="E33" s="150"/>
      <c r="F33" s="157"/>
      <c r="G33" s="150" t="s">
        <v>1</v>
      </c>
      <c r="H33" s="151"/>
    </row>
    <row r="34" spans="1:8">
      <c r="A34" s="12"/>
      <c r="B34" s="13"/>
      <c r="C34" s="14" t="s">
        <v>195</v>
      </c>
      <c r="D34" s="15" t="s">
        <v>196</v>
      </c>
      <c r="E34" s="15" t="s">
        <v>197</v>
      </c>
      <c r="F34" s="16"/>
      <c r="G34" s="17" t="s">
        <v>198</v>
      </c>
      <c r="H34" s="18" t="s">
        <v>199</v>
      </c>
    </row>
    <row r="35" spans="1:8" ht="12.75" customHeight="1">
      <c r="A35" s="152" t="s">
        <v>64</v>
      </c>
      <c r="B35" s="19" t="s">
        <v>3</v>
      </c>
      <c r="C35" s="80">
        <v>780.30053224084497</v>
      </c>
      <c r="D35" s="80">
        <v>924.24003950207202</v>
      </c>
      <c r="E35" s="81">
        <v>849.16776182496903</v>
      </c>
      <c r="F35" s="22" t="s">
        <v>200</v>
      </c>
      <c r="G35" s="23">
        <v>8.8257314635366271</v>
      </c>
      <c r="H35" s="24">
        <v>-8.1225952640558177</v>
      </c>
    </row>
    <row r="36" spans="1:8" ht="12.75" customHeight="1">
      <c r="A36" s="153"/>
      <c r="B36" s="25" t="s">
        <v>200</v>
      </c>
      <c r="C36" s="82" t="s">
        <v>200</v>
      </c>
      <c r="D36" s="82" t="s">
        <v>200</v>
      </c>
      <c r="E36" s="82" t="s">
        <v>200</v>
      </c>
      <c r="F36" s="27"/>
      <c r="G36" s="28" t="s">
        <v>200</v>
      </c>
      <c r="H36" s="29" t="s">
        <v>200</v>
      </c>
    </row>
    <row r="37" spans="1:8">
      <c r="A37" s="30" t="s">
        <v>53</v>
      </c>
      <c r="B37" s="31" t="s">
        <v>3</v>
      </c>
      <c r="C37" s="80">
        <v>1.99525234674124</v>
      </c>
      <c r="D37" s="80">
        <v>1.27704969538873</v>
      </c>
      <c r="E37" s="83">
        <v>0.86601121786198698</v>
      </c>
      <c r="F37" s="22" t="s">
        <v>200</v>
      </c>
      <c r="G37" s="32">
        <v>-56.59640650084156</v>
      </c>
      <c r="H37" s="33">
        <v>-32.186568699006202</v>
      </c>
    </row>
    <row r="38" spans="1:8">
      <c r="A38" s="34"/>
      <c r="B38" s="25" t="s">
        <v>200</v>
      </c>
      <c r="C38" s="82" t="s">
        <v>200</v>
      </c>
      <c r="D38" s="82" t="s">
        <v>200</v>
      </c>
      <c r="E38" s="82" t="s">
        <v>200</v>
      </c>
      <c r="F38" s="27"/>
      <c r="G38" s="35" t="s">
        <v>200</v>
      </c>
      <c r="H38" s="29" t="s">
        <v>200</v>
      </c>
    </row>
    <row r="39" spans="1:8">
      <c r="A39" s="30" t="s">
        <v>54</v>
      </c>
      <c r="B39" s="31" t="s">
        <v>3</v>
      </c>
      <c r="C39" s="80">
        <v>29.049704442313999</v>
      </c>
      <c r="D39" s="80">
        <v>27.506265535160999</v>
      </c>
      <c r="E39" s="83">
        <v>40.226443139946198</v>
      </c>
      <c r="F39" s="22" t="s">
        <v>200</v>
      </c>
      <c r="G39" s="37">
        <v>38.474534981333875</v>
      </c>
      <c r="H39" s="33">
        <v>46.244655016963719</v>
      </c>
    </row>
    <row r="40" spans="1:8">
      <c r="A40" s="34"/>
      <c r="B40" s="25" t="s">
        <v>200</v>
      </c>
      <c r="C40" s="82" t="s">
        <v>200</v>
      </c>
      <c r="D40" s="82" t="s">
        <v>200</v>
      </c>
      <c r="E40" s="82" t="s">
        <v>200</v>
      </c>
      <c r="F40" s="27"/>
      <c r="G40" s="28" t="s">
        <v>200</v>
      </c>
      <c r="H40" s="29" t="s">
        <v>200</v>
      </c>
    </row>
    <row r="41" spans="1:8">
      <c r="A41" s="30" t="s">
        <v>66</v>
      </c>
      <c r="B41" s="31" t="s">
        <v>3</v>
      </c>
      <c r="C41" s="80">
        <v>4.47451848539436</v>
      </c>
      <c r="D41" s="80">
        <v>71.695448421688596</v>
      </c>
      <c r="E41" s="83">
        <v>27.7097108265427</v>
      </c>
      <c r="F41" s="22" t="s">
        <v>200</v>
      </c>
      <c r="G41" s="23">
        <v>519.27805007381733</v>
      </c>
      <c r="H41" s="24">
        <v>-61.350808961311643</v>
      </c>
    </row>
    <row r="42" spans="1:8">
      <c r="A42" s="34"/>
      <c r="B42" s="25" t="s">
        <v>200</v>
      </c>
      <c r="C42" s="82" t="s">
        <v>200</v>
      </c>
      <c r="D42" s="82" t="s">
        <v>200</v>
      </c>
      <c r="E42" s="82" t="s">
        <v>200</v>
      </c>
      <c r="F42" s="27"/>
      <c r="G42" s="38" t="s">
        <v>200</v>
      </c>
      <c r="H42" s="24" t="s">
        <v>200</v>
      </c>
    </row>
    <row r="43" spans="1:8">
      <c r="A43" s="30" t="s">
        <v>55</v>
      </c>
      <c r="B43" s="31" t="s">
        <v>3</v>
      </c>
      <c r="C43" s="80">
        <v>530.41353758354705</v>
      </c>
      <c r="D43" s="80">
        <v>611.61889912668005</v>
      </c>
      <c r="E43" s="83">
        <v>569.07119653393295</v>
      </c>
      <c r="F43" s="22" t="s">
        <v>200</v>
      </c>
      <c r="G43" s="37">
        <v>7.2882112184583576</v>
      </c>
      <c r="H43" s="33">
        <v>-6.9565709387823347</v>
      </c>
    </row>
    <row r="44" spans="1:8">
      <c r="A44" s="34"/>
      <c r="B44" s="25" t="s">
        <v>200</v>
      </c>
      <c r="C44" s="82" t="s">
        <v>200</v>
      </c>
      <c r="D44" s="82" t="s">
        <v>200</v>
      </c>
      <c r="E44" s="82" t="s">
        <v>200</v>
      </c>
      <c r="F44" s="27"/>
      <c r="G44" s="28" t="s">
        <v>200</v>
      </c>
      <c r="H44" s="29" t="s">
        <v>200</v>
      </c>
    </row>
    <row r="45" spans="1:8">
      <c r="A45" s="30" t="s">
        <v>67</v>
      </c>
      <c r="B45" s="31" t="s">
        <v>3</v>
      </c>
      <c r="C45" s="80">
        <v>138.78201122418301</v>
      </c>
      <c r="D45" s="80">
        <v>95.738799072321598</v>
      </c>
      <c r="E45" s="83">
        <v>120.06349333380599</v>
      </c>
      <c r="F45" s="22" t="s">
        <v>200</v>
      </c>
      <c r="G45" s="37">
        <v>-13.487711934178463</v>
      </c>
      <c r="H45" s="33">
        <v>25.407352606448924</v>
      </c>
    </row>
    <row r="46" spans="1:8">
      <c r="A46" s="30"/>
      <c r="B46" s="25" t="s">
        <v>200</v>
      </c>
      <c r="C46" s="82" t="s">
        <v>200</v>
      </c>
      <c r="D46" s="82" t="s">
        <v>200</v>
      </c>
      <c r="E46" s="82" t="s">
        <v>200</v>
      </c>
      <c r="F46" s="27"/>
      <c r="G46" s="28" t="s">
        <v>200</v>
      </c>
      <c r="H46" s="29" t="s">
        <v>200</v>
      </c>
    </row>
    <row r="47" spans="1:8">
      <c r="A47" s="39" t="s">
        <v>56</v>
      </c>
      <c r="B47" s="31" t="s">
        <v>3</v>
      </c>
      <c r="C47" s="80">
        <v>7.47418121166268</v>
      </c>
      <c r="D47" s="80">
        <v>6.6453368072366104</v>
      </c>
      <c r="E47" s="83">
        <v>4.5817872323860698</v>
      </c>
      <c r="F47" s="22" t="s">
        <v>200</v>
      </c>
      <c r="G47" s="23">
        <v>-38.698472747266699</v>
      </c>
      <c r="H47" s="24">
        <v>-31.052595748094888</v>
      </c>
    </row>
    <row r="48" spans="1:8">
      <c r="A48" s="34"/>
      <c r="B48" s="25" t="s">
        <v>200</v>
      </c>
      <c r="C48" s="82" t="s">
        <v>200</v>
      </c>
      <c r="D48" s="82" t="s">
        <v>200</v>
      </c>
      <c r="E48" s="82" t="s">
        <v>200</v>
      </c>
      <c r="F48" s="27"/>
      <c r="G48" s="38" t="s">
        <v>200</v>
      </c>
      <c r="H48" s="24" t="s">
        <v>200</v>
      </c>
    </row>
    <row r="49" spans="1:9">
      <c r="A49" s="39" t="s">
        <v>68</v>
      </c>
      <c r="B49" s="31" t="s">
        <v>3</v>
      </c>
      <c r="C49" s="80">
        <v>6.1810382469384901</v>
      </c>
      <c r="D49" s="80">
        <v>5.9436803538543304</v>
      </c>
      <c r="E49" s="83">
        <v>7.0984550552735799</v>
      </c>
      <c r="F49" s="22" t="s">
        <v>200</v>
      </c>
      <c r="G49" s="37">
        <v>14.842438627353459</v>
      </c>
      <c r="H49" s="33">
        <v>19.42861379936771</v>
      </c>
    </row>
    <row r="50" spans="1:9">
      <c r="A50" s="34"/>
      <c r="B50" s="25" t="s">
        <v>200</v>
      </c>
      <c r="C50" s="82" t="s">
        <v>200</v>
      </c>
      <c r="D50" s="82" t="s">
        <v>200</v>
      </c>
      <c r="E50" s="82" t="s">
        <v>200</v>
      </c>
      <c r="F50" s="27"/>
      <c r="G50" s="28" t="s">
        <v>200</v>
      </c>
      <c r="H50" s="29" t="s">
        <v>200</v>
      </c>
    </row>
    <row r="51" spans="1:9">
      <c r="A51" s="30" t="s">
        <v>69</v>
      </c>
      <c r="B51" s="31" t="s">
        <v>3</v>
      </c>
      <c r="C51" s="80">
        <v>61.930288700064096</v>
      </c>
      <c r="D51" s="80">
        <v>103.81456048974199</v>
      </c>
      <c r="E51" s="83">
        <v>79.550664485219698</v>
      </c>
      <c r="F51" s="22" t="s">
        <v>200</v>
      </c>
      <c r="G51" s="23">
        <v>28.451951629828841</v>
      </c>
      <c r="H51" s="24">
        <v>-23.372343811945171</v>
      </c>
    </row>
    <row r="52" spans="1:9" ht="13.5" thickBot="1">
      <c r="A52" s="56"/>
      <c r="B52" s="42" t="s">
        <v>200</v>
      </c>
      <c r="C52" s="86" t="s">
        <v>200</v>
      </c>
      <c r="D52" s="86" t="s">
        <v>200</v>
      </c>
      <c r="E52" s="86" t="s">
        <v>200</v>
      </c>
      <c r="F52" s="44"/>
      <c r="G52" s="57" t="s">
        <v>200</v>
      </c>
      <c r="H52" s="46" t="s">
        <v>200</v>
      </c>
    </row>
    <row r="53" spans="1:9">
      <c r="A53" s="65"/>
      <c r="B53" s="62"/>
      <c r="C53" s="21"/>
      <c r="D53" s="21"/>
      <c r="E53" s="21"/>
      <c r="F53" s="63"/>
      <c r="G53" s="38"/>
      <c r="H53" s="60"/>
      <c r="I53" s="61"/>
    </row>
    <row r="54" spans="1:9">
      <c r="A54" s="65"/>
      <c r="B54" s="62"/>
      <c r="C54" s="21"/>
      <c r="D54" s="21"/>
      <c r="E54" s="21"/>
      <c r="F54" s="63"/>
      <c r="G54" s="38"/>
      <c r="H54" s="60"/>
      <c r="I54" s="61"/>
    </row>
    <row r="55" spans="1:9">
      <c r="A55" s="65"/>
      <c r="B55" s="62"/>
      <c r="C55" s="21"/>
      <c r="D55" s="21"/>
      <c r="E55" s="21"/>
      <c r="F55" s="63"/>
      <c r="G55" s="38"/>
      <c r="H55" s="60"/>
      <c r="I55" s="61"/>
    </row>
    <row r="56" spans="1:9">
      <c r="A56" s="65"/>
      <c r="B56" s="62"/>
      <c r="C56" s="21"/>
      <c r="D56" s="21"/>
      <c r="E56" s="21"/>
      <c r="F56" s="63"/>
      <c r="G56" s="38"/>
      <c r="H56" s="60"/>
      <c r="I56" s="61"/>
    </row>
    <row r="57" spans="1:9">
      <c r="A57" s="65"/>
      <c r="B57" s="62"/>
      <c r="C57" s="21"/>
      <c r="D57" s="21"/>
      <c r="E57" s="21"/>
      <c r="F57" s="63"/>
      <c r="G57" s="38"/>
      <c r="H57" s="60"/>
      <c r="I57" s="61"/>
    </row>
    <row r="58" spans="1:9">
      <c r="A58" s="65"/>
      <c r="B58" s="62"/>
      <c r="C58" s="21"/>
      <c r="D58" s="21"/>
      <c r="E58" s="21"/>
      <c r="F58" s="63"/>
      <c r="G58" s="38"/>
      <c r="H58" s="60"/>
      <c r="I58" s="61"/>
    </row>
    <row r="59" spans="1:9">
      <c r="A59" s="47"/>
      <c r="B59" s="48"/>
      <c r="C59" s="49"/>
      <c r="D59" s="49"/>
      <c r="E59" s="49"/>
      <c r="F59" s="49"/>
      <c r="G59" s="50"/>
      <c r="H59" s="51"/>
      <c r="I59" s="61"/>
    </row>
    <row r="60" spans="1:9">
      <c r="A60" s="52"/>
      <c r="B60" s="52"/>
      <c r="C60" s="52"/>
      <c r="D60" s="52"/>
      <c r="E60" s="52"/>
      <c r="F60" s="52"/>
      <c r="G60" s="52"/>
      <c r="H60" s="52"/>
    </row>
    <row r="61" spans="1:9" ht="12.75" customHeight="1">
      <c r="A61" s="54" t="s">
        <v>201</v>
      </c>
      <c r="G61" s="53"/>
      <c r="H61" s="155">
        <v>23</v>
      </c>
    </row>
    <row r="62" spans="1:9" ht="12.75" customHeight="1">
      <c r="A62" s="54" t="s">
        <v>202</v>
      </c>
      <c r="G62" s="53"/>
      <c r="H62" s="146"/>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2:N163"/>
  <sheetViews>
    <sheetView showGridLines="0" showRowColHeaders="0" tabSelected="1" topLeftCell="A3" zoomScaleNormal="100" workbookViewId="0"/>
  </sheetViews>
  <sheetFormatPr defaultColWidth="11.42578125" defaultRowHeight="12.75" customHeight="1"/>
  <cols>
    <col min="1" max="1" width="11.28515625" style="89" customWidth="1"/>
    <col min="2" max="2" width="27.140625" style="1" customWidth="1"/>
    <col min="3" max="5" width="10.7109375" style="1" customWidth="1"/>
    <col min="6" max="8" width="7.7109375" style="1" customWidth="1"/>
    <col min="9" max="16384" width="11.42578125" style="1"/>
  </cols>
  <sheetData>
    <row r="2" spans="1:8" ht="12.75" customHeight="1">
      <c r="B2" s="2"/>
      <c r="C2" s="2"/>
      <c r="D2" s="2"/>
      <c r="E2" s="2"/>
      <c r="F2" s="2"/>
      <c r="G2" s="2"/>
    </row>
    <row r="3" spans="1:8" ht="12.75" customHeight="1">
      <c r="A3" s="90"/>
      <c r="B3" s="2"/>
      <c r="C3" s="2"/>
      <c r="D3" s="2"/>
      <c r="E3" s="2"/>
      <c r="F3" s="2"/>
      <c r="G3" s="2"/>
    </row>
    <row r="4" spans="1:8" ht="12.75" customHeight="1">
      <c r="A4" s="90"/>
      <c r="C4" s="74"/>
      <c r="D4" s="74" t="s">
        <v>88</v>
      </c>
      <c r="E4" s="74"/>
      <c r="F4" s="74"/>
      <c r="G4" s="74"/>
      <c r="H4" s="74"/>
    </row>
    <row r="5" spans="1:8" ht="12.75" customHeight="1">
      <c r="A5" s="90"/>
      <c r="B5" s="75"/>
      <c r="C5" s="74"/>
      <c r="D5" s="74"/>
      <c r="E5" s="74"/>
      <c r="F5" s="74"/>
      <c r="G5" s="74"/>
      <c r="H5" s="74"/>
    </row>
    <row r="6" spans="1:8" ht="12.75" customHeight="1">
      <c r="A6" s="90"/>
      <c r="B6" s="73"/>
      <c r="C6" s="73"/>
      <c r="D6" s="73"/>
      <c r="E6" s="73"/>
      <c r="F6" s="73"/>
      <c r="G6" s="73"/>
      <c r="H6" s="73"/>
    </row>
    <row r="7" spans="1:8" ht="12.75" customHeight="1">
      <c r="A7" s="90"/>
      <c r="B7" s="73"/>
      <c r="C7" s="73"/>
      <c r="D7" s="73"/>
      <c r="E7" s="73"/>
      <c r="F7" s="73"/>
      <c r="G7" s="73"/>
      <c r="H7" s="73"/>
    </row>
    <row r="8" spans="1:8" ht="12.75" customHeight="1">
      <c r="A8" s="91" t="s">
        <v>114</v>
      </c>
      <c r="B8" s="73" t="s">
        <v>89</v>
      </c>
      <c r="C8" s="73"/>
      <c r="D8" s="73"/>
      <c r="E8" s="73"/>
      <c r="F8" s="73"/>
      <c r="G8" s="73"/>
      <c r="H8" s="76">
        <v>3</v>
      </c>
    </row>
    <row r="9" spans="1:8" ht="12.75" customHeight="1">
      <c r="B9" s="73"/>
      <c r="C9" s="73"/>
      <c r="D9" s="73"/>
      <c r="E9" s="73"/>
      <c r="F9" s="73"/>
      <c r="G9" s="73"/>
      <c r="H9" s="76"/>
    </row>
    <row r="10" spans="1:8" ht="12.75" customHeight="1">
      <c r="B10" s="73" t="s">
        <v>90</v>
      </c>
      <c r="C10" s="73"/>
      <c r="D10" s="73"/>
      <c r="E10" s="73"/>
      <c r="F10" s="73"/>
      <c r="G10" s="73"/>
      <c r="H10" s="76"/>
    </row>
    <row r="11" spans="1:8" ht="12.75" customHeight="1">
      <c r="A11" s="91" t="s">
        <v>115</v>
      </c>
      <c r="B11" s="73" t="str">
        <f>+'Tab2'!A6&amp;" ……………………………………………"</f>
        <v>Figur 1. Antall meldte skader etter bransjer  ……………………………………………</v>
      </c>
      <c r="C11" s="73"/>
      <c r="D11" s="73"/>
      <c r="E11" s="73"/>
      <c r="F11" s="73"/>
      <c r="G11" s="73"/>
      <c r="H11" s="76">
        <v>4</v>
      </c>
    </row>
    <row r="12" spans="1:8" ht="12.75" customHeight="1">
      <c r="B12" s="73" t="str">
        <f>+'Tab2'!A32&amp;" ……………………………"</f>
        <v>Figur 2. Antall meldte skader etter bransjer  ……………………………</v>
      </c>
      <c r="C12" s="73"/>
      <c r="D12" s="73"/>
      <c r="E12" s="73"/>
      <c r="F12" s="73"/>
      <c r="G12" s="73"/>
      <c r="H12" s="76">
        <v>4</v>
      </c>
    </row>
    <row r="13" spans="1:8" ht="12.75" customHeight="1">
      <c r="B13" s="73" t="str">
        <f>+'Tab2'!I6&amp;"  ………………………………………………………………………………………………….."</f>
        <v>Figur 3. Anslått erstatning etter bransje, pr.   …………………………………………………………………………………………………..</v>
      </c>
      <c r="C13" s="73"/>
      <c r="D13" s="73"/>
      <c r="E13" s="73"/>
      <c r="F13" s="73"/>
      <c r="G13" s="73"/>
      <c r="H13" s="76">
        <v>5</v>
      </c>
    </row>
    <row r="14" spans="1:8" ht="12.75" customHeight="1">
      <c r="B14" s="73" t="str">
        <f>+'Tab2'!I32&amp;"  ………………………………………………………………………………………………….."</f>
        <v>Figur 4. Vannskader pr. kvartal  …………………………………………………………………………………………………..</v>
      </c>
      <c r="C14" s="73"/>
      <c r="D14" s="73"/>
      <c r="E14" s="73"/>
      <c r="F14" s="73"/>
      <c r="G14" s="73"/>
      <c r="H14" s="76">
        <v>5</v>
      </c>
    </row>
    <row r="15" spans="1:8" ht="12.75" customHeight="1">
      <c r="B15" s="73" t="str">
        <f>+'Tab2'!P6&amp;" ……………………………"</f>
        <v>Figur 5. Antall meldte skader i motorvogn kvartalsvis (i 1000) ……………………………</v>
      </c>
      <c r="C15" s="73"/>
      <c r="D15" s="73"/>
      <c r="E15" s="73"/>
      <c r="F15" s="73"/>
      <c r="G15" s="73"/>
      <c r="H15" s="76">
        <v>6</v>
      </c>
    </row>
    <row r="16" spans="1:8" ht="12.75" customHeight="1">
      <c r="B16" s="73" t="str">
        <f>+'Tab2'!P32&amp;" ……………………………"</f>
        <v>Figur 6. Anslått erstatning etter skadetype, motorvogn  2013 ……………………………</v>
      </c>
      <c r="C16" s="73"/>
      <c r="D16" s="73"/>
      <c r="E16" s="73"/>
      <c r="F16" s="73"/>
      <c r="G16" s="73"/>
      <c r="H16" s="76">
        <v>6</v>
      </c>
    </row>
    <row r="17" spans="1:14" ht="12.75" customHeight="1">
      <c r="B17" s="73" t="str">
        <f>+'Tab2'!W6&amp;" ……………………………………………………………"</f>
        <v>Figur 7. Antall meldte skader i de Brann-kombinerte bransjer etter skadetype  ……………………………………………………………</v>
      </c>
      <c r="C17" s="73"/>
      <c r="D17" s="73"/>
      <c r="E17" s="73"/>
      <c r="F17" s="73"/>
      <c r="G17" s="73"/>
      <c r="H17" s="76">
        <v>7</v>
      </c>
    </row>
    <row r="18" spans="1:14" ht="12.75" customHeight="1">
      <c r="B18" s="73" t="str">
        <f>+'Tab2'!W32&amp;" ……………………………………………………………"</f>
        <v>Figur 8. Anslått erstatning i de Brann-kombinerte bransjer etter skadetype  ……………………………………………………………</v>
      </c>
      <c r="C18" s="73"/>
      <c r="D18" s="73"/>
      <c r="E18" s="73"/>
      <c r="F18" s="73"/>
      <c r="G18" s="73"/>
      <c r="H18" s="76">
        <v>7</v>
      </c>
    </row>
    <row r="19" spans="1:14" ht="12.75" customHeight="1">
      <c r="B19" s="73" t="str">
        <f>+'Tab2'!AD6&amp;"  ………………………………………………………………………………………………….."</f>
        <v>Figur 9. Brannskader pr. kvartal  …………………………………………………………………………………………………..</v>
      </c>
      <c r="C19" s="73"/>
      <c r="D19" s="73"/>
      <c r="E19" s="73"/>
      <c r="F19" s="73"/>
      <c r="G19" s="73"/>
      <c r="H19" s="76">
        <v>8</v>
      </c>
    </row>
    <row r="20" spans="1:14" ht="12.75" customHeight="1">
      <c r="B20" s="73" t="str">
        <f>+'Tab2'!AD32&amp;"  ………………………………………………………………………………………………….."</f>
        <v>Figur 10. Innbrudd, tyverier og ran pr. kvartal  …………………………………………………………………………………………………..</v>
      </c>
      <c r="C20" s="73"/>
      <c r="D20" s="73"/>
      <c r="E20" s="73"/>
      <c r="F20" s="73"/>
      <c r="G20" s="73"/>
      <c r="H20" s="76">
        <v>8</v>
      </c>
    </row>
    <row r="22" spans="1:14" ht="12.75" customHeight="1">
      <c r="B22" s="73" t="s">
        <v>91</v>
      </c>
      <c r="C22" s="73"/>
      <c r="D22" s="73"/>
      <c r="E22" s="73"/>
      <c r="F22" s="73"/>
      <c r="G22" s="73"/>
      <c r="H22" s="76"/>
    </row>
    <row r="23" spans="1:14" ht="12.75" customHeight="1">
      <c r="A23" s="91" t="s">
        <v>116</v>
      </c>
      <c r="B23" s="73" t="s">
        <v>132</v>
      </c>
      <c r="C23" s="73"/>
      <c r="D23" s="73"/>
      <c r="E23" s="73"/>
      <c r="F23" s="73"/>
      <c r="G23" s="73"/>
      <c r="H23" s="76">
        <v>9</v>
      </c>
    </row>
    <row r="24" spans="1:14" ht="12.75" customHeight="1">
      <c r="A24" s="91" t="s">
        <v>117</v>
      </c>
      <c r="B24" s="73" t="s">
        <v>93</v>
      </c>
      <c r="C24" s="73"/>
      <c r="D24" s="73"/>
      <c r="E24" s="73"/>
      <c r="F24" s="73"/>
      <c r="G24" s="73"/>
      <c r="H24" s="76">
        <f>+H23+1</f>
        <v>10</v>
      </c>
    </row>
    <row r="25" spans="1:14" ht="12.75" customHeight="1">
      <c r="B25" s="73"/>
      <c r="C25" s="73"/>
      <c r="D25" s="73"/>
      <c r="E25" s="73"/>
      <c r="F25" s="73"/>
      <c r="G25" s="73"/>
      <c r="H25" s="76"/>
    </row>
    <row r="26" spans="1:14" ht="12.75" customHeight="1">
      <c r="A26" s="91" t="s">
        <v>118</v>
      </c>
      <c r="B26" s="73" t="s">
        <v>133</v>
      </c>
      <c r="C26" s="73"/>
      <c r="D26" s="73"/>
      <c r="E26" s="73"/>
      <c r="F26" s="73"/>
      <c r="G26" s="73"/>
      <c r="H26" s="76">
        <f>+H24+1</f>
        <v>11</v>
      </c>
    </row>
    <row r="27" spans="1:14" ht="12.75" customHeight="1">
      <c r="B27" s="73" t="s">
        <v>94</v>
      </c>
      <c r="C27" s="73"/>
      <c r="D27" s="73"/>
      <c r="E27" s="73"/>
      <c r="F27" s="73"/>
      <c r="G27" s="73"/>
      <c r="H27" s="76">
        <f>+H26</f>
        <v>11</v>
      </c>
      <c r="N27" s="77"/>
    </row>
    <row r="28" spans="1:14" ht="12.75" customHeight="1">
      <c r="A28" s="91" t="s">
        <v>119</v>
      </c>
      <c r="B28" s="73" t="s">
        <v>134</v>
      </c>
      <c r="C28" s="73"/>
      <c r="D28" s="73"/>
      <c r="E28" s="73"/>
      <c r="F28" s="73"/>
      <c r="G28" s="73"/>
      <c r="H28" s="76">
        <f>+H26+1</f>
        <v>12</v>
      </c>
      <c r="N28" s="77"/>
    </row>
    <row r="29" spans="1:14" ht="12.75" customHeight="1">
      <c r="B29" s="73" t="s">
        <v>95</v>
      </c>
      <c r="C29" s="73"/>
      <c r="D29" s="73"/>
      <c r="E29" s="73"/>
      <c r="F29" s="73"/>
      <c r="G29" s="73"/>
      <c r="H29" s="76">
        <f>+H28</f>
        <v>12</v>
      </c>
      <c r="N29" s="77"/>
    </row>
    <row r="30" spans="1:14" ht="12.75" customHeight="1">
      <c r="B30" s="73"/>
      <c r="C30" s="73"/>
      <c r="D30" s="73"/>
      <c r="E30" s="73"/>
      <c r="F30" s="73"/>
      <c r="G30" s="73"/>
      <c r="H30" s="76"/>
      <c r="N30" s="77"/>
    </row>
    <row r="31" spans="1:14" ht="12.75" customHeight="1">
      <c r="A31" s="91" t="s">
        <v>120</v>
      </c>
      <c r="B31" s="73" t="s">
        <v>135</v>
      </c>
      <c r="C31" s="73"/>
      <c r="D31" s="73"/>
      <c r="E31" s="73"/>
      <c r="F31" s="73"/>
      <c r="G31" s="73"/>
      <c r="H31" s="76">
        <f>+H29+1</f>
        <v>13</v>
      </c>
      <c r="N31" s="77"/>
    </row>
    <row r="32" spans="1:14" ht="12.75" customHeight="1">
      <c r="B32" s="73" t="s">
        <v>96</v>
      </c>
      <c r="C32" s="73"/>
      <c r="D32" s="73"/>
      <c r="E32" s="73"/>
      <c r="F32" s="73"/>
      <c r="G32" s="73"/>
      <c r="H32" s="76">
        <f>+H31</f>
        <v>13</v>
      </c>
      <c r="N32" s="77"/>
    </row>
    <row r="33" spans="1:14" ht="12.75" customHeight="1">
      <c r="A33" s="91" t="s">
        <v>121</v>
      </c>
      <c r="B33" s="73" t="s">
        <v>136</v>
      </c>
      <c r="C33" s="73"/>
      <c r="D33" s="73"/>
      <c r="E33" s="73"/>
      <c r="F33" s="73"/>
      <c r="G33" s="73"/>
      <c r="H33" s="76">
        <f>+H31+1</f>
        <v>14</v>
      </c>
      <c r="N33" s="77"/>
    </row>
    <row r="34" spans="1:14" ht="12.75" customHeight="1">
      <c r="B34" s="73" t="s">
        <v>97</v>
      </c>
      <c r="C34" s="73"/>
      <c r="D34" s="73"/>
      <c r="E34" s="73"/>
      <c r="F34" s="73"/>
      <c r="G34" s="73"/>
      <c r="H34" s="76">
        <f>+H33</f>
        <v>14</v>
      </c>
      <c r="N34" s="77"/>
    </row>
    <row r="35" spans="1:14" ht="12.75" customHeight="1">
      <c r="A35" s="91" t="s">
        <v>122</v>
      </c>
      <c r="B35" s="73" t="s">
        <v>137</v>
      </c>
      <c r="C35" s="73"/>
      <c r="D35" s="73"/>
      <c r="E35" s="73"/>
      <c r="F35" s="73"/>
      <c r="G35" s="73"/>
      <c r="H35" s="76">
        <f>+H34+1</f>
        <v>15</v>
      </c>
      <c r="N35" s="77"/>
    </row>
    <row r="36" spans="1:14" ht="12.75" customHeight="1">
      <c r="B36" s="73" t="s">
        <v>100</v>
      </c>
      <c r="C36" s="73"/>
      <c r="D36" s="73"/>
      <c r="E36" s="73"/>
      <c r="F36" s="73"/>
      <c r="G36" s="73"/>
      <c r="H36" s="76">
        <f>+H35</f>
        <v>15</v>
      </c>
      <c r="N36" s="77"/>
    </row>
    <row r="37" spans="1:14" ht="12.75" customHeight="1">
      <c r="A37" s="91" t="s">
        <v>123</v>
      </c>
      <c r="B37" s="73" t="s">
        <v>138</v>
      </c>
      <c r="C37" s="73"/>
      <c r="D37" s="73"/>
      <c r="E37" s="73"/>
      <c r="F37" s="73"/>
      <c r="G37" s="73"/>
      <c r="H37" s="76">
        <f>+H36+1</f>
        <v>16</v>
      </c>
      <c r="N37" s="77"/>
    </row>
    <row r="38" spans="1:14" ht="12.75" customHeight="1">
      <c r="B38" s="73" t="s">
        <v>101</v>
      </c>
      <c r="C38" s="73"/>
      <c r="D38" s="73"/>
      <c r="E38" s="73"/>
      <c r="F38" s="73"/>
      <c r="G38" s="73"/>
      <c r="H38" s="76">
        <f>+H37</f>
        <v>16</v>
      </c>
      <c r="N38" s="77"/>
    </row>
    <row r="39" spans="1:14" ht="12.75" customHeight="1">
      <c r="B39" s="73"/>
      <c r="C39" s="73"/>
      <c r="D39" s="73"/>
      <c r="E39" s="73"/>
      <c r="F39" s="73"/>
      <c r="G39" s="73"/>
      <c r="H39" s="76"/>
      <c r="N39" s="77"/>
    </row>
    <row r="40" spans="1:14" ht="12.75" customHeight="1">
      <c r="A40" s="91" t="s">
        <v>124</v>
      </c>
      <c r="B40" s="73" t="s">
        <v>167</v>
      </c>
      <c r="C40" s="73"/>
      <c r="D40" s="73"/>
      <c r="E40" s="73"/>
      <c r="F40" s="73"/>
      <c r="G40" s="73"/>
      <c r="H40" s="76">
        <f>+H38+1</f>
        <v>17</v>
      </c>
      <c r="N40" s="77"/>
    </row>
    <row r="41" spans="1:14" ht="12.75" customHeight="1">
      <c r="B41" s="73" t="s">
        <v>168</v>
      </c>
      <c r="C41" s="73"/>
      <c r="D41" s="73"/>
      <c r="E41" s="73"/>
      <c r="F41" s="73"/>
      <c r="G41" s="73"/>
      <c r="H41" s="76">
        <f>+H40</f>
        <v>17</v>
      </c>
      <c r="N41" s="77"/>
    </row>
    <row r="42" spans="1:14" ht="12.75" customHeight="1">
      <c r="B42" s="73"/>
      <c r="C42" s="73"/>
      <c r="D42" s="73"/>
      <c r="E42" s="73"/>
      <c r="F42" s="73"/>
      <c r="G42" s="73"/>
      <c r="H42" s="76"/>
      <c r="N42" s="77"/>
    </row>
    <row r="43" spans="1:14" ht="12.75" customHeight="1">
      <c r="A43" s="91" t="s">
        <v>173</v>
      </c>
      <c r="B43" s="73" t="s">
        <v>139</v>
      </c>
      <c r="H43" s="76">
        <f>+H40+1</f>
        <v>18</v>
      </c>
      <c r="N43" s="77"/>
    </row>
    <row r="44" spans="1:14" ht="12.75" customHeight="1">
      <c r="B44" s="73" t="s">
        <v>104</v>
      </c>
      <c r="H44" s="76">
        <f>+H43</f>
        <v>18</v>
      </c>
      <c r="N44" s="77"/>
    </row>
    <row r="45" spans="1:14" ht="12.75" customHeight="1">
      <c r="A45" s="91" t="s">
        <v>125</v>
      </c>
      <c r="B45" s="73" t="s">
        <v>140</v>
      </c>
      <c r="H45" s="76">
        <f>+H43+1</f>
        <v>19</v>
      </c>
      <c r="N45" s="77"/>
    </row>
    <row r="46" spans="1:14" ht="12.75" customHeight="1">
      <c r="B46" s="73" t="s">
        <v>102</v>
      </c>
      <c r="H46" s="76">
        <f>+H45</f>
        <v>19</v>
      </c>
      <c r="N46" s="77"/>
    </row>
    <row r="47" spans="1:14" ht="12.75" customHeight="1">
      <c r="A47" s="91"/>
      <c r="B47" s="73"/>
      <c r="C47" s="73"/>
      <c r="D47" s="73"/>
      <c r="E47" s="73"/>
      <c r="F47" s="73"/>
      <c r="G47" s="73"/>
      <c r="H47" s="76"/>
      <c r="N47" s="77"/>
    </row>
    <row r="48" spans="1:14" ht="12.75" customHeight="1">
      <c r="A48" s="91"/>
      <c r="B48" s="73"/>
      <c r="C48" s="73"/>
      <c r="D48" s="73"/>
      <c r="E48" s="73"/>
      <c r="F48" s="73"/>
      <c r="G48" s="73"/>
      <c r="H48" s="76"/>
      <c r="N48" s="77"/>
    </row>
    <row r="49" spans="1:14" ht="12.75" customHeight="1">
      <c r="A49" s="91"/>
      <c r="B49" s="73"/>
      <c r="C49" s="73"/>
      <c r="D49" s="73"/>
      <c r="E49" s="73"/>
      <c r="F49" s="73"/>
      <c r="G49" s="73"/>
      <c r="H49" s="76"/>
      <c r="N49" s="77"/>
    </row>
    <row r="50" spans="1:14" ht="12.75" customHeight="1">
      <c r="A50" s="91"/>
      <c r="B50" s="73"/>
      <c r="C50" s="73"/>
      <c r="D50" s="73"/>
      <c r="E50" s="73"/>
      <c r="F50" s="73"/>
      <c r="G50" s="73"/>
      <c r="H50" s="76"/>
      <c r="N50" s="77"/>
    </row>
    <row r="51" spans="1:14" ht="12.75" customHeight="1">
      <c r="A51" s="91"/>
      <c r="B51" s="73"/>
      <c r="C51" s="73"/>
      <c r="D51" s="73"/>
      <c r="E51" s="73"/>
      <c r="F51" s="73"/>
      <c r="G51" s="73"/>
      <c r="H51" s="76"/>
      <c r="N51" s="77"/>
    </row>
    <row r="52" spans="1:14" ht="12.75" customHeight="1">
      <c r="A52" s="91"/>
      <c r="B52" s="73"/>
      <c r="C52" s="73"/>
      <c r="D52" s="73"/>
      <c r="E52" s="73"/>
      <c r="F52" s="73"/>
      <c r="G52" s="73"/>
      <c r="H52" s="76"/>
      <c r="N52" s="77"/>
    </row>
    <row r="53" spans="1:14" ht="12.75" customHeight="1">
      <c r="A53" s="91"/>
      <c r="B53" s="73"/>
      <c r="C53" s="73"/>
      <c r="D53" s="73"/>
      <c r="E53" s="73"/>
      <c r="F53" s="73"/>
      <c r="G53" s="73"/>
      <c r="H53" s="76"/>
      <c r="N53" s="77"/>
    </row>
    <row r="54" spans="1:14" ht="12.75" customHeight="1">
      <c r="A54" s="91"/>
      <c r="B54" s="73"/>
      <c r="C54" s="73"/>
      <c r="D54" s="73"/>
      <c r="E54" s="73"/>
      <c r="F54" s="73"/>
      <c r="G54" s="73"/>
      <c r="H54" s="76"/>
      <c r="N54" s="77"/>
    </row>
    <row r="55" spans="1:14" ht="12.75" customHeight="1">
      <c r="A55" s="91"/>
      <c r="B55" s="73"/>
      <c r="C55" s="73"/>
      <c r="D55" s="73"/>
      <c r="E55" s="73"/>
      <c r="F55" s="73"/>
      <c r="G55" s="73"/>
      <c r="H55" s="76"/>
      <c r="N55" s="77"/>
    </row>
    <row r="56" spans="1:14" ht="12.75" customHeight="1">
      <c r="A56" s="91"/>
      <c r="B56" s="73"/>
      <c r="C56" s="73"/>
      <c r="D56" s="73"/>
      <c r="E56" s="73"/>
      <c r="F56" s="73"/>
      <c r="G56" s="73"/>
      <c r="H56" s="76"/>
      <c r="N56" s="77"/>
    </row>
    <row r="57" spans="1:14" ht="12.75" customHeight="1">
      <c r="A57" s="91"/>
      <c r="B57" s="73"/>
      <c r="C57" s="73"/>
      <c r="D57" s="73"/>
      <c r="E57" s="73"/>
      <c r="F57" s="73"/>
      <c r="G57" s="73"/>
      <c r="H57" s="76"/>
      <c r="N57" s="77"/>
    </row>
    <row r="58" spans="1:14" ht="12.75" customHeight="1">
      <c r="B58" s="73"/>
      <c r="C58" s="73"/>
      <c r="D58" s="73"/>
      <c r="E58" s="73"/>
      <c r="F58" s="73"/>
      <c r="G58" s="73"/>
      <c r="H58" s="76"/>
      <c r="N58" s="77"/>
    </row>
    <row r="59" spans="1:14" ht="12.75" customHeight="1">
      <c r="B59" s="48"/>
      <c r="C59" s="49"/>
      <c r="D59" s="49"/>
      <c r="E59" s="98"/>
      <c r="F59" s="49"/>
      <c r="G59" s="50"/>
      <c r="H59" s="51"/>
      <c r="N59" s="77"/>
    </row>
    <row r="60" spans="1:14" ht="12.75" customHeight="1">
      <c r="B60" s="52"/>
      <c r="C60" s="52"/>
      <c r="D60" s="52"/>
      <c r="E60" s="52"/>
      <c r="F60" s="52"/>
      <c r="G60" s="52"/>
      <c r="H60" s="52"/>
      <c r="I60" s="77"/>
    </row>
    <row r="61" spans="1:14" ht="12.75" customHeight="1">
      <c r="B61" s="54" t="str">
        <f>+H123</f>
        <v>Finans Norge / Skadestatistikk</v>
      </c>
      <c r="H61" s="145">
        <v>1</v>
      </c>
      <c r="I61" s="77"/>
    </row>
    <row r="62" spans="1:14" ht="12.75" customHeight="1">
      <c r="B62" s="54" t="str">
        <f>+H124</f>
        <v>Skadestatistikk for landbasert forsikring 4.kvartal 2013</v>
      </c>
      <c r="H62" s="146"/>
      <c r="I62" s="77"/>
    </row>
    <row r="63" spans="1:14" ht="12.75" customHeight="1">
      <c r="I63" s="77"/>
    </row>
    <row r="64" spans="1:14" ht="12.75" customHeight="1">
      <c r="I64" s="77"/>
    </row>
    <row r="66" spans="1:13" ht="12.75" customHeight="1">
      <c r="A66" s="91" t="s">
        <v>126</v>
      </c>
      <c r="B66" s="73" t="s">
        <v>141</v>
      </c>
      <c r="H66" s="76">
        <f>+H46+1</f>
        <v>20</v>
      </c>
    </row>
    <row r="67" spans="1:13" ht="12.75" customHeight="1">
      <c r="B67" s="73" t="s">
        <v>103</v>
      </c>
      <c r="H67" s="76">
        <f>H66</f>
        <v>20</v>
      </c>
    </row>
    <row r="69" spans="1:13" ht="12.75" customHeight="1">
      <c r="A69" s="91" t="s">
        <v>127</v>
      </c>
      <c r="B69" s="73" t="s">
        <v>142</v>
      </c>
      <c r="C69" s="73"/>
      <c r="D69" s="73"/>
      <c r="E69" s="73"/>
      <c r="F69" s="73"/>
      <c r="G69" s="73"/>
      <c r="H69" s="76">
        <f>+H67+1</f>
        <v>21</v>
      </c>
    </row>
    <row r="70" spans="1:13" ht="12.75" customHeight="1">
      <c r="B70" s="73" t="s">
        <v>107</v>
      </c>
      <c r="C70" s="73"/>
      <c r="D70" s="73"/>
      <c r="E70" s="73"/>
      <c r="F70" s="73"/>
      <c r="G70" s="73"/>
      <c r="H70" s="76">
        <f>+H69</f>
        <v>21</v>
      </c>
      <c r="J70"/>
      <c r="K70"/>
      <c r="L70"/>
      <c r="M70"/>
    </row>
    <row r="71" spans="1:13" ht="12.75" customHeight="1">
      <c r="J71"/>
      <c r="K71" s="71"/>
      <c r="L71" s="72"/>
      <c r="M71" s="72"/>
    </row>
    <row r="72" spans="1:13" ht="12.75" customHeight="1">
      <c r="A72" s="91" t="s">
        <v>128</v>
      </c>
      <c r="B72" s="73" t="s">
        <v>143</v>
      </c>
      <c r="C72" s="73"/>
      <c r="D72" s="73"/>
      <c r="E72" s="73"/>
      <c r="F72" s="73"/>
      <c r="G72" s="73"/>
      <c r="H72" s="76">
        <f>+H70+1</f>
        <v>22</v>
      </c>
      <c r="J72"/>
      <c r="K72" s="70"/>
      <c r="L72"/>
      <c r="M72"/>
    </row>
    <row r="73" spans="1:13" ht="12.75" customHeight="1">
      <c r="B73" s="73" t="s">
        <v>105</v>
      </c>
      <c r="C73" s="73"/>
      <c r="D73" s="73"/>
      <c r="E73" s="73"/>
      <c r="F73" s="73"/>
      <c r="G73" s="73"/>
      <c r="H73" s="76">
        <f>+H72</f>
        <v>22</v>
      </c>
      <c r="J73"/>
      <c r="K73" s="69"/>
      <c r="L73" s="69"/>
      <c r="M73" s="69"/>
    </row>
    <row r="74" spans="1:13" ht="12.75" customHeight="1">
      <c r="B74" s="73"/>
      <c r="C74" s="73"/>
      <c r="D74" s="73"/>
      <c r="E74" s="73"/>
      <c r="F74" s="73"/>
      <c r="G74" s="73"/>
      <c r="H74" s="76"/>
      <c r="J74"/>
      <c r="K74" s="69"/>
      <c r="L74" s="69"/>
      <c r="M74" s="69"/>
    </row>
    <row r="75" spans="1:13" ht="12.75" customHeight="1">
      <c r="A75" s="91" t="s">
        <v>129</v>
      </c>
      <c r="B75" s="73" t="s">
        <v>144</v>
      </c>
      <c r="C75" s="73"/>
      <c r="D75" s="73"/>
      <c r="E75" s="73"/>
      <c r="F75" s="73"/>
      <c r="G75" s="73"/>
      <c r="H75" s="76">
        <f>+H73+1</f>
        <v>23</v>
      </c>
      <c r="J75"/>
      <c r="K75" s="69"/>
      <c r="L75" s="69"/>
      <c r="M75" s="69"/>
    </row>
    <row r="76" spans="1:13" ht="12.75" customHeight="1">
      <c r="B76" s="73" t="s">
        <v>106</v>
      </c>
      <c r="C76" s="73"/>
      <c r="D76" s="73"/>
      <c r="E76" s="73"/>
      <c r="F76" s="73"/>
      <c r="G76" s="73"/>
      <c r="H76" s="76">
        <f>+H75</f>
        <v>23</v>
      </c>
      <c r="J76"/>
      <c r="K76" s="69"/>
      <c r="L76" s="69"/>
      <c r="M76" s="69"/>
    </row>
    <row r="77" spans="1:13" ht="12.75" customHeight="1">
      <c r="B77"/>
      <c r="C77"/>
      <c r="D77"/>
      <c r="E77"/>
      <c r="F77"/>
      <c r="G77"/>
      <c r="I77"/>
      <c r="J77"/>
      <c r="K77"/>
      <c r="L77"/>
      <c r="M77"/>
    </row>
    <row r="78" spans="1:13" ht="12.75" customHeight="1">
      <c r="A78" s="91" t="s">
        <v>130</v>
      </c>
      <c r="B78" s="73" t="s">
        <v>92</v>
      </c>
      <c r="C78" s="73"/>
      <c r="D78" s="73"/>
      <c r="E78" s="73"/>
      <c r="F78" s="73"/>
      <c r="G78" s="73"/>
      <c r="H78" s="76">
        <f>+H76+1</f>
        <v>24</v>
      </c>
      <c r="I78"/>
      <c r="J78"/>
      <c r="K78"/>
      <c r="L78"/>
      <c r="M78"/>
    </row>
    <row r="79" spans="1:13" ht="12.75" customHeight="1">
      <c r="C79"/>
      <c r="D79"/>
      <c r="E79"/>
      <c r="F79"/>
      <c r="G79"/>
      <c r="I79" s="68"/>
      <c r="J79"/>
      <c r="K79"/>
      <c r="L79"/>
      <c r="M79"/>
    </row>
    <row r="80" spans="1:13" ht="12.75" customHeight="1">
      <c r="C80"/>
      <c r="D80"/>
      <c r="E80"/>
      <c r="F80"/>
      <c r="G80"/>
      <c r="I80" s="68"/>
      <c r="J80"/>
      <c r="K80"/>
      <c r="L80"/>
      <c r="M80"/>
    </row>
    <row r="81" spans="2:13" ht="12.75" customHeight="1">
      <c r="C81"/>
      <c r="D81"/>
      <c r="E81"/>
      <c r="F81"/>
      <c r="G81"/>
      <c r="I81" s="68"/>
      <c r="J81"/>
      <c r="K81"/>
      <c r="L81"/>
      <c r="M81"/>
    </row>
    <row r="82" spans="2:13" ht="12.75" customHeight="1">
      <c r="C82"/>
      <c r="D82"/>
      <c r="E82"/>
      <c r="F82"/>
      <c r="G82"/>
      <c r="I82" s="68"/>
      <c r="J82"/>
      <c r="K82"/>
      <c r="L82"/>
      <c r="M82"/>
    </row>
    <row r="83" spans="2:13" ht="12.75" customHeight="1">
      <c r="C83"/>
      <c r="D83"/>
      <c r="E83"/>
      <c r="F83"/>
      <c r="G83"/>
      <c r="I83" s="68"/>
      <c r="J83"/>
      <c r="K83"/>
      <c r="L83"/>
      <c r="M83"/>
    </row>
    <row r="84" spans="2:13" ht="12.75" customHeight="1">
      <c r="C84"/>
      <c r="D84"/>
      <c r="E84"/>
      <c r="F84"/>
      <c r="G84"/>
      <c r="I84" s="68"/>
      <c r="J84"/>
      <c r="K84"/>
      <c r="L84"/>
      <c r="M84"/>
    </row>
    <row r="85" spans="2:13" ht="12.75" customHeight="1">
      <c r="C85"/>
      <c r="D85"/>
      <c r="E85"/>
      <c r="F85"/>
      <c r="G85"/>
      <c r="I85" s="68"/>
      <c r="J85"/>
      <c r="K85"/>
      <c r="L85"/>
      <c r="M85"/>
    </row>
    <row r="86" spans="2:13" ht="12.75" customHeight="1">
      <c r="C86"/>
      <c r="D86"/>
      <c r="E86"/>
      <c r="F86"/>
      <c r="G86"/>
      <c r="I86" s="68"/>
      <c r="J86"/>
      <c r="K86"/>
      <c r="L86"/>
      <c r="M86"/>
    </row>
    <row r="87" spans="2:13" ht="12.75" customHeight="1">
      <c r="C87"/>
      <c r="D87"/>
      <c r="E87"/>
      <c r="F87"/>
      <c r="G87"/>
      <c r="I87" s="68"/>
      <c r="J87"/>
      <c r="K87"/>
      <c r="L87"/>
      <c r="M87"/>
    </row>
    <row r="88" spans="2:13" ht="12.75" customHeight="1">
      <c r="C88"/>
      <c r="D88"/>
      <c r="E88"/>
      <c r="F88"/>
      <c r="G88"/>
      <c r="I88" s="68"/>
      <c r="J88"/>
      <c r="K88"/>
      <c r="L88"/>
      <c r="M88"/>
    </row>
    <row r="89" spans="2:13" ht="12.75" customHeight="1">
      <c r="C89"/>
      <c r="D89"/>
      <c r="E89"/>
      <c r="F89"/>
      <c r="G89"/>
      <c r="I89"/>
      <c r="J89"/>
      <c r="K89"/>
      <c r="L89"/>
      <c r="M89"/>
    </row>
    <row r="90" spans="2:13" ht="12.75" customHeight="1">
      <c r="C90"/>
      <c r="D90"/>
      <c r="E90"/>
      <c r="F90"/>
      <c r="G90"/>
      <c r="I90"/>
      <c r="J90"/>
      <c r="K90"/>
      <c r="L90"/>
      <c r="M90"/>
    </row>
    <row r="91" spans="2:13" ht="12.75" customHeight="1">
      <c r="B91" s="88"/>
      <c r="C91"/>
      <c r="D91"/>
      <c r="E91"/>
      <c r="F91"/>
      <c r="G91"/>
      <c r="I91"/>
      <c r="J91"/>
      <c r="K91"/>
      <c r="L91"/>
      <c r="M91"/>
    </row>
    <row r="92" spans="2:13" ht="12.75" customHeight="1">
      <c r="C92"/>
      <c r="D92"/>
      <c r="E92"/>
      <c r="F92"/>
      <c r="G92"/>
      <c r="I92"/>
      <c r="J92"/>
      <c r="K92"/>
      <c r="L92"/>
      <c r="M92"/>
    </row>
    <row r="93" spans="2:13" ht="12.75" customHeight="1">
      <c r="C93"/>
      <c r="D93"/>
      <c r="E93"/>
      <c r="F93"/>
      <c r="G93"/>
      <c r="I93"/>
      <c r="J93"/>
      <c r="K93"/>
      <c r="L93"/>
      <c r="M93"/>
    </row>
    <row r="94" spans="2:13" ht="12.75" customHeight="1">
      <c r="B94"/>
      <c r="C94"/>
      <c r="D94"/>
      <c r="E94"/>
      <c r="F94"/>
      <c r="G94"/>
      <c r="I94"/>
      <c r="J94"/>
      <c r="K94"/>
      <c r="L94"/>
      <c r="M94"/>
    </row>
    <row r="95" spans="2:13" ht="12.75" customHeight="1">
      <c r="B95"/>
      <c r="C95"/>
      <c r="D95"/>
      <c r="E95"/>
      <c r="F95"/>
      <c r="G95"/>
      <c r="I95"/>
      <c r="J95"/>
      <c r="K95"/>
      <c r="L95"/>
      <c r="M95"/>
    </row>
    <row r="96" spans="2:13" ht="12.75" customHeight="1">
      <c r="C96"/>
      <c r="D96"/>
      <c r="E96"/>
      <c r="F96"/>
      <c r="G96"/>
      <c r="I96"/>
      <c r="J96"/>
      <c r="K96"/>
      <c r="L96"/>
      <c r="M96"/>
    </row>
    <row r="97" spans="2:13" ht="12.75" customHeight="1">
      <c r="C97"/>
      <c r="D97"/>
      <c r="E97"/>
      <c r="F97"/>
      <c r="G97"/>
      <c r="I97"/>
      <c r="J97"/>
      <c r="K97"/>
      <c r="L97"/>
      <c r="M97"/>
    </row>
    <row r="98" spans="2:13" ht="12.75" customHeight="1">
      <c r="B98"/>
      <c r="C98"/>
      <c r="D98"/>
      <c r="E98"/>
      <c r="F98"/>
      <c r="G98"/>
      <c r="I98"/>
      <c r="J98"/>
      <c r="K98"/>
      <c r="L98"/>
      <c r="M98"/>
    </row>
    <row r="99" spans="2:13" ht="12.75" customHeight="1">
      <c r="C99"/>
      <c r="D99"/>
      <c r="E99"/>
      <c r="F99"/>
      <c r="G99"/>
      <c r="I99"/>
      <c r="J99"/>
      <c r="K99"/>
      <c r="L99"/>
      <c r="M99"/>
    </row>
    <row r="100" spans="2:13" ht="12.75" customHeight="1">
      <c r="C100"/>
      <c r="D100"/>
      <c r="E100"/>
      <c r="F100"/>
      <c r="G100"/>
      <c r="I100"/>
      <c r="J100"/>
      <c r="K100"/>
      <c r="L100"/>
      <c r="M100"/>
    </row>
    <row r="101" spans="2:13" ht="12.75" customHeight="1">
      <c r="B101"/>
      <c r="C101"/>
      <c r="D101"/>
      <c r="E101"/>
      <c r="F101"/>
      <c r="G101"/>
      <c r="I101"/>
      <c r="J101"/>
      <c r="K101"/>
      <c r="L101"/>
      <c r="M101"/>
    </row>
    <row r="102" spans="2:13" ht="12.75" customHeight="1">
      <c r="B102"/>
      <c r="C102"/>
      <c r="D102"/>
      <c r="E102"/>
      <c r="F102"/>
      <c r="G102"/>
      <c r="I102"/>
      <c r="J102"/>
      <c r="K102"/>
      <c r="L102"/>
      <c r="M102"/>
    </row>
    <row r="103" spans="2:13" ht="12.75" customHeight="1">
      <c r="B103"/>
      <c r="C103"/>
      <c r="D103"/>
      <c r="E103"/>
      <c r="F103"/>
      <c r="G103"/>
      <c r="I103"/>
      <c r="J103"/>
      <c r="K103"/>
      <c r="L103"/>
      <c r="M103"/>
    </row>
    <row r="104" spans="2:13" ht="12.75" customHeight="1">
      <c r="B104"/>
      <c r="C104"/>
      <c r="D104"/>
      <c r="E104"/>
      <c r="F104"/>
      <c r="G104"/>
      <c r="I104"/>
      <c r="J104"/>
      <c r="K104"/>
      <c r="L104"/>
      <c r="M104"/>
    </row>
    <row r="105" spans="2:13" ht="12.75" customHeight="1">
      <c r="B105"/>
      <c r="C105"/>
      <c r="D105"/>
      <c r="E105"/>
      <c r="F105"/>
      <c r="G105"/>
      <c r="I105"/>
      <c r="J105"/>
      <c r="K105"/>
      <c r="L105"/>
      <c r="M105"/>
    </row>
    <row r="106" spans="2:13" ht="12.75" customHeight="1">
      <c r="B106"/>
      <c r="C106"/>
      <c r="D106"/>
      <c r="E106"/>
      <c r="F106"/>
      <c r="G106"/>
      <c r="I106"/>
      <c r="J106"/>
      <c r="K106"/>
      <c r="L106"/>
      <c r="M106"/>
    </row>
    <row r="107" spans="2:13" ht="12.75" customHeight="1">
      <c r="B107"/>
      <c r="C107"/>
      <c r="D107"/>
      <c r="E107"/>
      <c r="F107"/>
      <c r="G107"/>
      <c r="I107"/>
      <c r="J107"/>
      <c r="K107"/>
      <c r="L107"/>
      <c r="M107"/>
    </row>
    <row r="108" spans="2:13" ht="12.75" customHeight="1">
      <c r="B108"/>
      <c r="C108"/>
      <c r="D108"/>
      <c r="E108"/>
      <c r="F108"/>
      <c r="G108"/>
      <c r="I108"/>
      <c r="J108"/>
      <c r="K108"/>
      <c r="L108"/>
      <c r="M108"/>
    </row>
    <row r="109" spans="2:13" ht="12.75" customHeight="1">
      <c r="B109"/>
      <c r="C109"/>
      <c r="D109"/>
      <c r="E109"/>
      <c r="F109"/>
      <c r="G109"/>
      <c r="I109"/>
      <c r="J109"/>
      <c r="K109"/>
      <c r="L109"/>
      <c r="M109"/>
    </row>
    <row r="110" spans="2:13" ht="12.75" customHeight="1">
      <c r="B110"/>
      <c r="C110"/>
      <c r="D110"/>
      <c r="E110"/>
      <c r="F110"/>
      <c r="G110"/>
      <c r="I110"/>
      <c r="J110"/>
      <c r="K110"/>
      <c r="L110"/>
      <c r="M110"/>
    </row>
    <row r="111" spans="2:13" ht="12.75" customHeight="1">
      <c r="B111"/>
      <c r="C111"/>
      <c r="D111"/>
      <c r="E111"/>
      <c r="F111"/>
      <c r="G111"/>
      <c r="I111"/>
      <c r="J111"/>
      <c r="K111"/>
      <c r="L111"/>
      <c r="M111"/>
    </row>
    <row r="112" spans="2:13" ht="12.75" customHeight="1">
      <c r="B112"/>
      <c r="C112"/>
      <c r="D112"/>
      <c r="E112"/>
      <c r="F112"/>
      <c r="G112"/>
      <c r="I112"/>
      <c r="J112"/>
      <c r="K112"/>
      <c r="L112"/>
      <c r="M112"/>
    </row>
    <row r="113" spans="2:13" ht="12.75" customHeight="1">
      <c r="B113"/>
      <c r="C113"/>
      <c r="D113"/>
      <c r="E113"/>
      <c r="F113"/>
      <c r="G113"/>
      <c r="I113"/>
      <c r="J113"/>
      <c r="K113"/>
      <c r="L113"/>
      <c r="M113"/>
    </row>
    <row r="114" spans="2:13" ht="12.75" customHeight="1">
      <c r="B114"/>
      <c r="C114"/>
      <c r="D114"/>
      <c r="E114"/>
      <c r="F114"/>
      <c r="G114"/>
      <c r="I114"/>
      <c r="J114"/>
      <c r="K114"/>
      <c r="L114"/>
      <c r="M114"/>
    </row>
    <row r="115" spans="2:13" ht="12.75" customHeight="1">
      <c r="B115"/>
      <c r="C115"/>
      <c r="D115"/>
      <c r="E115"/>
      <c r="F115"/>
      <c r="G115"/>
      <c r="L115"/>
    </row>
    <row r="116" spans="2:13" ht="12.75" customHeight="1">
      <c r="B116"/>
      <c r="C116"/>
      <c r="D116"/>
      <c r="E116"/>
      <c r="F116"/>
      <c r="G116"/>
      <c r="L116"/>
    </row>
    <row r="117" spans="2:13" ht="12.75" customHeight="1">
      <c r="B117"/>
      <c r="C117"/>
      <c r="D117"/>
      <c r="E117"/>
      <c r="F117"/>
      <c r="G117"/>
      <c r="I117"/>
      <c r="J117"/>
      <c r="K117"/>
      <c r="L117"/>
    </row>
    <row r="118" spans="2:13" ht="12.75" customHeight="1">
      <c r="B118"/>
      <c r="C118"/>
      <c r="D118"/>
      <c r="E118"/>
      <c r="F118"/>
      <c r="G118"/>
      <c r="I118"/>
      <c r="J118"/>
      <c r="K118"/>
      <c r="L118"/>
    </row>
    <row r="119" spans="2:13" ht="12.75" customHeight="1">
      <c r="B119"/>
      <c r="C119"/>
      <c r="D119"/>
      <c r="E119"/>
      <c r="F119"/>
      <c r="G119"/>
      <c r="I119"/>
      <c r="J119"/>
      <c r="K119"/>
      <c r="L119"/>
    </row>
    <row r="120" spans="2:13" ht="12.75" customHeight="1">
      <c r="B120"/>
      <c r="C120"/>
      <c r="D120"/>
      <c r="E120"/>
      <c r="F120"/>
      <c r="G120"/>
      <c r="I120"/>
      <c r="J120"/>
      <c r="K120"/>
      <c r="L120"/>
    </row>
    <row r="121" spans="2:13" ht="12.75" customHeight="1">
      <c r="B121"/>
      <c r="C121"/>
      <c r="D121"/>
      <c r="E121"/>
      <c r="F121"/>
      <c r="G121"/>
      <c r="I121"/>
      <c r="J121"/>
      <c r="K121"/>
      <c r="L121"/>
    </row>
    <row r="122" spans="2:13" ht="12.75" customHeight="1">
      <c r="B122" s="52"/>
      <c r="C122" s="52"/>
      <c r="D122" s="52"/>
      <c r="E122" s="52"/>
      <c r="F122" s="52"/>
      <c r="G122" s="52"/>
      <c r="H122" s="52"/>
      <c r="I122"/>
      <c r="J122" s="69"/>
      <c r="K122" s="69"/>
      <c r="L122" s="69"/>
    </row>
    <row r="123" spans="2:13" ht="12.75" customHeight="1">
      <c r="B123" s="147">
        <v>2</v>
      </c>
      <c r="H123" s="53" t="str">
        <f>"Finans Norge / Skadestatistikk"</f>
        <v>Finans Norge / Skadestatistikk</v>
      </c>
      <c r="I123"/>
      <c r="J123" s="69"/>
      <c r="K123" s="69"/>
      <c r="L123" s="69"/>
    </row>
    <row r="124" spans="2:13" ht="12.75" customHeight="1">
      <c r="B124" s="148"/>
      <c r="H124" s="53" t="str">
        <f>"Skadestatistikk for landbasert forsikring 4.kvartal 2013"</f>
        <v>Skadestatistikk for landbasert forsikring 4.kvartal 2013</v>
      </c>
      <c r="I124"/>
      <c r="J124"/>
      <c r="K124"/>
      <c r="L124"/>
    </row>
    <row r="125" spans="2:13" ht="12.75" customHeight="1">
      <c r="B125" s="78"/>
      <c r="C125"/>
      <c r="D125"/>
      <c r="E125"/>
      <c r="F125"/>
      <c r="G125"/>
      <c r="I125"/>
      <c r="J125"/>
      <c r="K125"/>
      <c r="L125"/>
    </row>
    <row r="126" spans="2:13" ht="12.75" customHeight="1">
      <c r="B126"/>
      <c r="C126"/>
      <c r="D126"/>
      <c r="E126"/>
      <c r="F126"/>
      <c r="G126"/>
      <c r="I126"/>
      <c r="J126"/>
      <c r="K126"/>
      <c r="L126"/>
    </row>
    <row r="127" spans="2:13" ht="12.75" customHeight="1">
      <c r="B127"/>
      <c r="C127"/>
      <c r="D127"/>
      <c r="E127"/>
      <c r="F127"/>
      <c r="G127"/>
      <c r="L127"/>
    </row>
    <row r="128" spans="2:13" ht="12.75" customHeight="1">
      <c r="B128"/>
      <c r="C128"/>
      <c r="D128"/>
      <c r="E128"/>
      <c r="F128"/>
      <c r="G128"/>
      <c r="L128"/>
    </row>
    <row r="129" spans="2:12" ht="12.75" customHeight="1">
      <c r="B129"/>
      <c r="C129"/>
      <c r="D129"/>
      <c r="E129"/>
      <c r="F129"/>
      <c r="G129"/>
      <c r="I129" s="68"/>
      <c r="J129"/>
      <c r="K129"/>
      <c r="L129"/>
    </row>
    <row r="130" spans="2:12" ht="12.75" customHeight="1">
      <c r="B130"/>
      <c r="C130"/>
      <c r="D130"/>
      <c r="E130"/>
      <c r="F130"/>
      <c r="G130"/>
      <c r="I130"/>
      <c r="J130"/>
      <c r="K130"/>
      <c r="L130"/>
    </row>
    <row r="131" spans="2:12" ht="12.75" customHeight="1">
      <c r="B131"/>
      <c r="C131"/>
      <c r="D131"/>
      <c r="E131"/>
      <c r="F131"/>
      <c r="G131"/>
      <c r="I131"/>
      <c r="J131"/>
      <c r="K131"/>
      <c r="L131"/>
    </row>
    <row r="132" spans="2:12" ht="12.75" customHeight="1">
      <c r="B132"/>
      <c r="C132"/>
      <c r="D132"/>
      <c r="E132"/>
      <c r="F132"/>
      <c r="G132"/>
      <c r="I132"/>
      <c r="J132"/>
      <c r="K132" s="69"/>
      <c r="L132" s="69"/>
    </row>
    <row r="133" spans="2:12" ht="12.75" customHeight="1">
      <c r="B133"/>
      <c r="C133"/>
      <c r="D133"/>
      <c r="E133"/>
      <c r="F133"/>
      <c r="G133"/>
      <c r="I133"/>
      <c r="J133"/>
      <c r="K133" s="69"/>
      <c r="L133" s="69"/>
    </row>
    <row r="134" spans="2:12" ht="12.75" customHeight="1">
      <c r="B134"/>
      <c r="C134"/>
      <c r="D134"/>
      <c r="E134"/>
      <c r="F134"/>
      <c r="G134"/>
      <c r="I134"/>
      <c r="J134"/>
      <c r="K134" s="69"/>
      <c r="L134" s="69"/>
    </row>
    <row r="135" spans="2:12" ht="12.75" customHeight="1">
      <c r="B135"/>
      <c r="C135"/>
      <c r="D135"/>
      <c r="E135"/>
      <c r="F135"/>
      <c r="G135"/>
      <c r="I135"/>
      <c r="J135"/>
      <c r="K135"/>
      <c r="L135"/>
    </row>
    <row r="136" spans="2:12" ht="12.75" customHeight="1">
      <c r="B136"/>
      <c r="C136"/>
      <c r="D136"/>
      <c r="E136"/>
      <c r="F136"/>
      <c r="G136"/>
      <c r="I136"/>
      <c r="J136"/>
      <c r="K136"/>
      <c r="L136"/>
    </row>
    <row r="137" spans="2:12" ht="12.75" customHeight="1">
      <c r="B137"/>
      <c r="C137"/>
      <c r="D137"/>
      <c r="E137"/>
      <c r="F137"/>
      <c r="G137"/>
      <c r="I137"/>
      <c r="J137"/>
      <c r="K137"/>
      <c r="L137"/>
    </row>
    <row r="138" spans="2:12" ht="12.75" customHeight="1">
      <c r="B138"/>
      <c r="C138"/>
      <c r="D138"/>
      <c r="E138"/>
      <c r="F138"/>
      <c r="G138"/>
    </row>
    <row r="139" spans="2:12" ht="12.75" customHeight="1">
      <c r="B139"/>
      <c r="C139"/>
      <c r="D139"/>
      <c r="E139"/>
      <c r="F139"/>
      <c r="G139"/>
    </row>
    <row r="140" spans="2:12" ht="12.75" customHeight="1">
      <c r="B140"/>
      <c r="C140"/>
      <c r="D140"/>
      <c r="E140"/>
      <c r="F140"/>
      <c r="G140"/>
      <c r="I140" s="68"/>
      <c r="J140"/>
      <c r="K140"/>
      <c r="L140"/>
    </row>
    <row r="141" spans="2:12" ht="12.75" customHeight="1">
      <c r="B141"/>
      <c r="C141"/>
      <c r="D141"/>
      <c r="E141"/>
      <c r="F141"/>
      <c r="G141"/>
      <c r="I141"/>
      <c r="J141"/>
      <c r="K141"/>
      <c r="L141"/>
    </row>
    <row r="142" spans="2:12" ht="12.75" customHeight="1">
      <c r="B142"/>
      <c r="C142"/>
      <c r="D142"/>
      <c r="E142"/>
      <c r="F142"/>
      <c r="G142"/>
      <c r="I142"/>
      <c r="J142"/>
      <c r="K142"/>
      <c r="L142"/>
    </row>
    <row r="143" spans="2:12" ht="12.75" customHeight="1">
      <c r="B143"/>
      <c r="C143"/>
      <c r="D143"/>
      <c r="E143"/>
      <c r="F143"/>
      <c r="G143"/>
      <c r="I143"/>
      <c r="J143"/>
      <c r="K143" s="69"/>
      <c r="L143" s="69"/>
    </row>
    <row r="144" spans="2:12" ht="12.75" customHeight="1">
      <c r="B144"/>
      <c r="C144"/>
      <c r="D144"/>
      <c r="E144"/>
      <c r="F144"/>
      <c r="G144"/>
      <c r="I144"/>
      <c r="J144"/>
      <c r="K144" s="69"/>
      <c r="L144" s="69"/>
    </row>
    <row r="145" spans="2:12" ht="12.75" customHeight="1">
      <c r="B145"/>
      <c r="C145"/>
      <c r="D145"/>
      <c r="E145"/>
      <c r="F145"/>
      <c r="G145"/>
      <c r="I145"/>
      <c r="J145"/>
      <c r="K145" s="69"/>
      <c r="L145" s="69"/>
    </row>
    <row r="146" spans="2:12" ht="12.75" customHeight="1">
      <c r="B146"/>
      <c r="C146"/>
      <c r="D146"/>
      <c r="E146"/>
      <c r="F146"/>
      <c r="G146"/>
      <c r="I146"/>
      <c r="J146"/>
      <c r="K146"/>
      <c r="L146"/>
    </row>
    <row r="147" spans="2:12" ht="12.75" customHeight="1">
      <c r="B147"/>
      <c r="C147"/>
      <c r="D147"/>
      <c r="E147"/>
      <c r="F147"/>
      <c r="G147"/>
      <c r="H147"/>
      <c r="I147"/>
      <c r="J147"/>
      <c r="K147"/>
      <c r="L147"/>
    </row>
    <row r="148" spans="2:12" ht="12.75" customHeight="1">
      <c r="B148"/>
      <c r="C148"/>
      <c r="D148"/>
      <c r="E148"/>
      <c r="F148"/>
      <c r="G148"/>
      <c r="H148"/>
      <c r="I148"/>
      <c r="J148"/>
      <c r="K148"/>
      <c r="L148"/>
    </row>
    <row r="149" spans="2:12" ht="12.75" customHeight="1">
      <c r="B149"/>
      <c r="C149"/>
      <c r="D149"/>
      <c r="E149"/>
      <c r="F149"/>
      <c r="G149"/>
      <c r="H149"/>
      <c r="I149"/>
      <c r="J149" s="69"/>
      <c r="K149" s="69"/>
    </row>
    <row r="150" spans="2:12" ht="12.75" customHeight="1">
      <c r="B150"/>
      <c r="C150" s="69"/>
      <c r="D150" s="69"/>
      <c r="E150"/>
      <c r="F150"/>
      <c r="G150"/>
      <c r="H150"/>
      <c r="I150"/>
      <c r="J150" s="69"/>
      <c r="K150" s="69"/>
    </row>
    <row r="151" spans="2:12" ht="12.75" customHeight="1">
      <c r="B151"/>
      <c r="C151"/>
      <c r="D151"/>
      <c r="E151"/>
      <c r="G151"/>
      <c r="H151"/>
      <c r="I151"/>
      <c r="J151"/>
      <c r="K151"/>
    </row>
    <row r="152" spans="2:12" ht="12.75" customHeight="1">
      <c r="B152"/>
      <c r="C152"/>
      <c r="D152"/>
      <c r="E152"/>
      <c r="G152"/>
      <c r="H152"/>
      <c r="I152"/>
      <c r="J152"/>
      <c r="K152"/>
    </row>
    <row r="153" spans="2:12" ht="12.75" customHeight="1">
      <c r="B153"/>
      <c r="C153"/>
      <c r="D153"/>
      <c r="E153"/>
      <c r="G153"/>
      <c r="H153"/>
      <c r="I153"/>
      <c r="J153"/>
      <c r="K153"/>
    </row>
    <row r="154" spans="2:12" ht="12.75" customHeight="1">
      <c r="B154"/>
      <c r="C154" s="69"/>
      <c r="D154" s="69"/>
      <c r="E154"/>
      <c r="G154"/>
      <c r="H154"/>
      <c r="I154"/>
      <c r="J154"/>
      <c r="K154"/>
    </row>
    <row r="155" spans="2:12" ht="12.75" customHeight="1">
      <c r="B155"/>
      <c r="C155" s="69"/>
      <c r="D155" s="69"/>
      <c r="E155"/>
      <c r="G155"/>
      <c r="H155"/>
      <c r="I155"/>
      <c r="J155"/>
      <c r="K155"/>
    </row>
    <row r="156" spans="2:12" ht="12.75" customHeight="1">
      <c r="B156"/>
      <c r="C156" s="69"/>
      <c r="D156" s="69"/>
      <c r="E156"/>
      <c r="G156"/>
    </row>
    <row r="157" spans="2:12" ht="12.75" customHeight="1">
      <c r="B157"/>
      <c r="C157"/>
      <c r="D157"/>
      <c r="E157"/>
      <c r="G157"/>
    </row>
    <row r="158" spans="2:12" ht="12.75" customHeight="1">
      <c r="B158"/>
      <c r="C158" s="69"/>
      <c r="D158" s="69"/>
      <c r="E158"/>
      <c r="G158"/>
    </row>
    <row r="159" spans="2:12" ht="12.75" customHeight="1">
      <c r="B159"/>
      <c r="C159" s="69"/>
      <c r="D159" s="69"/>
      <c r="E159"/>
      <c r="G159"/>
    </row>
    <row r="160" spans="2:12" ht="12.75" customHeight="1">
      <c r="B160"/>
      <c r="C160" s="69"/>
      <c r="D160" s="69"/>
      <c r="E160"/>
      <c r="G160"/>
    </row>
    <row r="161" spans="2:7" ht="12.75" customHeight="1">
      <c r="B161"/>
      <c r="C161"/>
      <c r="D161"/>
      <c r="E161"/>
      <c r="G161"/>
    </row>
    <row r="162" spans="2:7" ht="12.75" customHeight="1">
      <c r="B162"/>
      <c r="C162" s="69"/>
      <c r="D162" s="69"/>
      <c r="E162"/>
      <c r="G162"/>
    </row>
    <row r="163" spans="2:7" ht="12.75" customHeight="1">
      <c r="B163"/>
      <c r="C163" s="69"/>
      <c r="D163" s="69"/>
      <c r="E163"/>
      <c r="G163"/>
    </row>
  </sheetData>
  <mergeCells count="2">
    <mergeCell ref="H61:H62"/>
    <mergeCell ref="B123:B124"/>
  </mergeCells>
  <phoneticPr fontId="0" type="noConversion"/>
  <hyperlinks>
    <hyperlink ref="A8" location="Tab1!A2" display="Tab1"/>
    <hyperlink ref="A11" location="Tab2!A2" display="Tab2"/>
    <hyperlink ref="A23" location="Tab3!A2" display="Tab3"/>
    <hyperlink ref="A24" location="Tab4!A2" display="Tab4"/>
    <hyperlink ref="A26" location="Tab5!A2" display="Tab5"/>
    <hyperlink ref="A28" location="Tab6!A2" display="Tab6"/>
    <hyperlink ref="A31" location="Tab7!A2" display="Tab7"/>
    <hyperlink ref="A33" location="Tab8!A2" display="Tab8"/>
    <hyperlink ref="A35" location="Tab9!A2" display="Tab9"/>
    <hyperlink ref="A37" location="Tab10!A2" display="Tab10"/>
    <hyperlink ref="A40" location="Tab11!A2" display="Tab11"/>
    <hyperlink ref="A43" location="'Tab12'!A2" display="Tab12"/>
    <hyperlink ref="A45" location="'Tab13'!A2" display="Tab13"/>
    <hyperlink ref="A69" location="'Tab15'!A2" display="Tab15"/>
    <hyperlink ref="A72" location="'Tab16'!A2" display="Tab16"/>
    <hyperlink ref="A75" location="'Tab17'!A2" display="Tab17"/>
    <hyperlink ref="A66" location="'Tab14'!A2" display="Tab14"/>
    <hyperlink ref="A78" location="'Tab18'!A2" display="Tab18"/>
  </hyperlinks>
  <pageMargins left="0.78740157480314965" right="0.78740157480314965" top="0.98425196850393704" bottom="0.19685039370078741" header="3.937007874015748E-2" footer="3.937007874015748E-2"/>
  <pageSetup paperSize="9" fitToWidth="0" fitToHeight="0"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dimension ref="A1:N138"/>
  <sheetViews>
    <sheetView showGridLines="0" showRowColHeaders="0" topLeftCell="A2" zoomScaleNormal="100" workbookViewId="0"/>
  </sheetViews>
  <sheetFormatPr defaultColWidth="11.42578125" defaultRowHeight="12.75"/>
  <cols>
    <col min="1" max="1" width="27.140625" style="1" customWidth="1"/>
    <col min="2" max="4" width="10.7109375" style="1" customWidth="1"/>
    <col min="5" max="6" width="7.7109375" style="1" customWidth="1"/>
    <col min="7" max="7" width="8.140625" style="1" customWidth="1"/>
    <col min="8" max="16384" width="11.42578125" style="1"/>
  </cols>
  <sheetData>
    <row r="1" spans="1:7" ht="5.25" customHeight="1"/>
    <row r="2" spans="1:7">
      <c r="A2" s="92" t="s">
        <v>0</v>
      </c>
      <c r="B2" s="2"/>
      <c r="C2" s="2"/>
      <c r="D2" s="2"/>
      <c r="E2" s="2"/>
      <c r="F2" s="2"/>
    </row>
    <row r="3" spans="1:7" ht="6" customHeight="1">
      <c r="A3" s="2"/>
      <c r="B3" s="2"/>
      <c r="C3" s="2"/>
      <c r="D3" s="2"/>
      <c r="E3" s="2"/>
      <c r="F3" s="2"/>
    </row>
    <row r="4" spans="1:7" ht="15.75" customHeight="1">
      <c r="A4" s="88" t="s">
        <v>109</v>
      </c>
      <c r="B4" s="74"/>
      <c r="C4" s="74"/>
      <c r="D4" s="74"/>
      <c r="E4" s="74"/>
      <c r="F4" s="74"/>
      <c r="G4" s="74"/>
    </row>
    <row r="5" spans="1:7" ht="15.75" customHeight="1">
      <c r="A5" s="75"/>
      <c r="B5" s="74"/>
      <c r="C5" s="74"/>
      <c r="D5" s="74"/>
      <c r="E5" s="74"/>
      <c r="F5" s="74"/>
      <c r="G5" s="74"/>
    </row>
    <row r="6" spans="1:7" ht="15.75" customHeight="1">
      <c r="A6" s="73"/>
      <c r="B6" s="73"/>
      <c r="C6" s="73"/>
      <c r="D6" s="73"/>
      <c r="E6" s="73"/>
      <c r="F6" s="73"/>
      <c r="G6" s="73"/>
    </row>
    <row r="7" spans="1:7" ht="15.75" customHeight="1">
      <c r="A7" s="73"/>
      <c r="B7" s="73"/>
      <c r="C7" s="73"/>
      <c r="D7" s="73"/>
      <c r="E7" s="73"/>
      <c r="F7" s="73"/>
      <c r="G7" s="73"/>
    </row>
    <row r="8" spans="1:7" ht="15.75" customHeight="1">
      <c r="A8" s="73"/>
      <c r="B8" s="73"/>
      <c r="C8" s="73"/>
      <c r="D8" s="73"/>
      <c r="E8" s="73"/>
      <c r="F8" s="73"/>
      <c r="G8" s="73"/>
    </row>
    <row r="9" spans="1:7" ht="15.75" customHeight="1">
      <c r="A9" s="73"/>
      <c r="B9" s="73"/>
      <c r="C9" s="73"/>
      <c r="D9" s="73"/>
      <c r="E9" s="73"/>
      <c r="F9" s="73"/>
      <c r="G9" s="73"/>
    </row>
    <row r="10" spans="1:7" ht="15.75" customHeight="1">
      <c r="A10" s="73"/>
      <c r="B10" s="73"/>
      <c r="C10" s="73"/>
      <c r="D10" s="73"/>
      <c r="E10" s="73"/>
      <c r="F10" s="73"/>
      <c r="G10" s="73"/>
    </row>
    <row r="11" spans="1:7" ht="15.75" customHeight="1">
      <c r="A11" s="73"/>
      <c r="B11" s="73"/>
      <c r="C11" s="73"/>
      <c r="D11" s="73"/>
      <c r="E11" s="73"/>
      <c r="F11" s="73"/>
      <c r="G11" s="73"/>
    </row>
    <row r="12" spans="1:7" ht="15.75" customHeight="1">
      <c r="A12" s="73"/>
      <c r="B12" s="73"/>
      <c r="C12" s="73"/>
      <c r="D12" s="73"/>
      <c r="E12" s="73"/>
      <c r="F12" s="73"/>
      <c r="G12" s="73"/>
    </row>
    <row r="13" spans="1:7" ht="15.75" customHeight="1">
      <c r="A13" s="73"/>
      <c r="B13" s="73"/>
      <c r="C13" s="73"/>
      <c r="D13" s="73"/>
      <c r="E13" s="73"/>
      <c r="F13" s="73"/>
      <c r="G13" s="73"/>
    </row>
    <row r="14" spans="1:7" ht="15.75" customHeight="1">
      <c r="A14" s="73"/>
      <c r="B14" s="73"/>
      <c r="C14" s="73"/>
      <c r="D14" s="73"/>
      <c r="E14" s="73"/>
      <c r="F14" s="73"/>
      <c r="G14" s="73"/>
    </row>
    <row r="15" spans="1:7" ht="15.75" customHeight="1">
      <c r="A15" s="73"/>
      <c r="B15" s="73"/>
      <c r="C15" s="73"/>
      <c r="D15" s="73"/>
      <c r="E15" s="73"/>
      <c r="F15" s="73"/>
      <c r="G15" s="73"/>
    </row>
    <row r="16" spans="1:7" ht="15.75" customHeight="1">
      <c r="A16" s="73"/>
      <c r="B16" s="73"/>
      <c r="C16" s="73"/>
      <c r="D16" s="73"/>
      <c r="E16" s="73"/>
      <c r="F16" s="73"/>
      <c r="G16" s="73"/>
    </row>
    <row r="17" spans="1:13" ht="15.75" customHeight="1">
      <c r="A17" s="73"/>
      <c r="B17" s="73"/>
      <c r="C17" s="73"/>
      <c r="D17" s="73"/>
      <c r="E17" s="73"/>
      <c r="F17" s="73"/>
      <c r="G17" s="73"/>
    </row>
    <row r="18" spans="1:13" ht="15.75" customHeight="1">
      <c r="A18" s="73"/>
      <c r="B18" s="73"/>
      <c r="C18" s="73"/>
      <c r="D18" s="73"/>
      <c r="E18" s="73"/>
      <c r="F18" s="73"/>
      <c r="G18" s="73"/>
    </row>
    <row r="19" spans="1:13" ht="15.75" customHeight="1">
      <c r="A19" s="73"/>
      <c r="B19" s="73"/>
      <c r="C19" s="73"/>
      <c r="D19" s="73"/>
      <c r="E19" s="73"/>
      <c r="F19" s="73"/>
      <c r="G19" s="73"/>
    </row>
    <row r="20" spans="1:13" ht="15.75" customHeight="1">
      <c r="A20" s="73"/>
      <c r="B20" s="73"/>
      <c r="C20" s="73"/>
      <c r="D20" s="73"/>
      <c r="E20" s="73"/>
      <c r="F20" s="73"/>
      <c r="G20" s="73"/>
    </row>
    <row r="21" spans="1:13" ht="15.75" customHeight="1">
      <c r="A21" s="73"/>
      <c r="B21" s="73"/>
      <c r="C21" s="73"/>
      <c r="D21" s="73"/>
      <c r="E21" s="73"/>
      <c r="F21" s="73"/>
      <c r="G21" s="73"/>
    </row>
    <row r="22" spans="1:13" ht="15.75" customHeight="1">
      <c r="A22" s="73"/>
      <c r="B22" s="73"/>
      <c r="C22" s="73"/>
      <c r="D22" s="73"/>
      <c r="E22" s="73"/>
      <c r="F22" s="73"/>
      <c r="G22" s="73"/>
    </row>
    <row r="23" spans="1:13" ht="15.75" customHeight="1">
      <c r="A23" s="73"/>
      <c r="B23" s="73"/>
      <c r="C23" s="73"/>
      <c r="D23" s="73"/>
      <c r="E23" s="73"/>
      <c r="F23" s="73"/>
      <c r="G23" s="73"/>
    </row>
    <row r="24" spans="1:13" ht="15.75" customHeight="1">
      <c r="A24" s="73"/>
      <c r="B24" s="73"/>
      <c r="C24" s="73"/>
      <c r="D24" s="73"/>
      <c r="E24" s="73"/>
      <c r="F24" s="73"/>
      <c r="G24" s="73"/>
    </row>
    <row r="25" spans="1:13" ht="15.75" customHeight="1">
      <c r="A25" s="73"/>
      <c r="B25" s="73"/>
      <c r="C25" s="73"/>
      <c r="D25" s="73"/>
      <c r="E25" s="73"/>
      <c r="F25" s="73"/>
      <c r="G25" s="73"/>
    </row>
    <row r="26" spans="1:13" ht="15.75" customHeight="1">
      <c r="A26" s="73"/>
      <c r="B26" s="73"/>
      <c r="C26" s="73"/>
      <c r="D26" s="73"/>
      <c r="E26" s="73"/>
      <c r="F26" s="73"/>
      <c r="G26" s="73"/>
    </row>
    <row r="27" spans="1:13" ht="15.75" customHeight="1">
      <c r="A27" s="73"/>
      <c r="B27" s="73"/>
      <c r="C27" s="73"/>
      <c r="D27" s="73"/>
      <c r="E27" s="73"/>
      <c r="F27" s="73"/>
      <c r="G27" s="73"/>
      <c r="M27" s="77"/>
    </row>
    <row r="28" spans="1:13" ht="15.75" customHeight="1">
      <c r="A28" s="73"/>
      <c r="B28" s="73"/>
      <c r="C28" s="73"/>
      <c r="D28" s="73"/>
      <c r="E28" s="73"/>
      <c r="F28" s="73"/>
      <c r="G28" s="73"/>
      <c r="M28" s="77"/>
    </row>
    <row r="29" spans="1:13" ht="15.75" customHeight="1">
      <c r="A29" s="73"/>
      <c r="B29" s="73"/>
      <c r="C29" s="73"/>
      <c r="D29" s="73"/>
      <c r="E29" s="73"/>
      <c r="F29" s="73"/>
      <c r="G29" s="73"/>
      <c r="M29" s="77"/>
    </row>
    <row r="30" spans="1:13" ht="15.75" customHeight="1">
      <c r="A30" s="73"/>
      <c r="B30" s="73"/>
      <c r="C30" s="73"/>
      <c r="D30" s="73"/>
      <c r="E30" s="73"/>
      <c r="F30" s="73"/>
      <c r="G30" s="73"/>
      <c r="M30" s="77"/>
    </row>
    <row r="31" spans="1:13" ht="15.75" customHeight="1">
      <c r="A31" s="73"/>
      <c r="B31" s="73"/>
      <c r="C31" s="73"/>
      <c r="D31" s="73"/>
      <c r="E31" s="73"/>
      <c r="F31" s="73"/>
      <c r="G31" s="73"/>
      <c r="M31" s="77"/>
    </row>
    <row r="32" spans="1:13" ht="15.75" customHeight="1">
      <c r="A32" s="73"/>
      <c r="B32" s="73"/>
      <c r="C32" s="73"/>
      <c r="D32" s="73"/>
      <c r="E32" s="73"/>
      <c r="F32" s="73"/>
      <c r="G32" s="73"/>
      <c r="M32" s="77"/>
    </row>
    <row r="33" spans="1:13" ht="15.75" customHeight="1">
      <c r="A33" s="73"/>
      <c r="B33" s="73"/>
      <c r="C33" s="73"/>
      <c r="D33" s="73"/>
      <c r="E33" s="73"/>
      <c r="F33" s="73"/>
      <c r="G33" s="73"/>
      <c r="M33" s="77"/>
    </row>
    <row r="34" spans="1:13" ht="15.75" customHeight="1">
      <c r="A34" s="73"/>
      <c r="B34" s="73"/>
      <c r="C34" s="73"/>
      <c r="D34" s="73"/>
      <c r="E34" s="73"/>
      <c r="F34" s="73"/>
      <c r="G34" s="73"/>
      <c r="M34" s="77"/>
    </row>
    <row r="35" spans="1:13" ht="15.75" customHeight="1">
      <c r="A35" s="73"/>
      <c r="B35" s="73"/>
      <c r="C35" s="73"/>
      <c r="D35" s="73"/>
      <c r="E35" s="73"/>
      <c r="F35" s="73"/>
      <c r="G35" s="73"/>
      <c r="M35" s="77"/>
    </row>
    <row r="36" spans="1:13" ht="15.75" customHeight="1">
      <c r="A36" s="73"/>
      <c r="B36" s="73"/>
      <c r="C36" s="73"/>
      <c r="D36" s="73"/>
      <c r="E36" s="73"/>
      <c r="F36" s="73"/>
      <c r="G36" s="73"/>
      <c r="M36" s="77"/>
    </row>
    <row r="37" spans="1:13" ht="15.75" customHeight="1">
      <c r="A37" s="73"/>
      <c r="B37" s="73"/>
      <c r="C37" s="73"/>
      <c r="D37" s="73"/>
      <c r="E37" s="73"/>
      <c r="F37" s="73"/>
      <c r="G37" s="73"/>
      <c r="M37" s="77"/>
    </row>
    <row r="38" spans="1:13" ht="15.75" customHeight="1">
      <c r="A38" s="73"/>
      <c r="B38" s="73"/>
      <c r="C38" s="73"/>
      <c r="D38" s="73"/>
      <c r="E38" s="73"/>
      <c r="F38" s="73"/>
      <c r="G38" s="73"/>
      <c r="M38" s="77"/>
    </row>
    <row r="39" spans="1:13" ht="15.75" customHeight="1">
      <c r="A39" s="73"/>
      <c r="B39" s="73"/>
      <c r="C39" s="73"/>
      <c r="D39" s="73"/>
      <c r="E39" s="73"/>
      <c r="F39" s="73"/>
      <c r="G39" s="73"/>
      <c r="M39" s="77"/>
    </row>
    <row r="40" spans="1:13" ht="15.75" customHeight="1">
      <c r="A40" s="73"/>
      <c r="B40" s="73"/>
      <c r="C40" s="73"/>
      <c r="D40" s="73"/>
      <c r="E40" s="73"/>
      <c r="F40" s="73"/>
      <c r="G40" s="73"/>
      <c r="M40" s="77"/>
    </row>
    <row r="41" spans="1:13" ht="15.75" customHeight="1">
      <c r="A41" s="73"/>
      <c r="B41" s="73"/>
      <c r="C41" s="73"/>
      <c r="D41" s="73"/>
      <c r="E41" s="73"/>
      <c r="F41" s="73"/>
      <c r="G41" s="73"/>
      <c r="M41" s="77"/>
    </row>
    <row r="42" spans="1:13" ht="15.75" customHeight="1">
      <c r="A42" s="73"/>
      <c r="B42" s="73"/>
      <c r="C42" s="73"/>
      <c r="D42" s="73"/>
      <c r="E42" s="73"/>
      <c r="F42" s="73"/>
      <c r="G42" s="73"/>
      <c r="M42" s="77"/>
    </row>
    <row r="43" spans="1:13" ht="15.75" customHeight="1">
      <c r="A43" s="73"/>
      <c r="B43" s="73"/>
      <c r="C43" s="73"/>
      <c r="D43" s="73"/>
      <c r="E43" s="73"/>
      <c r="F43" s="73"/>
      <c r="G43" s="73"/>
      <c r="M43" s="77"/>
    </row>
    <row r="44" spans="1:13" ht="15.75" customHeight="1">
      <c r="A44" s="73"/>
      <c r="B44" s="73"/>
      <c r="C44" s="73"/>
      <c r="D44" s="73"/>
      <c r="E44" s="73"/>
      <c r="F44" s="73"/>
      <c r="G44" s="73"/>
      <c r="M44" s="77"/>
    </row>
    <row r="45" spans="1:13" ht="15.75" customHeight="1">
      <c r="A45" s="73"/>
      <c r="B45" s="73"/>
      <c r="C45" s="73"/>
      <c r="D45" s="73"/>
      <c r="E45" s="73"/>
      <c r="F45" s="73"/>
      <c r="G45" s="73"/>
      <c r="M45" s="77"/>
    </row>
    <row r="46" spans="1:13" ht="15.75" customHeight="1">
      <c r="A46" s="73"/>
      <c r="B46" s="73"/>
      <c r="C46" s="73"/>
      <c r="D46" s="73"/>
      <c r="E46" s="73"/>
      <c r="F46" s="73"/>
      <c r="G46" s="73"/>
      <c r="M46" s="77"/>
    </row>
    <row r="47" spans="1:13" ht="15.75" customHeight="1">
      <c r="A47" s="73"/>
      <c r="B47" s="73"/>
      <c r="C47" s="73"/>
      <c r="D47" s="73"/>
      <c r="E47" s="73"/>
      <c r="F47" s="73"/>
      <c r="G47" s="73"/>
      <c r="M47" s="77"/>
    </row>
    <row r="48" spans="1:13" ht="15.75" customHeight="1">
      <c r="A48" s="73"/>
      <c r="B48" s="73"/>
      <c r="C48" s="73"/>
      <c r="D48" s="73"/>
      <c r="E48" s="73"/>
      <c r="F48" s="73"/>
      <c r="G48" s="73"/>
      <c r="M48" s="77"/>
    </row>
    <row r="49" spans="1:14" ht="15.75" customHeight="1">
      <c r="A49" s="73"/>
      <c r="B49" s="73"/>
      <c r="C49" s="73"/>
      <c r="D49" s="73"/>
      <c r="E49" s="96"/>
      <c r="F49" s="73"/>
      <c r="G49" s="73"/>
      <c r="M49" s="77"/>
    </row>
    <row r="50" spans="1:14" ht="15.75" customHeight="1">
      <c r="A50" s="73"/>
      <c r="B50" s="73"/>
      <c r="C50" s="73"/>
      <c r="D50" s="73"/>
      <c r="E50" s="73"/>
      <c r="F50" s="73"/>
      <c r="G50" s="73"/>
      <c r="M50" s="77"/>
    </row>
    <row r="51" spans="1:14" ht="12.75" customHeight="1">
      <c r="A51" s="52"/>
      <c r="B51" s="52"/>
      <c r="C51" s="52"/>
      <c r="D51" s="52"/>
      <c r="E51" s="52"/>
      <c r="F51" s="52"/>
      <c r="G51" s="52"/>
      <c r="H51" s="52"/>
      <c r="I51" s="52"/>
      <c r="J51" s="52"/>
      <c r="K51" s="52"/>
      <c r="L51" s="52"/>
      <c r="M51" s="52"/>
      <c r="N51" s="52"/>
    </row>
    <row r="52" spans="1:14" ht="12.75" customHeight="1">
      <c r="A52" s="54" t="str">
        <f>+Innhold!H123</f>
        <v>Finans Norge / Skadestatistikk</v>
      </c>
      <c r="G52" s="145">
        <v>24</v>
      </c>
      <c r="H52" s="147">
        <v>25</v>
      </c>
      <c r="N52" s="53" t="str">
        <f>+Innhold!H123</f>
        <v>Finans Norge / Skadestatistikk</v>
      </c>
    </row>
    <row r="53" spans="1:14" ht="12.75" customHeight="1">
      <c r="A53" s="54" t="str">
        <f>+Innhold!H124</f>
        <v>Skadestatistikk for landbasert forsikring 4.kvartal 2013</v>
      </c>
      <c r="G53" s="146"/>
      <c r="H53" s="148"/>
      <c r="N53" s="53" t="str">
        <f>+Innhold!H124</f>
        <v>Skadestatistikk for landbasert forsikring 4.kvartal 2013</v>
      </c>
    </row>
    <row r="54" spans="1:14" ht="15.75" customHeight="1"/>
    <row r="55" spans="1:14" ht="15.75" customHeight="1"/>
    <row r="56" spans="1:14" ht="15.75" customHeight="1"/>
    <row r="57" spans="1:14" ht="15.75" customHeight="1"/>
    <row r="58" spans="1:14" ht="15.75" customHeight="1"/>
    <row r="59" spans="1:14" ht="15.75" customHeight="1"/>
    <row r="60" spans="1:14" ht="15.75" customHeight="1">
      <c r="J60"/>
      <c r="K60"/>
      <c r="L60"/>
    </row>
    <row r="61" spans="1:14" ht="15.75" customHeight="1">
      <c r="J61" s="71"/>
      <c r="K61" s="72"/>
      <c r="L61" s="72"/>
    </row>
    <row r="62" spans="1:14" ht="15.75" customHeight="1">
      <c r="J62" s="70"/>
      <c r="K62"/>
      <c r="L62"/>
    </row>
    <row r="63" spans="1:14" ht="15.75" customHeight="1">
      <c r="J63" s="69"/>
      <c r="K63" s="69"/>
      <c r="L63" s="69"/>
    </row>
    <row r="64" spans="1:14" ht="15.75" customHeight="1">
      <c r="J64" s="69"/>
      <c r="K64" s="69"/>
      <c r="L64" s="69"/>
    </row>
    <row r="65" spans="1:12" ht="15.75" customHeight="1">
      <c r="J65" s="69"/>
      <c r="K65" s="69"/>
      <c r="L65" s="69"/>
    </row>
    <row r="66" spans="1:12" ht="15.75" customHeight="1">
      <c r="J66" s="69"/>
      <c r="K66" s="69"/>
      <c r="L66" s="69"/>
    </row>
    <row r="67" spans="1:12" ht="15.75" customHeight="1">
      <c r="J67" s="69"/>
      <c r="K67" s="69"/>
      <c r="L67" s="69"/>
    </row>
    <row r="68" spans="1:12" ht="15.75" customHeight="1">
      <c r="J68" s="69"/>
      <c r="K68" s="69"/>
      <c r="L68" s="69"/>
    </row>
    <row r="69" spans="1:12" ht="15.75" customHeight="1">
      <c r="J69" s="69"/>
      <c r="K69" s="69"/>
      <c r="L69" s="69"/>
    </row>
    <row r="70" spans="1:12" ht="15.75" customHeight="1">
      <c r="J70"/>
      <c r="K70"/>
      <c r="L70"/>
    </row>
    <row r="71" spans="1:12">
      <c r="J71"/>
      <c r="K71"/>
      <c r="L71"/>
    </row>
    <row r="72" spans="1:12">
      <c r="J72"/>
      <c r="K72"/>
      <c r="L72"/>
    </row>
    <row r="73" spans="1:12">
      <c r="A73"/>
      <c r="B73"/>
      <c r="C73"/>
      <c r="D73"/>
      <c r="E73"/>
      <c r="F73"/>
      <c r="H73"/>
      <c r="I73"/>
      <c r="J73"/>
      <c r="K73"/>
      <c r="L73"/>
    </row>
    <row r="74" spans="1:12">
      <c r="A74"/>
      <c r="B74"/>
      <c r="C74"/>
      <c r="D74"/>
      <c r="E74"/>
      <c r="F74"/>
      <c r="H74"/>
      <c r="I74"/>
      <c r="J74"/>
      <c r="K74"/>
      <c r="L74"/>
    </row>
    <row r="75" spans="1:12">
      <c r="A75"/>
      <c r="B75"/>
      <c r="C75"/>
      <c r="D75"/>
      <c r="E75"/>
      <c r="F75"/>
      <c r="H75"/>
      <c r="I75"/>
      <c r="J75"/>
      <c r="K75"/>
      <c r="L75"/>
    </row>
    <row r="76" spans="1:12">
      <c r="A76"/>
      <c r="B76"/>
      <c r="C76"/>
      <c r="D76"/>
      <c r="E76"/>
      <c r="F76"/>
      <c r="H76"/>
      <c r="I76"/>
      <c r="J76"/>
      <c r="K76"/>
      <c r="L76"/>
    </row>
    <row r="77" spans="1:12">
      <c r="A77"/>
      <c r="B77"/>
      <c r="C77"/>
      <c r="D77"/>
      <c r="E77"/>
      <c r="F77"/>
      <c r="H77"/>
      <c r="I77"/>
      <c r="J77"/>
      <c r="K77"/>
      <c r="L77"/>
    </row>
    <row r="78" spans="1:12">
      <c r="A78"/>
      <c r="B78"/>
      <c r="C78"/>
      <c r="D78"/>
      <c r="E78"/>
      <c r="F78"/>
      <c r="H78"/>
      <c r="I78"/>
      <c r="J78"/>
      <c r="K78"/>
      <c r="L78"/>
    </row>
    <row r="79" spans="1:12">
      <c r="A79"/>
      <c r="B79"/>
      <c r="C79"/>
      <c r="D79"/>
      <c r="E79"/>
      <c r="F79"/>
      <c r="H79"/>
      <c r="I79"/>
      <c r="J79"/>
      <c r="K79"/>
      <c r="L79"/>
    </row>
    <row r="80" spans="1:12">
      <c r="A80"/>
      <c r="B80"/>
      <c r="C80"/>
      <c r="D80"/>
      <c r="E80"/>
      <c r="F80"/>
      <c r="H80"/>
      <c r="I80"/>
      <c r="J80"/>
      <c r="K80"/>
      <c r="L80"/>
    </row>
    <row r="81" spans="1:12">
      <c r="A81"/>
      <c r="B81"/>
      <c r="C81"/>
      <c r="D81"/>
      <c r="E81"/>
      <c r="F81"/>
      <c r="H81"/>
      <c r="I81"/>
      <c r="J81"/>
      <c r="K81"/>
      <c r="L81"/>
    </row>
    <row r="82" spans="1:12">
      <c r="A82"/>
      <c r="B82"/>
      <c r="C82"/>
      <c r="D82"/>
      <c r="E82"/>
      <c r="F82"/>
      <c r="H82"/>
      <c r="I82"/>
      <c r="J82"/>
      <c r="K82"/>
      <c r="L82"/>
    </row>
    <row r="83" spans="1:12">
      <c r="A83"/>
      <c r="B83"/>
      <c r="C83"/>
      <c r="D83"/>
      <c r="E83"/>
      <c r="F83"/>
      <c r="H83"/>
      <c r="I83"/>
      <c r="J83"/>
      <c r="K83"/>
      <c r="L83"/>
    </row>
    <row r="84" spans="1:12">
      <c r="A84"/>
      <c r="B84"/>
      <c r="C84"/>
      <c r="D84"/>
      <c r="E84"/>
      <c r="F84"/>
      <c r="H84"/>
      <c r="I84"/>
      <c r="J84"/>
      <c r="K84"/>
      <c r="L84"/>
    </row>
    <row r="85" spans="1:12">
      <c r="A85"/>
      <c r="B85"/>
      <c r="C85"/>
      <c r="D85"/>
      <c r="E85"/>
      <c r="F85"/>
      <c r="H85"/>
      <c r="I85"/>
      <c r="J85"/>
      <c r="K85"/>
      <c r="L85"/>
    </row>
    <row r="86" spans="1:12">
      <c r="A86"/>
      <c r="B86"/>
      <c r="C86"/>
      <c r="D86"/>
      <c r="E86"/>
      <c r="F86"/>
      <c r="H86"/>
      <c r="I86"/>
      <c r="J86"/>
      <c r="K86"/>
      <c r="L86"/>
    </row>
    <row r="87" spans="1:12">
      <c r="A87"/>
      <c r="B87"/>
      <c r="C87"/>
      <c r="D87"/>
      <c r="E87"/>
      <c r="F87"/>
      <c r="H87"/>
      <c r="I87"/>
      <c r="J87"/>
      <c r="K87"/>
      <c r="L87"/>
    </row>
    <row r="88" spans="1:12">
      <c r="A88"/>
      <c r="B88"/>
      <c r="C88"/>
      <c r="D88"/>
      <c r="E88"/>
      <c r="F88"/>
      <c r="H88"/>
      <c r="I88"/>
      <c r="J88"/>
      <c r="K88"/>
      <c r="L88"/>
    </row>
    <row r="89" spans="1:12">
      <c r="A89"/>
      <c r="B89"/>
      <c r="C89"/>
      <c r="D89"/>
      <c r="E89"/>
      <c r="F89"/>
      <c r="H89"/>
      <c r="I89"/>
      <c r="J89"/>
      <c r="K89"/>
      <c r="L89"/>
    </row>
    <row r="90" spans="1:12">
      <c r="A90"/>
      <c r="B90"/>
      <c r="C90"/>
      <c r="D90"/>
      <c r="E90"/>
      <c r="F90"/>
      <c r="H90"/>
      <c r="I90"/>
      <c r="J90"/>
      <c r="K90"/>
      <c r="L90"/>
    </row>
    <row r="91" spans="1:12">
      <c r="A91"/>
      <c r="B91"/>
      <c r="C91"/>
      <c r="D91"/>
      <c r="E91"/>
      <c r="F91"/>
      <c r="H91"/>
      <c r="I91"/>
      <c r="J91"/>
      <c r="K91"/>
      <c r="L91"/>
    </row>
    <row r="92" spans="1:12">
      <c r="A92"/>
      <c r="B92"/>
      <c r="C92"/>
      <c r="D92"/>
      <c r="E92"/>
      <c r="F92"/>
      <c r="H92"/>
      <c r="I92"/>
      <c r="J92"/>
      <c r="K92"/>
      <c r="L92"/>
    </row>
    <row r="93" spans="1:12">
      <c r="A93"/>
      <c r="B93"/>
      <c r="C93"/>
      <c r="D93"/>
      <c r="E93"/>
      <c r="F93"/>
      <c r="H93"/>
      <c r="I93"/>
      <c r="J93"/>
      <c r="K93"/>
      <c r="L93"/>
    </row>
    <row r="94" spans="1:12">
      <c r="A94"/>
      <c r="B94"/>
      <c r="C94"/>
      <c r="D94"/>
      <c r="E94"/>
      <c r="F94"/>
      <c r="H94"/>
      <c r="I94"/>
      <c r="J94"/>
      <c r="K94"/>
      <c r="L94"/>
    </row>
    <row r="95" spans="1:12">
      <c r="A95"/>
      <c r="B95"/>
      <c r="C95"/>
      <c r="D95"/>
      <c r="E95"/>
      <c r="F95"/>
      <c r="H95"/>
      <c r="I95"/>
      <c r="J95"/>
      <c r="K95"/>
      <c r="L95"/>
    </row>
    <row r="96" spans="1:12">
      <c r="A96"/>
      <c r="B96"/>
      <c r="C96"/>
      <c r="D96"/>
      <c r="E96"/>
      <c r="F96"/>
      <c r="H96"/>
      <c r="I96"/>
      <c r="J96"/>
      <c r="K96"/>
      <c r="L96"/>
    </row>
    <row r="97" spans="1:12">
      <c r="A97"/>
      <c r="B97"/>
      <c r="C97"/>
      <c r="D97"/>
      <c r="E97"/>
      <c r="F97"/>
      <c r="H97"/>
      <c r="I97"/>
      <c r="J97"/>
      <c r="K97"/>
      <c r="L97"/>
    </row>
    <row r="98" spans="1:12">
      <c r="A98"/>
      <c r="B98"/>
      <c r="C98"/>
      <c r="D98"/>
      <c r="E98"/>
      <c r="F98"/>
      <c r="H98"/>
      <c r="I98"/>
      <c r="J98"/>
      <c r="K98"/>
      <c r="L98"/>
    </row>
    <row r="99" spans="1:12">
      <c r="A99"/>
      <c r="B99"/>
      <c r="C99"/>
      <c r="D99"/>
      <c r="E99"/>
      <c r="F99"/>
      <c r="K99"/>
    </row>
    <row r="100" spans="1:12">
      <c r="A100"/>
      <c r="B100"/>
      <c r="C100"/>
      <c r="D100"/>
      <c r="E100"/>
      <c r="F100"/>
      <c r="K100"/>
    </row>
    <row r="101" spans="1:12">
      <c r="A101"/>
      <c r="B101"/>
      <c r="C101"/>
      <c r="D101"/>
      <c r="E101"/>
      <c r="F101"/>
      <c r="H101" s="68"/>
      <c r="I101"/>
      <c r="J101"/>
      <c r="K101"/>
    </row>
    <row r="102" spans="1:12">
      <c r="A102"/>
      <c r="B102"/>
      <c r="C102"/>
      <c r="D102"/>
      <c r="E102"/>
      <c r="F102"/>
      <c r="H102"/>
      <c r="I102"/>
      <c r="J102"/>
      <c r="K102"/>
    </row>
    <row r="103" spans="1:12">
      <c r="A103"/>
      <c r="B103"/>
      <c r="C103"/>
      <c r="D103"/>
      <c r="E103"/>
      <c r="F103"/>
      <c r="H103"/>
      <c r="I103"/>
      <c r="J103"/>
      <c r="K103"/>
    </row>
    <row r="104" spans="1:12">
      <c r="A104"/>
      <c r="B104"/>
      <c r="C104"/>
      <c r="D104"/>
      <c r="E104"/>
      <c r="F104"/>
      <c r="H104"/>
      <c r="I104"/>
      <c r="J104"/>
      <c r="K104"/>
    </row>
    <row r="105" spans="1:12">
      <c r="A105"/>
      <c r="B105"/>
      <c r="C105"/>
      <c r="D105"/>
      <c r="E105"/>
      <c r="F105"/>
      <c r="H105"/>
      <c r="I105" s="69"/>
      <c r="J105" s="69"/>
      <c r="K105" s="69"/>
    </row>
    <row r="106" spans="1:12">
      <c r="A106"/>
      <c r="B106"/>
      <c r="C106"/>
      <c r="D106"/>
      <c r="E106"/>
      <c r="F106"/>
      <c r="H106"/>
      <c r="I106" s="69"/>
      <c r="J106" s="69"/>
      <c r="K106" s="69"/>
    </row>
    <row r="107" spans="1:12">
      <c r="D107"/>
      <c r="E107"/>
      <c r="F107"/>
      <c r="H107"/>
      <c r="I107" s="69"/>
      <c r="J107" s="69"/>
      <c r="K107" s="69"/>
    </row>
    <row r="108" spans="1:12">
      <c r="D108"/>
      <c r="E108"/>
      <c r="F108"/>
      <c r="H108"/>
      <c r="I108"/>
      <c r="J108"/>
      <c r="K108"/>
    </row>
    <row r="109" spans="1:12">
      <c r="A109" s="78"/>
      <c r="B109"/>
      <c r="C109"/>
      <c r="D109"/>
      <c r="E109"/>
      <c r="F109"/>
      <c r="H109"/>
      <c r="I109"/>
      <c r="J109"/>
      <c r="K109"/>
    </row>
    <row r="110" spans="1:12">
      <c r="A110"/>
      <c r="B110"/>
      <c r="C110"/>
      <c r="D110"/>
      <c r="E110"/>
      <c r="F110"/>
      <c r="H110"/>
      <c r="I110"/>
      <c r="J110"/>
      <c r="K110"/>
    </row>
    <row r="111" spans="1:12">
      <c r="A111"/>
      <c r="B111"/>
      <c r="C111"/>
      <c r="D111"/>
      <c r="E111"/>
      <c r="F111"/>
      <c r="H111"/>
      <c r="I111"/>
      <c r="J111"/>
      <c r="K111"/>
    </row>
    <row r="112" spans="1:12">
      <c r="A112"/>
      <c r="B112"/>
      <c r="C112"/>
      <c r="D112"/>
      <c r="E112"/>
      <c r="F112"/>
      <c r="H112"/>
      <c r="I112"/>
      <c r="J112"/>
      <c r="K112"/>
    </row>
    <row r="113" spans="1:11">
      <c r="A113"/>
      <c r="B113"/>
      <c r="C113"/>
      <c r="D113"/>
      <c r="E113"/>
      <c r="F113"/>
    </row>
    <row r="114" spans="1:11">
      <c r="A114"/>
      <c r="B114"/>
      <c r="C114"/>
      <c r="D114"/>
      <c r="E114"/>
      <c r="F114"/>
    </row>
    <row r="115" spans="1:11">
      <c r="A115"/>
      <c r="B115"/>
      <c r="C115"/>
      <c r="D115"/>
      <c r="E115"/>
      <c r="F115"/>
      <c r="H115" s="68"/>
      <c r="I115"/>
      <c r="J115"/>
      <c r="K115"/>
    </row>
    <row r="116" spans="1:11">
      <c r="A116"/>
      <c r="B116"/>
      <c r="C116"/>
      <c r="D116"/>
      <c r="E116"/>
      <c r="F116"/>
      <c r="H116"/>
      <c r="I116"/>
      <c r="J116"/>
      <c r="K116"/>
    </row>
    <row r="117" spans="1:11">
      <c r="A117"/>
      <c r="B117"/>
      <c r="C117"/>
      <c r="D117"/>
      <c r="E117"/>
      <c r="F117"/>
      <c r="H117"/>
      <c r="I117"/>
      <c r="J117"/>
      <c r="K117"/>
    </row>
    <row r="118" spans="1:11">
      <c r="A118"/>
      <c r="B118"/>
      <c r="C118"/>
      <c r="D118"/>
      <c r="E118"/>
      <c r="F118"/>
      <c r="H118"/>
      <c r="I118"/>
      <c r="J118" s="69"/>
      <c r="K118" s="69"/>
    </row>
    <row r="119" spans="1:11">
      <c r="A119"/>
      <c r="B119"/>
      <c r="C119"/>
      <c r="D119"/>
      <c r="E119"/>
      <c r="F119"/>
      <c r="H119"/>
      <c r="I119"/>
      <c r="J119" s="69"/>
      <c r="K119" s="69"/>
    </row>
    <row r="120" spans="1:11">
      <c r="A120"/>
      <c r="B120"/>
      <c r="C120"/>
      <c r="D120"/>
      <c r="E120"/>
      <c r="F120"/>
      <c r="H120"/>
      <c r="I120"/>
      <c r="J120" s="69"/>
      <c r="K120" s="69"/>
    </row>
    <row r="121" spans="1:11">
      <c r="A121"/>
      <c r="B121"/>
      <c r="C121"/>
      <c r="D121"/>
      <c r="E121"/>
      <c r="F121"/>
      <c r="H121"/>
      <c r="I121"/>
      <c r="J121"/>
      <c r="K121"/>
    </row>
    <row r="122" spans="1:11">
      <c r="A122"/>
      <c r="B122"/>
      <c r="C122"/>
      <c r="D122"/>
      <c r="E122"/>
      <c r="F122"/>
      <c r="G122"/>
      <c r="H122"/>
      <c r="I122"/>
      <c r="J122"/>
      <c r="K122"/>
    </row>
    <row r="123" spans="1:11">
      <c r="A123"/>
      <c r="B123"/>
      <c r="C123"/>
      <c r="D123"/>
      <c r="E123"/>
      <c r="F123"/>
      <c r="G123"/>
      <c r="H123"/>
      <c r="I123"/>
      <c r="J123"/>
      <c r="K123"/>
    </row>
    <row r="124" spans="1:11">
      <c r="A124"/>
      <c r="B124"/>
      <c r="C124"/>
      <c r="D124"/>
      <c r="E124"/>
      <c r="F124"/>
      <c r="G124"/>
      <c r="H124"/>
      <c r="I124" s="69"/>
      <c r="J124" s="69"/>
    </row>
    <row r="125" spans="1:11">
      <c r="A125"/>
      <c r="B125" s="69"/>
      <c r="C125" s="69"/>
      <c r="D125"/>
      <c r="E125"/>
      <c r="F125"/>
      <c r="G125"/>
      <c r="H125"/>
      <c r="I125" s="69"/>
      <c r="J125" s="69"/>
    </row>
    <row r="126" spans="1:11">
      <c r="A126"/>
      <c r="B126"/>
      <c r="C126"/>
      <c r="D126"/>
      <c r="F126"/>
      <c r="G126"/>
      <c r="H126"/>
      <c r="I126"/>
      <c r="J126"/>
    </row>
    <row r="127" spans="1:11">
      <c r="A127"/>
      <c r="B127"/>
      <c r="C127"/>
      <c r="D127"/>
      <c r="F127"/>
      <c r="G127"/>
      <c r="H127"/>
      <c r="I127"/>
      <c r="J127"/>
    </row>
    <row r="128" spans="1:11">
      <c r="A128"/>
      <c r="B128"/>
      <c r="C128"/>
      <c r="D128"/>
      <c r="F128"/>
      <c r="G128"/>
      <c r="H128"/>
      <c r="I128"/>
      <c r="J128"/>
    </row>
    <row r="129" spans="1:10">
      <c r="A129"/>
      <c r="B129" s="69"/>
      <c r="C129" s="69"/>
      <c r="D129"/>
      <c r="F129"/>
      <c r="G129"/>
      <c r="H129"/>
      <c r="I129"/>
      <c r="J129"/>
    </row>
    <row r="130" spans="1:10">
      <c r="A130"/>
      <c r="B130" s="69"/>
      <c r="C130" s="69"/>
      <c r="D130"/>
      <c r="F130"/>
      <c r="G130"/>
      <c r="H130"/>
      <c r="I130"/>
      <c r="J130"/>
    </row>
    <row r="131" spans="1:10">
      <c r="A131"/>
      <c r="B131" s="69"/>
      <c r="C131" s="69"/>
      <c r="D131"/>
      <c r="F131"/>
    </row>
    <row r="132" spans="1:10">
      <c r="A132"/>
      <c r="B132"/>
      <c r="C132"/>
      <c r="D132"/>
      <c r="F132"/>
    </row>
    <row r="133" spans="1:10">
      <c r="A133"/>
      <c r="B133" s="69"/>
      <c r="C133" s="69"/>
      <c r="D133"/>
      <c r="F133"/>
    </row>
    <row r="134" spans="1:10">
      <c r="A134"/>
      <c r="B134" s="69"/>
      <c r="C134" s="69"/>
      <c r="D134"/>
      <c r="F134"/>
    </row>
    <row r="135" spans="1:10">
      <c r="A135"/>
      <c r="B135" s="69"/>
      <c r="C135" s="69"/>
      <c r="D135"/>
      <c r="F135"/>
    </row>
    <row r="136" spans="1:10">
      <c r="A136"/>
      <c r="B136"/>
      <c r="C136"/>
      <c r="D136"/>
      <c r="F136"/>
    </row>
    <row r="137" spans="1:10">
      <c r="A137"/>
      <c r="B137" s="69"/>
      <c r="C137" s="69"/>
      <c r="D137"/>
      <c r="F137"/>
    </row>
    <row r="138" spans="1:10">
      <c r="A138"/>
      <c r="B138" s="69"/>
      <c r="C138" s="69"/>
      <c r="D138"/>
      <c r="F138"/>
    </row>
  </sheetData>
  <mergeCells count="2">
    <mergeCell ref="H52:H53"/>
    <mergeCell ref="G52:G53"/>
  </mergeCells>
  <phoneticPr fontId="0" type="noConversion"/>
  <hyperlinks>
    <hyperlink ref="A2" location="Innhold!A78" display="Tilbake til innholdsfortegnelsen"/>
  </hyperlinks>
  <pageMargins left="0.78740157480314965" right="0.70866141732283472" top="0.78740157480314965" bottom="0.19685039370078741" header="3.937007874015748E-2" footer="3.937007874015748E-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1:M137"/>
  <sheetViews>
    <sheetView showGridLines="0" showRowColHeaders="0" topLeftCell="A2" zoomScaleNormal="100" workbookViewId="0"/>
  </sheetViews>
  <sheetFormatPr defaultColWidth="11.42578125" defaultRowHeight="15.6" customHeight="1"/>
  <cols>
    <col min="1" max="1" width="27.140625" style="1" customWidth="1"/>
    <col min="2" max="4" width="10.7109375" style="1" customWidth="1"/>
    <col min="5" max="7" width="7.7109375" style="1" customWidth="1"/>
    <col min="8" max="16384" width="11.42578125" style="1"/>
  </cols>
  <sheetData>
    <row r="1" spans="1:7" ht="6" customHeight="1"/>
    <row r="2" spans="1:7" ht="15.6" customHeight="1">
      <c r="A2" s="92" t="s">
        <v>0</v>
      </c>
      <c r="B2" s="2"/>
      <c r="C2" s="2"/>
      <c r="D2" s="2"/>
      <c r="E2" s="2"/>
      <c r="F2" s="2"/>
    </row>
    <row r="3" spans="1:7" ht="6" customHeight="1"/>
    <row r="4" spans="1:7" ht="15.6" customHeight="1">
      <c r="A4" s="2"/>
      <c r="B4" s="2"/>
      <c r="C4" s="2"/>
      <c r="D4" s="2"/>
      <c r="E4" s="2"/>
      <c r="F4" s="2"/>
    </row>
    <row r="5" spans="1:7" ht="15.6" customHeight="1">
      <c r="A5" s="88"/>
      <c r="B5" s="74"/>
      <c r="C5" s="74"/>
      <c r="D5" s="74"/>
      <c r="E5" s="74"/>
      <c r="F5" s="74"/>
      <c r="G5" s="74"/>
    </row>
    <row r="6" spans="1:7" ht="15.6" customHeight="1">
      <c r="A6" s="88"/>
      <c r="B6" s="74"/>
      <c r="C6" s="74"/>
      <c r="D6" s="74"/>
      <c r="E6" s="74"/>
      <c r="F6" s="74"/>
      <c r="G6" s="74"/>
    </row>
    <row r="7" spans="1:7" ht="15.6" customHeight="1">
      <c r="A7" s="73"/>
      <c r="B7" s="73"/>
      <c r="C7" s="73"/>
      <c r="D7" s="73"/>
      <c r="E7" s="73"/>
      <c r="F7" s="73"/>
      <c r="G7" s="73"/>
    </row>
    <row r="8" spans="1:7" ht="15.6" customHeight="1">
      <c r="A8" s="73"/>
      <c r="B8" s="73"/>
      <c r="C8" s="73"/>
      <c r="D8" s="73"/>
      <c r="E8" s="73"/>
      <c r="F8" s="73"/>
      <c r="G8" s="73"/>
    </row>
    <row r="9" spans="1:7" ht="15.6" customHeight="1">
      <c r="A9" s="73"/>
      <c r="B9" s="73"/>
      <c r="C9" s="73"/>
      <c r="D9" s="73"/>
      <c r="E9" s="73"/>
      <c r="F9" s="73"/>
      <c r="G9" s="73"/>
    </row>
    <row r="10" spans="1:7" ht="15.6" customHeight="1">
      <c r="A10" s="73"/>
      <c r="B10" s="73"/>
      <c r="C10" s="73"/>
      <c r="D10" s="73"/>
      <c r="E10" s="73"/>
      <c r="F10" s="73"/>
      <c r="G10" s="73"/>
    </row>
    <row r="11" spans="1:7" ht="15.6" customHeight="1">
      <c r="A11" s="73"/>
      <c r="B11" s="73"/>
      <c r="C11" s="73"/>
      <c r="D11" s="73"/>
      <c r="E11" s="73"/>
      <c r="F11" s="73"/>
      <c r="G11" s="73"/>
    </row>
    <row r="12" spans="1:7" ht="15.6" customHeight="1">
      <c r="A12" s="73"/>
      <c r="B12" s="73"/>
      <c r="C12" s="73"/>
      <c r="D12" s="73"/>
      <c r="E12" s="73"/>
      <c r="F12" s="73"/>
      <c r="G12" s="73"/>
    </row>
    <row r="13" spans="1:7" ht="15.6" customHeight="1">
      <c r="A13" s="73"/>
      <c r="B13" s="73"/>
      <c r="C13" s="73"/>
      <c r="D13" s="73"/>
      <c r="E13" s="73"/>
      <c r="F13" s="73"/>
      <c r="G13" s="73"/>
    </row>
    <row r="14" spans="1:7" ht="15.6" customHeight="1">
      <c r="A14" s="73"/>
      <c r="B14" s="73"/>
      <c r="C14" s="73"/>
      <c r="D14" s="73"/>
      <c r="E14" s="73"/>
      <c r="F14" s="73"/>
      <c r="G14" s="73"/>
    </row>
    <row r="15" spans="1:7" ht="15.6" customHeight="1">
      <c r="A15" s="73"/>
      <c r="B15" s="73"/>
      <c r="C15" s="73"/>
      <c r="D15" s="73"/>
      <c r="E15" s="73"/>
      <c r="F15" s="73"/>
      <c r="G15" s="73"/>
    </row>
    <row r="16" spans="1:7" ht="15.6" customHeight="1">
      <c r="A16" s="73"/>
      <c r="B16" s="73"/>
      <c r="C16" s="73"/>
      <c r="D16" s="73"/>
      <c r="E16" s="73"/>
      <c r="F16" s="73"/>
      <c r="G16" s="73"/>
    </row>
    <row r="17" spans="1:13" ht="15.6" customHeight="1">
      <c r="A17" s="73"/>
      <c r="B17" s="73"/>
      <c r="C17" s="73"/>
      <c r="D17" s="73"/>
      <c r="E17" s="73"/>
      <c r="F17" s="73"/>
      <c r="G17" s="73"/>
    </row>
    <row r="18" spans="1:13" ht="15.6" customHeight="1">
      <c r="A18" s="73"/>
      <c r="B18" s="73"/>
      <c r="C18" s="73"/>
      <c r="D18" s="73"/>
      <c r="E18" s="73"/>
      <c r="F18" s="73"/>
      <c r="G18" s="73"/>
    </row>
    <row r="19" spans="1:13" ht="15.6" customHeight="1">
      <c r="A19" s="73"/>
      <c r="B19" s="73"/>
      <c r="C19" s="73"/>
      <c r="D19" s="73"/>
      <c r="E19" s="73"/>
      <c r="F19" s="73"/>
      <c r="G19" s="73"/>
    </row>
    <row r="20" spans="1:13" ht="15.6" customHeight="1">
      <c r="A20" s="73"/>
      <c r="B20" s="73"/>
      <c r="C20" s="73"/>
      <c r="D20" s="73"/>
      <c r="E20" s="73"/>
      <c r="F20" s="73"/>
      <c r="G20" s="73"/>
    </row>
    <row r="21" spans="1:13" ht="15.6" customHeight="1">
      <c r="A21" s="73"/>
      <c r="B21" s="73"/>
      <c r="C21" s="73"/>
      <c r="D21" s="73"/>
      <c r="E21" s="73"/>
      <c r="F21" s="73"/>
      <c r="G21" s="73"/>
    </row>
    <row r="22" spans="1:13" ht="15.6" customHeight="1">
      <c r="A22" s="73"/>
      <c r="B22" s="73"/>
      <c r="C22" s="73"/>
      <c r="D22" s="73"/>
      <c r="E22" s="73"/>
      <c r="F22" s="73"/>
      <c r="G22" s="73"/>
    </row>
    <row r="23" spans="1:13" ht="15.6" customHeight="1">
      <c r="A23" s="73"/>
      <c r="B23" s="73"/>
      <c r="C23" s="73"/>
      <c r="D23" s="73"/>
      <c r="E23" s="73"/>
      <c r="F23" s="73"/>
      <c r="G23" s="73"/>
    </row>
    <row r="24" spans="1:13" ht="15.6" customHeight="1">
      <c r="A24" s="73"/>
      <c r="B24" s="73"/>
      <c r="C24" s="73"/>
      <c r="D24" s="73"/>
      <c r="E24" s="73"/>
      <c r="F24" s="73"/>
      <c r="G24" s="73"/>
    </row>
    <row r="25" spans="1:13" ht="15.6" customHeight="1">
      <c r="A25" s="73"/>
      <c r="B25" s="73"/>
      <c r="C25" s="73"/>
      <c r="D25" s="73"/>
      <c r="E25" s="73"/>
      <c r="F25" s="73"/>
      <c r="G25" s="73"/>
    </row>
    <row r="26" spans="1:13" ht="15.6" customHeight="1">
      <c r="A26" s="73"/>
      <c r="B26" s="73"/>
      <c r="C26" s="73"/>
      <c r="D26" s="73"/>
      <c r="E26" s="73"/>
      <c r="F26" s="73"/>
      <c r="G26" s="73"/>
    </row>
    <row r="27" spans="1:13" ht="15.6" customHeight="1">
      <c r="A27" s="73"/>
      <c r="B27" s="73"/>
      <c r="C27" s="73"/>
      <c r="D27" s="73"/>
      <c r="E27" s="73"/>
      <c r="F27" s="73"/>
      <c r="G27" s="73"/>
    </row>
    <row r="28" spans="1:13" ht="15.6" customHeight="1">
      <c r="A28" s="73"/>
      <c r="B28" s="73"/>
      <c r="C28" s="73"/>
      <c r="D28" s="73"/>
      <c r="E28" s="73"/>
      <c r="F28" s="73"/>
      <c r="G28" s="73"/>
      <c r="M28" s="77"/>
    </row>
    <row r="29" spans="1:13" ht="15.6" customHeight="1">
      <c r="A29" s="73"/>
      <c r="B29" s="73"/>
      <c r="C29" s="73"/>
      <c r="D29" s="73"/>
      <c r="E29" s="73"/>
      <c r="F29" s="73"/>
      <c r="G29" s="73"/>
      <c r="M29" s="77"/>
    </row>
    <row r="30" spans="1:13" ht="15.6" customHeight="1">
      <c r="A30" s="73"/>
      <c r="B30" s="73"/>
      <c r="C30" s="73"/>
      <c r="D30" s="73"/>
      <c r="E30" s="73"/>
      <c r="F30" s="73"/>
      <c r="G30" s="73"/>
      <c r="M30" s="77"/>
    </row>
    <row r="31" spans="1:13" ht="15.6" customHeight="1">
      <c r="A31" s="73"/>
      <c r="B31" s="73"/>
      <c r="C31" s="73"/>
      <c r="D31" s="73"/>
      <c r="E31" s="73"/>
      <c r="F31" s="73"/>
      <c r="G31" s="73"/>
      <c r="M31" s="77"/>
    </row>
    <row r="32" spans="1:13" ht="15.6" customHeight="1">
      <c r="A32" s="73"/>
      <c r="B32" s="73"/>
      <c r="C32" s="73"/>
      <c r="D32" s="73"/>
      <c r="E32" s="73"/>
      <c r="F32" s="73"/>
      <c r="G32" s="73"/>
      <c r="M32" s="77"/>
    </row>
    <row r="33" spans="1:13" ht="15.6" customHeight="1">
      <c r="A33" s="73"/>
      <c r="B33" s="73"/>
      <c r="C33" s="73"/>
      <c r="D33" s="73"/>
      <c r="E33" s="73"/>
      <c r="F33" s="73"/>
      <c r="G33" s="73"/>
      <c r="M33" s="77"/>
    </row>
    <row r="34" spans="1:13" ht="15.6" customHeight="1">
      <c r="A34" s="73"/>
      <c r="B34" s="73"/>
      <c r="C34" s="73"/>
      <c r="D34" s="73"/>
      <c r="E34" s="73"/>
      <c r="F34" s="73"/>
      <c r="G34" s="73"/>
      <c r="M34" s="77"/>
    </row>
    <row r="35" spans="1:13" ht="15.6" customHeight="1">
      <c r="A35" s="73"/>
      <c r="B35" s="73"/>
      <c r="C35" s="73"/>
      <c r="D35" s="73"/>
      <c r="E35" s="73"/>
      <c r="F35" s="73"/>
      <c r="G35" s="73"/>
      <c r="M35" s="77"/>
    </row>
    <row r="36" spans="1:13" ht="15.6" customHeight="1">
      <c r="A36" s="73"/>
      <c r="B36" s="73"/>
      <c r="C36" s="73"/>
      <c r="D36" s="73"/>
      <c r="E36" s="73"/>
      <c r="F36" s="73"/>
      <c r="G36" s="73"/>
      <c r="M36" s="77"/>
    </row>
    <row r="37" spans="1:13" ht="15.6" customHeight="1">
      <c r="A37" s="73"/>
      <c r="B37" s="73"/>
      <c r="C37" s="73"/>
      <c r="D37" s="73"/>
      <c r="E37" s="73"/>
      <c r="F37" s="73"/>
      <c r="G37" s="73"/>
      <c r="M37" s="77"/>
    </row>
    <row r="38" spans="1:13" ht="15.6" customHeight="1">
      <c r="A38" s="73"/>
      <c r="B38" s="73"/>
      <c r="C38" s="73"/>
      <c r="D38" s="73"/>
      <c r="E38" s="73"/>
      <c r="F38" s="73"/>
      <c r="G38" s="73"/>
      <c r="M38" s="77"/>
    </row>
    <row r="39" spans="1:13" ht="15.6" customHeight="1">
      <c r="A39" s="73"/>
      <c r="B39" s="73"/>
      <c r="C39" s="73"/>
      <c r="D39" s="73"/>
      <c r="E39" s="73"/>
      <c r="F39" s="73"/>
      <c r="G39" s="73"/>
      <c r="M39" s="77"/>
    </row>
    <row r="40" spans="1:13" ht="15.6" customHeight="1">
      <c r="A40" s="73"/>
      <c r="B40" s="73"/>
      <c r="C40" s="73"/>
      <c r="D40" s="73"/>
      <c r="E40" s="73"/>
      <c r="F40" s="73"/>
      <c r="G40" s="73"/>
      <c r="M40" s="77"/>
    </row>
    <row r="41" spans="1:13" ht="15.6" customHeight="1">
      <c r="A41" s="73"/>
      <c r="B41" s="73"/>
      <c r="C41" s="73"/>
      <c r="D41" s="73"/>
      <c r="E41" s="73"/>
      <c r="F41" s="73"/>
      <c r="G41" s="73"/>
      <c r="M41" s="77"/>
    </row>
    <row r="42" spans="1:13" ht="15.6" customHeight="1">
      <c r="A42" s="73"/>
      <c r="B42" s="73"/>
      <c r="C42" s="73"/>
      <c r="D42" s="73"/>
      <c r="E42" s="73"/>
      <c r="F42" s="73"/>
      <c r="G42" s="73"/>
      <c r="M42" s="77"/>
    </row>
    <row r="43" spans="1:13" ht="15.6" customHeight="1">
      <c r="A43" s="73"/>
      <c r="B43" s="73"/>
      <c r="C43" s="73"/>
      <c r="D43" s="73"/>
      <c r="E43" s="73"/>
      <c r="F43" s="73"/>
      <c r="G43" s="73"/>
      <c r="M43" s="77"/>
    </row>
    <row r="44" spans="1:13" ht="15.6" customHeight="1">
      <c r="A44" s="73"/>
      <c r="B44" s="73"/>
      <c r="C44" s="73"/>
      <c r="D44" s="73"/>
      <c r="E44" s="73"/>
      <c r="F44" s="73"/>
      <c r="G44" s="73"/>
      <c r="M44" s="77"/>
    </row>
    <row r="45" spans="1:13" ht="15.6" customHeight="1">
      <c r="A45" s="73"/>
      <c r="B45" s="73"/>
      <c r="C45" s="73"/>
      <c r="D45" s="73"/>
      <c r="E45" s="73"/>
      <c r="F45" s="73"/>
      <c r="G45" s="73"/>
      <c r="M45" s="77"/>
    </row>
    <row r="46" spans="1:13" ht="15.6" customHeight="1">
      <c r="A46" s="93" t="s">
        <v>192</v>
      </c>
      <c r="B46" s="73"/>
      <c r="C46" s="73"/>
      <c r="D46" s="73"/>
      <c r="E46" s="73"/>
      <c r="F46" s="73"/>
      <c r="G46" s="73"/>
      <c r="M46" s="77"/>
    </row>
    <row r="47" spans="1:13" ht="15.6" customHeight="1">
      <c r="A47" s="93" t="s">
        <v>193</v>
      </c>
      <c r="B47" s="73"/>
      <c r="C47" s="73"/>
      <c r="D47" s="73"/>
      <c r="E47" s="73"/>
      <c r="F47" s="73"/>
      <c r="G47" s="73"/>
      <c r="M47" s="77"/>
    </row>
    <row r="48" spans="1:13" ht="15.6" customHeight="1">
      <c r="A48" s="93" t="s">
        <v>131</v>
      </c>
      <c r="B48" s="73"/>
      <c r="C48" s="73"/>
      <c r="D48" s="73"/>
      <c r="E48" s="73"/>
      <c r="F48" s="73"/>
      <c r="G48" s="73"/>
      <c r="M48" s="77"/>
    </row>
    <row r="49" spans="1:13" ht="15.6" customHeight="1">
      <c r="A49" s="93" t="s">
        <v>191</v>
      </c>
      <c r="B49" s="73"/>
      <c r="C49" s="73"/>
      <c r="D49" s="73"/>
      <c r="E49" s="73"/>
      <c r="F49" s="73"/>
      <c r="G49" s="73"/>
      <c r="M49" s="77"/>
    </row>
    <row r="50" spans="1:13" ht="15.6" customHeight="1">
      <c r="A50" s="52"/>
      <c r="B50" s="52"/>
      <c r="C50" s="52"/>
      <c r="D50" s="52"/>
      <c r="E50" s="52"/>
      <c r="F50" s="52"/>
      <c r="G50" s="52"/>
      <c r="H50" s="77"/>
    </row>
    <row r="51" spans="1:13" ht="15.6" customHeight="1">
      <c r="A51" s="54" t="str">
        <f>+Innhold!H123</f>
        <v>Finans Norge / Skadestatistikk</v>
      </c>
      <c r="G51" s="145">
        <v>3</v>
      </c>
      <c r="H51" s="77"/>
    </row>
    <row r="52" spans="1:13" ht="15.6" customHeight="1">
      <c r="A52" s="54" t="str">
        <f>+Innhold!H124</f>
        <v>Skadestatistikk for landbasert forsikring 4.kvartal 2013</v>
      </c>
      <c r="G52" s="146"/>
      <c r="H52" s="77"/>
    </row>
    <row r="53" spans="1:13" ht="15.6" customHeight="1">
      <c r="H53" s="77"/>
    </row>
    <row r="59" spans="1:13" ht="15.6" customHeight="1">
      <c r="J59"/>
      <c r="K59"/>
      <c r="L59"/>
    </row>
    <row r="60" spans="1:13" ht="15.6" customHeight="1">
      <c r="J60" s="71"/>
      <c r="K60" s="72"/>
      <c r="L60" s="72"/>
    </row>
    <row r="61" spans="1:13" ht="15.6" customHeight="1">
      <c r="J61" s="70"/>
      <c r="K61"/>
      <c r="L61"/>
    </row>
    <row r="62" spans="1:13" ht="15.6" customHeight="1">
      <c r="J62" s="69"/>
      <c r="K62" s="69"/>
      <c r="L62" s="69"/>
    </row>
    <row r="63" spans="1:13" ht="15.6" customHeight="1">
      <c r="J63" s="69"/>
      <c r="K63" s="69"/>
      <c r="L63" s="69"/>
    </row>
    <row r="64" spans="1:13" ht="15.6" customHeight="1">
      <c r="J64" s="69"/>
      <c r="K64" s="69"/>
      <c r="L64" s="69"/>
    </row>
    <row r="65" spans="1:12" ht="15.6" customHeight="1">
      <c r="J65" s="69"/>
      <c r="K65" s="69"/>
      <c r="L65" s="69"/>
    </row>
    <row r="66" spans="1:12" ht="15.6" customHeight="1">
      <c r="J66" s="69"/>
      <c r="K66" s="69"/>
      <c r="L66" s="69"/>
    </row>
    <row r="67" spans="1:12" ht="15.6" customHeight="1">
      <c r="J67" s="69"/>
      <c r="K67" s="69"/>
      <c r="L67" s="69"/>
    </row>
    <row r="68" spans="1:12" ht="15.6" customHeight="1">
      <c r="J68" s="69"/>
      <c r="K68" s="69"/>
      <c r="L68" s="69"/>
    </row>
    <row r="69" spans="1:12" ht="15.6" customHeight="1">
      <c r="J69"/>
      <c r="K69"/>
      <c r="L69"/>
    </row>
    <row r="70" spans="1:12" ht="15.6" customHeight="1">
      <c r="J70"/>
      <c r="K70"/>
      <c r="L70"/>
    </row>
    <row r="71" spans="1:12" ht="15.6" customHeight="1">
      <c r="J71"/>
      <c r="K71"/>
      <c r="L71"/>
    </row>
    <row r="72" spans="1:12" ht="15.6" customHeight="1">
      <c r="A72"/>
      <c r="B72"/>
      <c r="C72"/>
      <c r="D72"/>
      <c r="E72"/>
      <c r="F72"/>
      <c r="H72"/>
      <c r="I72"/>
      <c r="J72"/>
      <c r="K72"/>
      <c r="L72"/>
    </row>
    <row r="73" spans="1:12" ht="15.6" customHeight="1">
      <c r="A73"/>
      <c r="B73"/>
      <c r="C73"/>
      <c r="D73"/>
      <c r="E73"/>
      <c r="F73"/>
      <c r="H73"/>
      <c r="I73"/>
      <c r="J73"/>
      <c r="K73"/>
      <c r="L73"/>
    </row>
    <row r="74" spans="1:12" ht="15.6" customHeight="1">
      <c r="A74"/>
      <c r="B74"/>
      <c r="C74"/>
      <c r="D74"/>
      <c r="E74"/>
      <c r="F74"/>
      <c r="H74"/>
      <c r="I74"/>
      <c r="J74"/>
      <c r="K74"/>
      <c r="L74"/>
    </row>
    <row r="75" spans="1:12" ht="15.6" customHeight="1">
      <c r="A75"/>
      <c r="B75"/>
      <c r="C75"/>
      <c r="D75"/>
      <c r="E75"/>
      <c r="F75"/>
      <c r="H75"/>
      <c r="I75"/>
      <c r="J75"/>
      <c r="K75"/>
      <c r="L75"/>
    </row>
    <row r="76" spans="1:12" ht="15.6" customHeight="1">
      <c r="A76"/>
      <c r="B76"/>
      <c r="C76"/>
      <c r="D76"/>
      <c r="E76"/>
      <c r="F76"/>
      <c r="H76"/>
      <c r="I76"/>
      <c r="J76"/>
      <c r="K76"/>
      <c r="L76"/>
    </row>
    <row r="77" spans="1:12" ht="15.6" customHeight="1">
      <c r="A77"/>
      <c r="B77"/>
      <c r="C77"/>
      <c r="D77"/>
      <c r="E77"/>
      <c r="F77"/>
      <c r="H77"/>
      <c r="I77"/>
      <c r="J77"/>
      <c r="K77"/>
      <c r="L77"/>
    </row>
    <row r="78" spans="1:12" ht="15.6" customHeight="1">
      <c r="A78"/>
      <c r="B78"/>
      <c r="C78"/>
      <c r="D78"/>
      <c r="E78"/>
      <c r="F78"/>
      <c r="H78"/>
      <c r="I78"/>
      <c r="J78"/>
      <c r="K78"/>
      <c r="L78"/>
    </row>
    <row r="79" spans="1:12" ht="15.6" customHeight="1">
      <c r="A79"/>
      <c r="B79"/>
      <c r="C79"/>
      <c r="D79"/>
      <c r="E79"/>
      <c r="F79"/>
      <c r="H79"/>
      <c r="I79"/>
      <c r="J79"/>
      <c r="K79"/>
      <c r="L79"/>
    </row>
    <row r="80" spans="1:12" ht="15.6" customHeight="1">
      <c r="A80"/>
      <c r="B80"/>
      <c r="C80"/>
      <c r="D80"/>
      <c r="E80"/>
      <c r="F80"/>
      <c r="H80"/>
      <c r="I80"/>
      <c r="J80"/>
      <c r="K80"/>
      <c r="L80"/>
    </row>
    <row r="81" spans="1:12" ht="15.6" customHeight="1">
      <c r="A81"/>
      <c r="B81"/>
      <c r="C81"/>
      <c r="D81"/>
      <c r="E81"/>
      <c r="F81"/>
      <c r="H81"/>
      <c r="I81"/>
      <c r="J81"/>
      <c r="K81"/>
      <c r="L81"/>
    </row>
    <row r="82" spans="1:12" ht="15.6" customHeight="1">
      <c r="A82"/>
      <c r="B82"/>
      <c r="C82"/>
      <c r="D82"/>
      <c r="E82"/>
      <c r="F82"/>
      <c r="H82"/>
      <c r="I82"/>
      <c r="J82"/>
      <c r="K82"/>
      <c r="L82"/>
    </row>
    <row r="83" spans="1:12" ht="15.6" customHeight="1">
      <c r="A83"/>
      <c r="B83"/>
      <c r="C83"/>
      <c r="D83"/>
      <c r="E83"/>
      <c r="F83"/>
      <c r="H83"/>
      <c r="I83"/>
      <c r="J83"/>
      <c r="K83"/>
      <c r="L83"/>
    </row>
    <row r="84" spans="1:12" ht="15.6" customHeight="1">
      <c r="A84"/>
      <c r="B84"/>
      <c r="C84"/>
      <c r="D84"/>
      <c r="E84"/>
      <c r="F84"/>
      <c r="H84"/>
      <c r="I84"/>
      <c r="J84"/>
      <c r="K84"/>
      <c r="L84"/>
    </row>
    <row r="85" spans="1:12" ht="15.6" customHeight="1">
      <c r="A85"/>
      <c r="B85"/>
      <c r="C85"/>
      <c r="D85"/>
      <c r="E85"/>
      <c r="F85"/>
      <c r="H85"/>
      <c r="I85"/>
      <c r="J85"/>
      <c r="K85"/>
      <c r="L85"/>
    </row>
    <row r="86" spans="1:12" ht="15.6" customHeight="1">
      <c r="A86"/>
      <c r="B86"/>
      <c r="C86"/>
      <c r="D86"/>
      <c r="E86"/>
      <c r="F86"/>
      <c r="H86"/>
      <c r="I86"/>
      <c r="J86"/>
      <c r="K86"/>
      <c r="L86"/>
    </row>
    <row r="87" spans="1:12" ht="15.6" customHeight="1">
      <c r="A87"/>
      <c r="B87"/>
      <c r="C87"/>
      <c r="D87"/>
      <c r="E87"/>
      <c r="F87"/>
      <c r="H87"/>
      <c r="I87"/>
      <c r="J87"/>
      <c r="K87"/>
      <c r="L87"/>
    </row>
    <row r="88" spans="1:12" ht="15.6" customHeight="1">
      <c r="A88"/>
      <c r="B88"/>
      <c r="C88"/>
      <c r="D88"/>
      <c r="E88"/>
      <c r="F88"/>
      <c r="H88"/>
      <c r="I88"/>
      <c r="J88"/>
      <c r="K88"/>
      <c r="L88"/>
    </row>
    <row r="89" spans="1:12" ht="15.6" customHeight="1">
      <c r="A89"/>
      <c r="B89"/>
      <c r="C89"/>
      <c r="D89"/>
      <c r="E89"/>
      <c r="F89"/>
      <c r="H89"/>
      <c r="I89"/>
      <c r="J89"/>
      <c r="K89"/>
      <c r="L89"/>
    </row>
    <row r="90" spans="1:12" ht="15.6" customHeight="1">
      <c r="A90"/>
      <c r="B90"/>
      <c r="C90"/>
      <c r="D90"/>
      <c r="E90"/>
      <c r="F90"/>
      <c r="H90"/>
      <c r="I90"/>
      <c r="J90"/>
      <c r="K90"/>
      <c r="L90"/>
    </row>
    <row r="91" spans="1:12" ht="15.6" customHeight="1">
      <c r="A91"/>
      <c r="B91"/>
      <c r="C91"/>
      <c r="D91"/>
      <c r="E91"/>
      <c r="F91"/>
      <c r="H91"/>
      <c r="I91"/>
      <c r="J91"/>
      <c r="K91"/>
      <c r="L91"/>
    </row>
    <row r="92" spans="1:12" ht="15.6" customHeight="1">
      <c r="A92"/>
      <c r="B92"/>
      <c r="C92"/>
      <c r="D92"/>
      <c r="E92"/>
      <c r="F92"/>
      <c r="H92"/>
      <c r="I92"/>
      <c r="J92"/>
      <c r="K92"/>
      <c r="L92"/>
    </row>
    <row r="93" spans="1:12" ht="15.6" customHeight="1">
      <c r="A93"/>
      <c r="B93"/>
      <c r="C93"/>
      <c r="D93"/>
      <c r="E93"/>
      <c r="F93"/>
      <c r="H93"/>
      <c r="I93"/>
      <c r="J93"/>
      <c r="K93"/>
      <c r="L93"/>
    </row>
    <row r="94" spans="1:12" ht="15.6" customHeight="1">
      <c r="A94"/>
      <c r="B94"/>
      <c r="C94"/>
      <c r="D94"/>
      <c r="E94"/>
      <c r="F94"/>
      <c r="H94"/>
      <c r="I94"/>
      <c r="J94"/>
      <c r="K94"/>
      <c r="L94"/>
    </row>
    <row r="95" spans="1:12" ht="15.6" customHeight="1">
      <c r="A95"/>
      <c r="B95"/>
      <c r="C95"/>
      <c r="D95"/>
      <c r="E95"/>
      <c r="F95"/>
      <c r="H95"/>
      <c r="I95"/>
      <c r="J95"/>
      <c r="K95"/>
      <c r="L95"/>
    </row>
    <row r="96" spans="1:12" ht="15.6" customHeight="1">
      <c r="A96"/>
      <c r="B96"/>
      <c r="C96"/>
      <c r="D96"/>
      <c r="E96"/>
      <c r="F96"/>
      <c r="H96"/>
      <c r="I96"/>
      <c r="J96"/>
      <c r="K96"/>
      <c r="L96"/>
    </row>
    <row r="97" spans="1:12" ht="15.6" customHeight="1">
      <c r="A97"/>
      <c r="B97"/>
      <c r="C97"/>
      <c r="D97"/>
      <c r="E97"/>
      <c r="F97"/>
      <c r="H97"/>
      <c r="I97"/>
      <c r="J97"/>
      <c r="K97"/>
      <c r="L97"/>
    </row>
    <row r="98" spans="1:12" ht="15.6" customHeight="1">
      <c r="A98"/>
      <c r="B98"/>
      <c r="C98"/>
      <c r="D98"/>
      <c r="E98"/>
      <c r="F98"/>
      <c r="K98"/>
    </row>
    <row r="99" spans="1:12" ht="15.6" customHeight="1">
      <c r="A99"/>
      <c r="B99"/>
      <c r="C99"/>
      <c r="D99"/>
      <c r="E99"/>
      <c r="F99"/>
      <c r="K99"/>
    </row>
    <row r="100" spans="1:12" ht="15.6" customHeight="1">
      <c r="A100"/>
      <c r="B100"/>
      <c r="C100"/>
      <c r="D100"/>
      <c r="E100"/>
      <c r="F100"/>
      <c r="H100" s="68"/>
      <c r="I100"/>
      <c r="J100"/>
      <c r="K100"/>
    </row>
    <row r="101" spans="1:12" ht="15.6" customHeight="1">
      <c r="A101"/>
      <c r="B101"/>
      <c r="C101"/>
      <c r="D101"/>
      <c r="E101"/>
      <c r="F101"/>
      <c r="H101"/>
      <c r="I101"/>
      <c r="J101"/>
      <c r="K101"/>
    </row>
    <row r="102" spans="1:12" ht="15.6" customHeight="1">
      <c r="A102"/>
      <c r="B102"/>
      <c r="C102"/>
      <c r="D102"/>
      <c r="E102"/>
      <c r="F102"/>
      <c r="H102"/>
      <c r="I102"/>
      <c r="J102"/>
      <c r="K102"/>
    </row>
    <row r="103" spans="1:12" ht="15.6" customHeight="1">
      <c r="A103"/>
      <c r="B103"/>
      <c r="C103"/>
      <c r="D103"/>
      <c r="E103"/>
      <c r="F103"/>
      <c r="H103"/>
      <c r="I103"/>
      <c r="J103"/>
      <c r="K103"/>
    </row>
    <row r="104" spans="1:12" ht="15.6" customHeight="1">
      <c r="A104"/>
      <c r="B104"/>
      <c r="C104"/>
      <c r="D104"/>
      <c r="E104"/>
      <c r="F104"/>
      <c r="H104"/>
      <c r="I104" s="69"/>
      <c r="J104" s="69"/>
      <c r="K104" s="69"/>
    </row>
    <row r="105" spans="1:12" ht="15.6" customHeight="1">
      <c r="A105"/>
      <c r="B105"/>
      <c r="C105"/>
      <c r="D105"/>
      <c r="E105"/>
      <c r="F105"/>
      <c r="H105"/>
      <c r="I105" s="69"/>
      <c r="J105" s="69"/>
      <c r="K105" s="69"/>
    </row>
    <row r="106" spans="1:12" ht="15.6" customHeight="1">
      <c r="D106"/>
      <c r="E106"/>
      <c r="F106"/>
      <c r="H106"/>
      <c r="I106" s="69"/>
      <c r="J106" s="69"/>
      <c r="K106" s="69"/>
    </row>
    <row r="107" spans="1:12" ht="15.6" customHeight="1">
      <c r="D107"/>
      <c r="E107"/>
      <c r="F107"/>
      <c r="H107"/>
      <c r="I107"/>
      <c r="J107"/>
      <c r="K107"/>
    </row>
    <row r="108" spans="1:12" ht="15.6" customHeight="1">
      <c r="A108" s="78"/>
      <c r="B108"/>
      <c r="C108"/>
      <c r="D108"/>
      <c r="E108"/>
      <c r="F108"/>
      <c r="H108"/>
      <c r="I108"/>
      <c r="J108"/>
      <c r="K108"/>
    </row>
    <row r="109" spans="1:12" ht="15.6" customHeight="1">
      <c r="A109"/>
      <c r="B109"/>
      <c r="C109"/>
      <c r="D109"/>
      <c r="E109"/>
      <c r="F109"/>
      <c r="H109"/>
      <c r="I109"/>
      <c r="J109"/>
      <c r="K109"/>
    </row>
    <row r="110" spans="1:12" ht="15.6" customHeight="1">
      <c r="A110"/>
      <c r="B110"/>
      <c r="C110"/>
      <c r="D110"/>
      <c r="E110"/>
      <c r="F110"/>
      <c r="H110"/>
      <c r="I110"/>
      <c r="J110"/>
      <c r="K110"/>
    </row>
    <row r="111" spans="1:12" ht="15.6" customHeight="1">
      <c r="A111"/>
      <c r="B111"/>
      <c r="C111"/>
      <c r="D111"/>
      <c r="E111"/>
      <c r="F111"/>
      <c r="H111"/>
      <c r="I111"/>
      <c r="J111"/>
      <c r="K111"/>
    </row>
    <row r="112" spans="1:12" ht="15.6" customHeight="1">
      <c r="A112"/>
      <c r="B112"/>
      <c r="C112"/>
      <c r="D112"/>
      <c r="E112"/>
      <c r="F112"/>
    </row>
    <row r="113" spans="1:11" ht="15.6" customHeight="1">
      <c r="A113"/>
      <c r="B113"/>
      <c r="C113"/>
      <c r="D113"/>
      <c r="E113"/>
      <c r="F113"/>
    </row>
    <row r="114" spans="1:11" ht="15.6" customHeight="1">
      <c r="A114"/>
      <c r="B114"/>
      <c r="C114"/>
      <c r="D114"/>
      <c r="E114"/>
      <c r="F114"/>
      <c r="H114" s="68"/>
      <c r="I114"/>
      <c r="J114"/>
      <c r="K114"/>
    </row>
    <row r="115" spans="1:11" ht="15.6" customHeight="1">
      <c r="A115"/>
      <c r="B115"/>
      <c r="C115"/>
      <c r="D115"/>
      <c r="E115"/>
      <c r="F115"/>
      <c r="H115"/>
      <c r="I115"/>
      <c r="J115"/>
      <c r="K115"/>
    </row>
    <row r="116" spans="1:11" ht="15.6" customHeight="1">
      <c r="A116"/>
      <c r="B116"/>
      <c r="C116"/>
      <c r="D116"/>
      <c r="E116"/>
      <c r="F116"/>
      <c r="H116"/>
      <c r="I116"/>
      <c r="J116"/>
      <c r="K116"/>
    </row>
    <row r="117" spans="1:11" ht="15.6" customHeight="1">
      <c r="A117"/>
      <c r="B117"/>
      <c r="C117"/>
      <c r="D117"/>
      <c r="E117"/>
      <c r="F117"/>
      <c r="H117"/>
      <c r="I117"/>
      <c r="J117" s="69"/>
      <c r="K117" s="69"/>
    </row>
    <row r="118" spans="1:11" ht="15.6" customHeight="1">
      <c r="A118"/>
      <c r="B118"/>
      <c r="C118"/>
      <c r="D118"/>
      <c r="E118"/>
      <c r="F118"/>
      <c r="H118"/>
      <c r="I118"/>
      <c r="J118" s="69"/>
      <c r="K118" s="69"/>
    </row>
    <row r="119" spans="1:11" ht="15.6" customHeight="1">
      <c r="A119"/>
      <c r="B119"/>
      <c r="C119"/>
      <c r="D119"/>
      <c r="E119"/>
      <c r="F119"/>
      <c r="H119"/>
      <c r="I119"/>
      <c r="J119" s="69"/>
      <c r="K119" s="69"/>
    </row>
    <row r="120" spans="1:11" ht="15.6" customHeight="1">
      <c r="A120"/>
      <c r="B120"/>
      <c r="C120"/>
      <c r="D120"/>
      <c r="E120"/>
      <c r="F120"/>
      <c r="H120"/>
      <c r="I120"/>
      <c r="J120"/>
      <c r="K120"/>
    </row>
    <row r="121" spans="1:11" ht="15.6" customHeight="1">
      <c r="A121"/>
      <c r="B121"/>
      <c r="C121"/>
      <c r="D121"/>
      <c r="E121"/>
      <c r="F121"/>
      <c r="G121"/>
      <c r="H121"/>
      <c r="I121"/>
      <c r="J121"/>
      <c r="K121"/>
    </row>
    <row r="122" spans="1:11" ht="15.6" customHeight="1">
      <c r="A122"/>
      <c r="B122"/>
      <c r="C122"/>
      <c r="D122"/>
      <c r="E122"/>
      <c r="F122"/>
      <c r="G122"/>
      <c r="H122"/>
      <c r="I122"/>
      <c r="J122"/>
      <c r="K122"/>
    </row>
    <row r="123" spans="1:11" ht="15.6" customHeight="1">
      <c r="A123"/>
      <c r="B123"/>
      <c r="C123"/>
      <c r="D123"/>
      <c r="E123"/>
      <c r="F123"/>
      <c r="G123"/>
      <c r="H123"/>
      <c r="I123" s="69"/>
      <c r="J123" s="69"/>
    </row>
    <row r="124" spans="1:11" ht="15.6" customHeight="1">
      <c r="A124"/>
      <c r="B124" s="69"/>
      <c r="C124" s="69"/>
      <c r="D124"/>
      <c r="E124"/>
      <c r="F124"/>
      <c r="G124"/>
      <c r="H124"/>
      <c r="I124" s="69"/>
      <c r="J124" s="69"/>
    </row>
    <row r="125" spans="1:11" ht="15.6" customHeight="1">
      <c r="A125"/>
      <c r="B125"/>
      <c r="C125"/>
      <c r="D125"/>
      <c r="F125"/>
      <c r="G125"/>
      <c r="H125"/>
      <c r="I125"/>
      <c r="J125"/>
    </row>
    <row r="126" spans="1:11" ht="15.6" customHeight="1">
      <c r="A126"/>
      <c r="B126"/>
      <c r="C126"/>
      <c r="D126"/>
      <c r="F126"/>
      <c r="G126"/>
      <c r="H126"/>
      <c r="I126"/>
      <c r="J126"/>
    </row>
    <row r="127" spans="1:11" ht="15.6" customHeight="1">
      <c r="A127"/>
      <c r="B127"/>
      <c r="C127"/>
      <c r="D127"/>
      <c r="F127"/>
      <c r="G127"/>
      <c r="H127"/>
      <c r="I127"/>
      <c r="J127"/>
    </row>
    <row r="128" spans="1:11" ht="15.6" customHeight="1">
      <c r="A128"/>
      <c r="B128" s="69"/>
      <c r="C128" s="69"/>
      <c r="D128"/>
      <c r="F128"/>
      <c r="G128"/>
      <c r="H128"/>
      <c r="I128"/>
      <c r="J128"/>
    </row>
    <row r="129" spans="1:10" ht="15.6" customHeight="1">
      <c r="A129"/>
      <c r="B129" s="69"/>
      <c r="C129" s="69"/>
      <c r="D129"/>
      <c r="F129"/>
      <c r="G129"/>
      <c r="H129"/>
      <c r="I129"/>
      <c r="J129"/>
    </row>
    <row r="130" spans="1:10" ht="15.6" customHeight="1">
      <c r="A130"/>
      <c r="B130" s="69"/>
      <c r="C130" s="69"/>
      <c r="D130"/>
      <c r="F130"/>
    </row>
    <row r="131" spans="1:10" ht="15.6" customHeight="1">
      <c r="A131"/>
      <c r="B131"/>
      <c r="C131"/>
      <c r="D131"/>
      <c r="F131"/>
    </row>
    <row r="132" spans="1:10" ht="15.6" customHeight="1">
      <c r="A132"/>
      <c r="B132" s="69"/>
      <c r="C132" s="69"/>
      <c r="D132"/>
      <c r="F132"/>
    </row>
    <row r="133" spans="1:10" ht="15.6" customHeight="1">
      <c r="A133"/>
      <c r="B133" s="69"/>
      <c r="C133" s="69"/>
      <c r="D133"/>
      <c r="F133"/>
    </row>
    <row r="134" spans="1:10" ht="15.6" customHeight="1">
      <c r="A134"/>
      <c r="B134" s="69"/>
      <c r="C134" s="69"/>
      <c r="D134"/>
      <c r="F134"/>
    </row>
    <row r="135" spans="1:10" ht="15.6" customHeight="1">
      <c r="A135"/>
      <c r="B135"/>
      <c r="C135"/>
      <c r="D135"/>
      <c r="F135"/>
    </row>
    <row r="136" spans="1:10" ht="15.6" customHeight="1">
      <c r="A136"/>
      <c r="B136" s="69"/>
      <c r="C136" s="69"/>
      <c r="D136"/>
      <c r="F136"/>
    </row>
    <row r="137" spans="1:10" ht="15.6" customHeight="1">
      <c r="A137"/>
      <c r="B137" s="69"/>
      <c r="C137" s="69"/>
      <c r="D137"/>
      <c r="F137"/>
    </row>
  </sheetData>
  <mergeCells count="1">
    <mergeCell ref="G51:G52"/>
  </mergeCells>
  <phoneticPr fontId="0" type="noConversion"/>
  <hyperlinks>
    <hyperlink ref="A2" location="Innhold!A8" display="Tilbake til innholdsfortegnelsen"/>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dimension ref="A1:AJ209"/>
  <sheetViews>
    <sheetView showGridLines="0" showRowColHeaders="0" topLeftCell="A2" zoomScale="70" zoomScaleNormal="7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21" width="11.42578125" style="1" customWidth="1"/>
    <col min="22" max="22" width="15.42578125" style="1" customWidth="1"/>
    <col min="23" max="16384" width="11.42578125" style="1"/>
  </cols>
  <sheetData>
    <row r="1" spans="1:36" ht="5.25" customHeight="1"/>
    <row r="2" spans="1:36">
      <c r="A2" s="92" t="s">
        <v>0</v>
      </c>
      <c r="B2" s="2"/>
      <c r="C2" s="2"/>
      <c r="D2" s="2"/>
      <c r="E2" s="2"/>
      <c r="F2" s="2"/>
      <c r="G2" s="2"/>
    </row>
    <row r="3" spans="1:36" ht="6" customHeight="1">
      <c r="A3" s="3"/>
      <c r="B3" s="2"/>
      <c r="C3" s="2"/>
      <c r="D3" s="2"/>
      <c r="E3" s="2"/>
      <c r="F3" s="2"/>
      <c r="G3" s="2"/>
    </row>
    <row r="4" spans="1:36" ht="12.75" customHeight="1">
      <c r="A4" s="149" t="s">
        <v>90</v>
      </c>
      <c r="B4" s="2"/>
      <c r="C4" s="2"/>
      <c r="D4" s="2"/>
      <c r="E4" s="2"/>
      <c r="F4" s="2"/>
      <c r="G4" s="2"/>
      <c r="H4" s="67"/>
    </row>
    <row r="5" spans="1:36" ht="12.75" customHeight="1">
      <c r="A5" s="149"/>
      <c r="B5" s="2"/>
      <c r="C5" s="2"/>
      <c r="D5" s="2"/>
      <c r="E5" s="2"/>
      <c r="F5" s="2"/>
      <c r="G5" s="2"/>
      <c r="H5" s="67"/>
    </row>
    <row r="6" spans="1:36" ht="15.7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183</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75">
      <c r="A7" s="3"/>
      <c r="B7" s="2"/>
      <c r="C7" s="2"/>
      <c r="D7" s="2"/>
      <c r="E7" s="2"/>
      <c r="F7" s="2"/>
      <c r="G7" s="2"/>
      <c r="H7" s="67"/>
      <c r="V7" s="88"/>
      <c r="AJ7" s="88"/>
    </row>
    <row r="8" spans="1:36">
      <c r="A8" s="3"/>
      <c r="B8" s="2"/>
      <c r="C8" s="2"/>
      <c r="D8" s="2"/>
      <c r="E8" s="2"/>
      <c r="F8" s="2"/>
      <c r="G8" s="2"/>
      <c r="H8" s="67"/>
    </row>
    <row r="9" spans="1:36">
      <c r="A9" s="3"/>
      <c r="B9" s="2"/>
      <c r="C9" s="2"/>
      <c r="D9" s="2"/>
      <c r="E9" s="2"/>
      <c r="F9" s="2"/>
      <c r="G9" s="2"/>
      <c r="H9" s="67"/>
    </row>
    <row r="10" spans="1:36">
      <c r="A10" s="3"/>
      <c r="B10" s="2"/>
      <c r="C10" s="2"/>
      <c r="D10" s="2"/>
      <c r="E10" s="2"/>
      <c r="F10" s="2"/>
      <c r="G10" s="2"/>
      <c r="H10" s="67"/>
    </row>
    <row r="11" spans="1:36">
      <c r="A11" s="3"/>
      <c r="B11" s="2"/>
      <c r="C11" s="2"/>
      <c r="D11" s="2"/>
      <c r="E11" s="2"/>
      <c r="F11" s="2"/>
      <c r="G11" s="2"/>
      <c r="H11" s="67"/>
    </row>
    <row r="12" spans="1:36">
      <c r="A12" s="3"/>
      <c r="B12" s="2"/>
      <c r="C12" s="2"/>
      <c r="D12" s="2"/>
      <c r="E12" s="2"/>
      <c r="F12" s="2"/>
      <c r="G12" s="2"/>
      <c r="H12" s="67"/>
    </row>
    <row r="13" spans="1:36">
      <c r="A13" s="3"/>
      <c r="B13" s="2"/>
      <c r="C13" s="2"/>
      <c r="D13" s="2"/>
      <c r="E13" s="2"/>
      <c r="F13" s="2"/>
      <c r="G13" s="2"/>
      <c r="H13" s="67"/>
    </row>
    <row r="14" spans="1:36">
      <c r="A14" s="3"/>
      <c r="B14" s="2"/>
      <c r="C14" s="2"/>
      <c r="D14" s="2"/>
      <c r="E14" s="2"/>
      <c r="F14" s="2"/>
      <c r="G14" s="2"/>
      <c r="H14" s="67"/>
    </row>
    <row r="15" spans="1:36">
      <c r="A15" s="3"/>
      <c r="B15" s="2"/>
      <c r="C15" s="2"/>
      <c r="D15" s="2"/>
      <c r="E15" s="2"/>
      <c r="F15" s="2"/>
      <c r="G15" s="2"/>
      <c r="H15" s="67"/>
    </row>
    <row r="16" spans="1:36">
      <c r="A16" s="3"/>
      <c r="B16" s="2"/>
      <c r="C16" s="2"/>
      <c r="D16" s="2"/>
      <c r="E16" s="2"/>
      <c r="F16" s="2"/>
      <c r="G16" s="2"/>
      <c r="H16" s="67"/>
    </row>
    <row r="17" spans="1:30">
      <c r="A17" s="3"/>
      <c r="B17" s="2"/>
      <c r="C17" s="2"/>
      <c r="D17" s="2"/>
      <c r="E17" s="2"/>
      <c r="F17" s="2"/>
      <c r="G17" s="2"/>
      <c r="H17" s="67"/>
    </row>
    <row r="18" spans="1:30">
      <c r="A18" s="3"/>
      <c r="B18" s="2"/>
      <c r="C18" s="2"/>
      <c r="D18" s="2"/>
      <c r="E18" s="2"/>
      <c r="F18" s="2"/>
      <c r="G18" s="2"/>
      <c r="H18" s="67"/>
    </row>
    <row r="19" spans="1:30">
      <c r="A19" s="3"/>
      <c r="B19" s="2"/>
      <c r="C19" s="2"/>
      <c r="D19" s="2"/>
      <c r="E19" s="2"/>
      <c r="F19" s="2"/>
      <c r="G19" s="2"/>
      <c r="H19" s="67"/>
    </row>
    <row r="20" spans="1:30">
      <c r="A20" s="3"/>
      <c r="B20" s="2"/>
      <c r="C20" s="2"/>
      <c r="D20" s="2"/>
      <c r="E20" s="2"/>
      <c r="F20" s="2"/>
      <c r="G20" s="2"/>
      <c r="H20" s="67"/>
    </row>
    <row r="21" spans="1:30">
      <c r="A21" s="3"/>
      <c r="B21" s="2"/>
      <c r="C21" s="2"/>
      <c r="D21" s="2"/>
      <c r="E21" s="2"/>
      <c r="F21" s="2"/>
      <c r="G21" s="2"/>
      <c r="H21" s="67"/>
    </row>
    <row r="22" spans="1:30">
      <c r="A22" s="3"/>
      <c r="B22" s="2"/>
      <c r="C22" s="2"/>
      <c r="D22" s="2"/>
      <c r="E22" s="2"/>
      <c r="F22" s="2"/>
      <c r="G22" s="2"/>
      <c r="H22" s="67"/>
    </row>
    <row r="23" spans="1:30">
      <c r="A23" s="3"/>
      <c r="B23" s="2"/>
      <c r="C23" s="2"/>
      <c r="D23" s="2"/>
      <c r="E23" s="2"/>
      <c r="F23" s="2"/>
      <c r="G23" s="2"/>
      <c r="H23" s="67"/>
    </row>
    <row r="24" spans="1:30">
      <c r="A24" s="3"/>
      <c r="B24" s="2"/>
      <c r="C24" s="2"/>
      <c r="D24" s="2"/>
      <c r="E24" s="2"/>
      <c r="F24" s="2"/>
      <c r="G24" s="2"/>
      <c r="H24" s="67"/>
    </row>
    <row r="25" spans="1:30">
      <c r="A25" s="3"/>
      <c r="B25" s="2"/>
      <c r="C25" s="2"/>
      <c r="D25" s="2"/>
      <c r="E25" s="2"/>
      <c r="F25" s="2"/>
      <c r="G25" s="2"/>
      <c r="H25" s="67"/>
    </row>
    <row r="26" spans="1:30">
      <c r="A26" s="3"/>
      <c r="B26" s="2"/>
      <c r="C26" s="2"/>
      <c r="D26" s="2"/>
      <c r="E26" s="2"/>
      <c r="F26" s="2"/>
      <c r="G26" s="2"/>
      <c r="H26" s="67"/>
    </row>
    <row r="27" spans="1:30">
      <c r="A27" s="3"/>
      <c r="B27" s="2"/>
      <c r="C27" s="2"/>
      <c r="D27" s="2"/>
      <c r="E27" s="2"/>
      <c r="F27" s="2"/>
      <c r="G27" s="2"/>
      <c r="H27" s="67"/>
    </row>
    <row r="28" spans="1:30">
      <c r="A28" s="3"/>
      <c r="B28" s="2"/>
      <c r="C28" s="2"/>
      <c r="D28" s="2"/>
      <c r="E28" s="2"/>
      <c r="F28" s="2"/>
      <c r="G28" s="2"/>
      <c r="H28" s="67"/>
    </row>
    <row r="29" spans="1:30">
      <c r="A29" s="3"/>
      <c r="B29" s="2"/>
      <c r="C29" s="2"/>
      <c r="D29" s="2"/>
      <c r="E29" s="2"/>
      <c r="F29" s="2"/>
      <c r="G29" s="2"/>
      <c r="H29" s="67"/>
    </row>
    <row r="30" spans="1:30">
      <c r="A30" s="3"/>
      <c r="B30" s="2"/>
      <c r="C30" s="2"/>
      <c r="D30" s="2"/>
      <c r="E30" s="2"/>
      <c r="F30" s="2"/>
      <c r="G30" s="2"/>
      <c r="H30" s="67"/>
    </row>
    <row r="31" spans="1:30">
      <c r="A31" s="3"/>
      <c r="B31" s="2"/>
      <c r="C31" s="2"/>
      <c r="D31" s="2"/>
      <c r="E31" s="2"/>
      <c r="F31" s="2"/>
      <c r="G31" s="2"/>
      <c r="H31" s="67"/>
    </row>
    <row r="32" spans="1:30" ht="15.7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2013</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c r="A33" s="3"/>
      <c r="B33" s="2"/>
      <c r="C33" s="2"/>
      <c r="D33" s="2"/>
      <c r="E33" s="2"/>
      <c r="F33" s="2"/>
      <c r="G33" s="2"/>
      <c r="H33" s="67"/>
    </row>
    <row r="34" spans="1:8">
      <c r="A34" s="3"/>
      <c r="B34" s="2"/>
      <c r="C34" s="2"/>
      <c r="D34" s="2"/>
      <c r="E34" s="2"/>
      <c r="F34" s="2"/>
      <c r="G34" s="2"/>
      <c r="H34" s="67"/>
    </row>
    <row r="35" spans="1:8">
      <c r="A35" s="3"/>
      <c r="B35" s="2"/>
      <c r="C35" s="2"/>
      <c r="D35" s="2"/>
      <c r="E35" s="2"/>
      <c r="F35" s="2"/>
      <c r="G35" s="2"/>
      <c r="H35" s="67"/>
    </row>
    <row r="36" spans="1:8">
      <c r="A36" s="3"/>
      <c r="B36" s="2"/>
      <c r="C36" s="2"/>
      <c r="D36" s="2"/>
      <c r="E36" s="2"/>
      <c r="F36" s="2"/>
      <c r="G36" s="2"/>
      <c r="H36" s="67"/>
    </row>
    <row r="37" spans="1:8">
      <c r="A37" s="47"/>
      <c r="B37" s="48"/>
      <c r="C37" s="49"/>
      <c r="D37" s="49"/>
      <c r="E37" s="49"/>
      <c r="F37" s="49"/>
      <c r="G37" s="50"/>
      <c r="H37" s="51"/>
    </row>
    <row r="38" spans="1:8">
      <c r="A38" s="47"/>
      <c r="B38" s="48"/>
      <c r="C38" s="49"/>
      <c r="D38" s="49"/>
      <c r="E38" s="49"/>
      <c r="F38" s="49"/>
      <c r="G38" s="50"/>
      <c r="H38" s="51"/>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36">
      <c r="A49" s="47"/>
      <c r="B49" s="48"/>
      <c r="C49" s="49"/>
      <c r="D49" s="49"/>
      <c r="E49" s="98"/>
      <c r="F49" s="49"/>
      <c r="G49" s="50"/>
      <c r="H49" s="51"/>
    </row>
    <row r="50" spans="1:36">
      <c r="A50" s="47"/>
      <c r="B50" s="48"/>
      <c r="C50" s="49"/>
      <c r="D50" s="49"/>
      <c r="E50" s="49"/>
      <c r="F50" s="49"/>
      <c r="G50" s="50"/>
      <c r="H50" s="51"/>
    </row>
    <row r="51" spans="1:36">
      <c r="A51" s="47"/>
      <c r="B51" s="48"/>
      <c r="C51" s="49"/>
      <c r="D51" s="49"/>
      <c r="E51" s="49"/>
      <c r="F51" s="49"/>
      <c r="G51" s="50"/>
      <c r="H51" s="51"/>
    </row>
    <row r="52" spans="1:36">
      <c r="A52" s="47"/>
      <c r="B52" s="48"/>
      <c r="C52" s="49"/>
      <c r="D52" s="49"/>
      <c r="E52" s="49"/>
      <c r="F52" s="49"/>
      <c r="G52" s="50"/>
      <c r="H52" s="51"/>
    </row>
    <row r="53" spans="1:36">
      <c r="A53" s="47"/>
      <c r="B53" s="48"/>
      <c r="C53" s="49"/>
      <c r="D53" s="49"/>
      <c r="E53" s="49"/>
      <c r="F53" s="49"/>
      <c r="G53" s="50"/>
      <c r="H53" s="51"/>
    </row>
    <row r="54" spans="1:36">
      <c r="A54" s="47"/>
      <c r="B54" s="48"/>
      <c r="C54" s="49"/>
      <c r="D54" s="49"/>
      <c r="E54" s="49"/>
      <c r="F54" s="49"/>
      <c r="G54" s="50"/>
      <c r="H54" s="51"/>
    </row>
    <row r="55" spans="1:36">
      <c r="A55" s="47"/>
      <c r="B55" s="48"/>
      <c r="C55" s="49"/>
      <c r="D55" s="49"/>
      <c r="E55" s="49"/>
      <c r="F55" s="49"/>
      <c r="G55" s="50"/>
      <c r="H55" s="51"/>
    </row>
    <row r="56" spans="1:36">
      <c r="A56" s="47"/>
      <c r="B56" s="48"/>
      <c r="C56" s="49"/>
      <c r="D56" s="49"/>
      <c r="E56" s="49"/>
      <c r="F56" s="49"/>
      <c r="G56" s="50"/>
      <c r="H56" s="51"/>
    </row>
    <row r="57" spans="1:36">
      <c r="A57" s="47"/>
      <c r="B57" s="48"/>
      <c r="C57" s="49"/>
      <c r="D57" s="49"/>
      <c r="E57" s="49"/>
      <c r="F57" s="49"/>
      <c r="G57" s="50"/>
      <c r="H57" s="51"/>
    </row>
    <row r="58" spans="1:36">
      <c r="A58" s="47"/>
      <c r="B58" s="48"/>
      <c r="C58" s="49"/>
      <c r="D58" s="49"/>
      <c r="E58" s="49"/>
      <c r="F58" s="49"/>
      <c r="G58" s="50"/>
      <c r="H58" s="51"/>
    </row>
    <row r="59" spans="1:36">
      <c r="A59" s="47"/>
      <c r="B59" s="48"/>
      <c r="C59" s="49"/>
      <c r="D59" s="49"/>
      <c r="E59" s="49"/>
      <c r="F59" s="49"/>
      <c r="G59" s="50"/>
      <c r="H59" s="51"/>
    </row>
    <row r="60" spans="1:36">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c r="A61" s="147">
        <v>4</v>
      </c>
      <c r="H61" s="53" t="str">
        <f>+Innhold!H123</f>
        <v>Finans Norge / Skadestatistikk</v>
      </c>
      <c r="I61" s="54" t="str">
        <f>+Innhold!H123</f>
        <v>Finans Norge / Skadestatistikk</v>
      </c>
      <c r="O61" s="145">
        <v>5</v>
      </c>
      <c r="P61" s="147">
        <v>6</v>
      </c>
      <c r="V61" s="53" t="str">
        <f>+Innhold!H123</f>
        <v>Finans Norge / Skadestatistikk</v>
      </c>
      <c r="W61" s="54" t="str">
        <f>+Innhold!H123</f>
        <v>Finans Norge / Skadestatistikk</v>
      </c>
      <c r="AC61" s="145">
        <v>7</v>
      </c>
      <c r="AD61" s="147">
        <v>8</v>
      </c>
      <c r="AJ61" s="53" t="str">
        <f>+Innhold!H123</f>
        <v>Finans Norge / Skadestatistikk</v>
      </c>
    </row>
    <row r="62" spans="1:36">
      <c r="A62" s="148"/>
      <c r="H62" s="53" t="str">
        <f>+Innhold!H124</f>
        <v>Skadestatistikk for landbasert forsikring 4.kvartal 2013</v>
      </c>
      <c r="I62" s="54" t="str">
        <f>+Innhold!H124</f>
        <v>Skadestatistikk for landbasert forsikring 4.kvartal 2013</v>
      </c>
      <c r="O62" s="146"/>
      <c r="P62" s="148"/>
      <c r="V62" s="53" t="str">
        <f>+Innhold!H124</f>
        <v>Skadestatistikk for landbasert forsikring 4.kvartal 2013</v>
      </c>
      <c r="W62" s="54" t="str">
        <f>+Innhold!H124</f>
        <v>Skadestatistikk for landbasert forsikring 4.kvartal 2013</v>
      </c>
      <c r="AC62" s="146"/>
      <c r="AD62" s="148"/>
      <c r="AJ62" s="53" t="str">
        <f>+Innhold!H124</f>
        <v>Skadestatistikk for landbasert forsikring 4.kvartal 2013</v>
      </c>
    </row>
    <row r="67" spans="1:34" ht="12.75" customHeight="1">
      <c r="A67" s="116"/>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row>
    <row r="68" spans="1:34" ht="12.75" customHeight="1">
      <c r="A68" s="116"/>
      <c r="B68" s="116"/>
      <c r="C68" s="116"/>
      <c r="D68" s="116"/>
      <c r="E68" s="116"/>
      <c r="F68" s="116"/>
      <c r="G68" s="116"/>
      <c r="H68" s="116"/>
      <c r="I68" s="116"/>
      <c r="J68" s="116"/>
      <c r="K68" s="116"/>
      <c r="L68" s="116"/>
      <c r="M68" s="117" t="s">
        <v>178</v>
      </c>
      <c r="N68" s="116"/>
      <c r="O68" s="116"/>
      <c r="P68" s="117" t="s">
        <v>180</v>
      </c>
      <c r="Q68" s="116"/>
      <c r="R68" s="116"/>
      <c r="S68" s="117" t="s">
        <v>179</v>
      </c>
      <c r="T68" s="116"/>
      <c r="U68" s="116"/>
      <c r="V68" s="116"/>
      <c r="W68" s="116"/>
      <c r="X68" s="116"/>
      <c r="Y68" s="116"/>
      <c r="Z68" s="116"/>
      <c r="AA68" s="116"/>
      <c r="AB68" s="116"/>
      <c r="AC68" s="116"/>
      <c r="AD68" s="116"/>
      <c r="AE68" s="116"/>
      <c r="AF68" s="116"/>
      <c r="AG68" s="116"/>
      <c r="AH68" s="116"/>
    </row>
    <row r="69" spans="1:34">
      <c r="A69" s="118" t="s">
        <v>184</v>
      </c>
      <c r="B69" s="119"/>
      <c r="C69" s="119"/>
      <c r="D69" s="119" t="s">
        <v>74</v>
      </c>
      <c r="E69" s="119"/>
      <c r="F69" s="119"/>
      <c r="G69" s="119"/>
      <c r="H69" s="118"/>
      <c r="I69" s="120">
        <f>134.2</f>
        <v>134.19999999999999</v>
      </c>
      <c r="J69" s="121" t="s">
        <v>194</v>
      </c>
      <c r="K69" s="116"/>
      <c r="L69" s="116"/>
      <c r="M69" s="117" t="s">
        <v>162</v>
      </c>
      <c r="N69" s="116"/>
      <c r="O69" s="116"/>
      <c r="P69" s="117" t="s">
        <v>176</v>
      </c>
      <c r="Q69" s="116"/>
      <c r="R69" s="116"/>
      <c r="S69" s="117" t="s">
        <v>177</v>
      </c>
      <c r="T69" s="116"/>
      <c r="U69" s="116"/>
      <c r="V69" s="118" t="s">
        <v>185</v>
      </c>
      <c r="W69" s="119"/>
      <c r="X69" s="119"/>
      <c r="Y69" s="119"/>
      <c r="Z69" s="119"/>
      <c r="AA69" s="116"/>
      <c r="AB69" s="116"/>
      <c r="AC69" s="116"/>
      <c r="AD69" s="116"/>
      <c r="AE69" s="116"/>
      <c r="AF69" s="116"/>
      <c r="AG69" s="116"/>
      <c r="AH69" s="116"/>
    </row>
    <row r="70" spans="1:34">
      <c r="A70" s="119" t="s">
        <v>75</v>
      </c>
      <c r="B70" s="119" t="s">
        <v>76</v>
      </c>
      <c r="C70" s="119" t="s">
        <v>26</v>
      </c>
      <c r="D70" s="119" t="s">
        <v>77</v>
      </c>
      <c r="E70" s="119"/>
      <c r="F70" s="119"/>
      <c r="G70" s="119"/>
      <c r="H70" s="116"/>
      <c r="I70" s="122" t="s">
        <v>160</v>
      </c>
      <c r="J70" s="116"/>
      <c r="K70" s="122" t="s">
        <v>76</v>
      </c>
      <c r="L70" s="122" t="s">
        <v>108</v>
      </c>
      <c r="M70" s="122" t="s">
        <v>158</v>
      </c>
      <c r="N70" s="122" t="s">
        <v>159</v>
      </c>
      <c r="O70" s="122" t="s">
        <v>108</v>
      </c>
      <c r="P70" s="122" t="s">
        <v>158</v>
      </c>
      <c r="Q70" s="122" t="s">
        <v>159</v>
      </c>
      <c r="R70" s="122" t="s">
        <v>108</v>
      </c>
      <c r="S70" s="122" t="s">
        <v>158</v>
      </c>
      <c r="T70" s="122" t="s">
        <v>159</v>
      </c>
      <c r="U70" s="116"/>
      <c r="V70" s="119" t="s">
        <v>81</v>
      </c>
      <c r="W70" s="119"/>
      <c r="X70" s="123" t="str">
        <f>+'Tab3'!C6</f>
        <v>2011</v>
      </c>
      <c r="Y70" s="123" t="str">
        <f>+'Tab3'!D6</f>
        <v>2012</v>
      </c>
      <c r="Z70" s="123" t="str">
        <f>+'Tab3'!E6</f>
        <v>2013</v>
      </c>
      <c r="AA70" s="116"/>
      <c r="AB70" s="116"/>
      <c r="AC70" s="116"/>
      <c r="AD70" s="116"/>
      <c r="AE70" s="116"/>
      <c r="AF70" s="116"/>
      <c r="AG70" s="116"/>
      <c r="AH70" s="116"/>
    </row>
    <row r="71" spans="1:34">
      <c r="A71" s="119">
        <v>1</v>
      </c>
      <c r="B71" s="119">
        <v>1983</v>
      </c>
      <c r="C71" s="119">
        <v>97</v>
      </c>
      <c r="D71" s="119">
        <v>78.3</v>
      </c>
      <c r="E71" s="119"/>
      <c r="F71" s="119"/>
      <c r="G71" s="119"/>
      <c r="H71" s="116"/>
      <c r="I71" s="124">
        <v>53.8</v>
      </c>
      <c r="J71" s="116">
        <v>1</v>
      </c>
      <c r="K71" s="116">
        <v>1983</v>
      </c>
      <c r="L71" s="125">
        <v>11621</v>
      </c>
      <c r="M71" s="124">
        <v>80.900000000000006</v>
      </c>
      <c r="N71" s="124">
        <f t="shared" ref="N71:N102" si="0">M71/I71*$I$69</f>
        <v>201.79888475836432</v>
      </c>
      <c r="O71" s="116"/>
      <c r="P71" s="116"/>
      <c r="Q71" s="116"/>
      <c r="R71" s="116"/>
      <c r="S71" s="116"/>
      <c r="T71" s="116"/>
      <c r="U71" s="116"/>
      <c r="V71" s="119"/>
      <c r="W71" s="119"/>
      <c r="X71" s="119"/>
      <c r="Y71" s="119"/>
      <c r="Z71" s="119"/>
      <c r="AA71" s="116"/>
      <c r="AB71" s="116"/>
      <c r="AC71" s="116"/>
      <c r="AD71" s="116"/>
      <c r="AE71" s="116"/>
      <c r="AF71" s="116"/>
      <c r="AG71" s="116"/>
      <c r="AH71" s="116"/>
    </row>
    <row r="72" spans="1:34">
      <c r="A72" s="119">
        <v>2</v>
      </c>
      <c r="B72" s="119"/>
      <c r="C72" s="119">
        <v>78.8</v>
      </c>
      <c r="D72" s="119">
        <v>61.3</v>
      </c>
      <c r="E72" s="119"/>
      <c r="F72" s="119"/>
      <c r="G72" s="119"/>
      <c r="H72" s="116"/>
      <c r="I72" s="124">
        <v>54.7</v>
      </c>
      <c r="J72" s="116">
        <v>2</v>
      </c>
      <c r="K72" s="116"/>
      <c r="L72" s="125">
        <v>11120</v>
      </c>
      <c r="M72" s="124">
        <v>68.900000000000006</v>
      </c>
      <c r="N72" s="124">
        <f t="shared" si="0"/>
        <v>169.0380255941499</v>
      </c>
      <c r="O72" s="116"/>
      <c r="P72" s="116"/>
      <c r="Q72" s="116"/>
      <c r="R72" s="116"/>
      <c r="S72" s="116"/>
      <c r="T72" s="116"/>
      <c r="U72" s="116"/>
      <c r="V72" s="119" t="s">
        <v>26</v>
      </c>
      <c r="W72" s="119"/>
      <c r="X72" s="126">
        <f>IF('Tab6'!C36="",'Tab6'!C35,'Tab6'!C36)</f>
        <v>11831.883473502399</v>
      </c>
      <c r="Y72" s="126">
        <f>IF('Tab6'!D36="",'Tab6'!D35,'Tab6'!D36)</f>
        <v>12032.8133199393</v>
      </c>
      <c r="Z72" s="126">
        <f>IF('Tab6'!E36="",'Tab6'!E35,'Tab6'!E36)</f>
        <v>12580.545681800801</v>
      </c>
      <c r="AA72" s="116"/>
      <c r="AB72" s="116"/>
      <c r="AC72" s="116"/>
      <c r="AD72" s="116"/>
      <c r="AE72" s="116"/>
      <c r="AF72" s="116"/>
      <c r="AG72" s="116"/>
      <c r="AH72" s="116"/>
    </row>
    <row r="73" spans="1:34">
      <c r="A73" s="119">
        <v>3</v>
      </c>
      <c r="B73" s="119"/>
      <c r="C73" s="119">
        <v>84.8</v>
      </c>
      <c r="D73" s="119">
        <v>63</v>
      </c>
      <c r="E73" s="119"/>
      <c r="F73" s="119"/>
      <c r="G73" s="119"/>
      <c r="H73" s="116"/>
      <c r="I73" s="124">
        <v>55.3</v>
      </c>
      <c r="J73" s="116">
        <v>3</v>
      </c>
      <c r="K73" s="116"/>
      <c r="L73" s="125">
        <v>11918</v>
      </c>
      <c r="M73" s="124">
        <v>63.7</v>
      </c>
      <c r="N73" s="124">
        <f t="shared" si="0"/>
        <v>154.58481012658228</v>
      </c>
      <c r="O73" s="116"/>
      <c r="P73" s="116"/>
      <c r="Q73" s="116"/>
      <c r="R73" s="116"/>
      <c r="S73" s="116"/>
      <c r="T73" s="116"/>
      <c r="U73" s="116"/>
      <c r="V73" s="119"/>
      <c r="W73" s="119"/>
      <c r="X73" s="126"/>
      <c r="Y73" s="126"/>
      <c r="Z73" s="126"/>
      <c r="AA73" s="116"/>
      <c r="AB73" s="116"/>
      <c r="AC73" s="116"/>
      <c r="AD73" s="116"/>
      <c r="AE73" s="116"/>
      <c r="AF73" s="116"/>
      <c r="AG73" s="116"/>
      <c r="AH73" s="116"/>
    </row>
    <row r="74" spans="1:34">
      <c r="A74" s="119">
        <v>4</v>
      </c>
      <c r="B74" s="119"/>
      <c r="C74" s="119">
        <v>91.2</v>
      </c>
      <c r="D74" s="119">
        <v>70.8</v>
      </c>
      <c r="E74" s="119"/>
      <c r="F74" s="119"/>
      <c r="G74" s="119"/>
      <c r="H74" s="116"/>
      <c r="I74" s="124">
        <v>56.2</v>
      </c>
      <c r="J74" s="116">
        <v>4</v>
      </c>
      <c r="K74" s="116"/>
      <c r="L74" s="125">
        <v>11905</v>
      </c>
      <c r="M74" s="124">
        <v>79.3</v>
      </c>
      <c r="N74" s="124">
        <f t="shared" si="0"/>
        <v>189.36049822064055</v>
      </c>
      <c r="O74" s="116"/>
      <c r="P74" s="116"/>
      <c r="Q74" s="116"/>
      <c r="R74" s="116"/>
      <c r="S74" s="116"/>
      <c r="T74" s="116"/>
      <c r="U74" s="116"/>
      <c r="V74" s="119" t="s">
        <v>63</v>
      </c>
      <c r="W74" s="119"/>
      <c r="X74" s="126">
        <f>IF('Tab6'!C36="",'Tab6'!C45+'Tab6'!C47,'Tab6'!C46+'Tab6'!C48)</f>
        <v>334.08220468687603</v>
      </c>
      <c r="Y74" s="126">
        <f>IF('Tab6'!D36="",'Tab6'!D45+'Tab6'!D47,'Tab6'!D46+'Tab6'!D48)</f>
        <v>312.59258587686071</v>
      </c>
      <c r="Z74" s="126">
        <f>IF('Tab6'!E36="",'Tab6'!E45+'Tab6'!E47,'Tab6'!E46+'Tab6'!E48)</f>
        <v>339.81941649528</v>
      </c>
      <c r="AA74" s="116"/>
      <c r="AB74" s="116"/>
      <c r="AC74" s="116"/>
      <c r="AD74" s="116"/>
      <c r="AE74" s="116"/>
      <c r="AF74" s="116"/>
      <c r="AG74" s="116"/>
      <c r="AH74" s="116"/>
    </row>
    <row r="75" spans="1:34">
      <c r="A75" s="119">
        <v>1</v>
      </c>
      <c r="B75" s="119">
        <v>1984</v>
      </c>
      <c r="C75" s="119">
        <v>112.2</v>
      </c>
      <c r="D75" s="119">
        <v>90.4</v>
      </c>
      <c r="E75" s="119"/>
      <c r="F75" s="119"/>
      <c r="G75" s="119"/>
      <c r="H75" s="116"/>
      <c r="I75" s="124">
        <v>57.3</v>
      </c>
      <c r="J75" s="116">
        <v>1</v>
      </c>
      <c r="K75" s="116">
        <v>1984</v>
      </c>
      <c r="L75" s="125">
        <v>13205</v>
      </c>
      <c r="M75" s="124">
        <v>86.7</v>
      </c>
      <c r="N75" s="124">
        <f t="shared" si="0"/>
        <v>203.05654450261781</v>
      </c>
      <c r="O75" s="116"/>
      <c r="P75" s="116"/>
      <c r="Q75" s="116"/>
      <c r="R75" s="116"/>
      <c r="S75" s="116"/>
      <c r="T75" s="116"/>
      <c r="U75" s="116"/>
      <c r="V75" s="119" t="s">
        <v>39</v>
      </c>
      <c r="W75" s="119"/>
      <c r="X75" s="126">
        <f>IF('Tab6'!C36="",'Tab6'!C49,'Tab6'!C50)</f>
        <v>1188.07081174321</v>
      </c>
      <c r="Y75" s="126">
        <f>IF('Tab6'!D36="",'Tab6'!D49,'Tab6'!D50)</f>
        <v>1311.8187471884401</v>
      </c>
      <c r="Z75" s="126">
        <f>IF('Tab6'!E36="",'Tab6'!E49,'Tab6'!E50)</f>
        <v>1409.4884598969199</v>
      </c>
      <c r="AA75" s="116"/>
      <c r="AB75" s="116"/>
      <c r="AC75" s="116"/>
      <c r="AD75" s="116"/>
      <c r="AE75" s="116"/>
      <c r="AF75" s="116"/>
      <c r="AG75" s="116"/>
      <c r="AH75" s="116"/>
    </row>
    <row r="76" spans="1:34">
      <c r="A76" s="119">
        <v>2</v>
      </c>
      <c r="B76" s="119"/>
      <c r="C76" s="119">
        <v>81.8</v>
      </c>
      <c r="D76" s="119">
        <v>64.400000000000006</v>
      </c>
      <c r="E76" s="119"/>
      <c r="F76" s="119"/>
      <c r="G76" s="119"/>
      <c r="H76" s="116"/>
      <c r="I76" s="124">
        <v>58.2</v>
      </c>
      <c r="J76" s="116">
        <v>2</v>
      </c>
      <c r="K76" s="116"/>
      <c r="L76" s="125">
        <v>12453</v>
      </c>
      <c r="M76" s="124">
        <v>83.3</v>
      </c>
      <c r="N76" s="124">
        <f t="shared" si="0"/>
        <v>192.07663230240544</v>
      </c>
      <c r="O76" s="116"/>
      <c r="P76" s="116"/>
      <c r="Q76" s="116"/>
      <c r="R76" s="116"/>
      <c r="S76" s="116"/>
      <c r="T76" s="116"/>
      <c r="U76" s="116"/>
      <c r="V76" s="119" t="s">
        <v>18</v>
      </c>
      <c r="W76" s="119"/>
      <c r="X76" s="126">
        <f>IF('Tab6'!C36="",'Tab6'!C43,'Tab6'!C44)</f>
        <v>207.103359266593</v>
      </c>
      <c r="Y76" s="126">
        <f>IF('Tab6'!D36="",'Tab6'!D43,'Tab6'!D44)</f>
        <v>203.49382550853099</v>
      </c>
      <c r="Z76" s="126">
        <f>IF('Tab6'!E36="",'Tab6'!E43,'Tab6'!E44)</f>
        <v>220.266268346825</v>
      </c>
      <c r="AA76" s="116"/>
      <c r="AB76" s="116"/>
      <c r="AC76" s="116"/>
      <c r="AD76" s="116"/>
      <c r="AE76" s="116"/>
      <c r="AF76" s="116"/>
      <c r="AG76" s="116"/>
      <c r="AH76" s="116"/>
    </row>
    <row r="77" spans="1:34">
      <c r="A77" s="119">
        <v>3</v>
      </c>
      <c r="B77" s="119"/>
      <c r="C77" s="119">
        <v>90.4</v>
      </c>
      <c r="D77" s="119">
        <v>71.099999999999994</v>
      </c>
      <c r="E77" s="119"/>
      <c r="F77" s="119"/>
      <c r="G77" s="119"/>
      <c r="H77" s="116"/>
      <c r="I77" s="124">
        <v>58.7</v>
      </c>
      <c r="J77" s="116">
        <v>3</v>
      </c>
      <c r="K77" s="116"/>
      <c r="L77" s="125">
        <v>12278</v>
      </c>
      <c r="M77" s="124">
        <v>83.3</v>
      </c>
      <c r="N77" s="124">
        <f t="shared" si="0"/>
        <v>190.44054514480405</v>
      </c>
      <c r="O77" s="116"/>
      <c r="P77" s="116"/>
      <c r="Q77" s="116"/>
      <c r="R77" s="116"/>
      <c r="S77" s="116"/>
      <c r="T77" s="116"/>
      <c r="U77" s="116"/>
      <c r="V77" s="119" t="s">
        <v>82</v>
      </c>
      <c r="W77" s="119"/>
      <c r="X77" s="126">
        <f>IF('Tab6'!C36="",'Tab6'!C37+'Tab6'!C39,'Tab6'!C38+'Tab6'!C40)</f>
        <v>1909.2419969743019</v>
      </c>
      <c r="Y77" s="126">
        <f>IF('Tab6'!D36="",'Tab6'!D37+'Tab6'!D39,'Tab6'!D38+'Tab6'!D40)</f>
        <v>1958.941161676687</v>
      </c>
      <c r="Z77" s="126">
        <f>IF('Tab6'!E36="",'Tab6'!E37+'Tab6'!E39,'Tab6'!E38+'Tab6'!E40)</f>
        <v>2019.429774306795</v>
      </c>
      <c r="AA77" s="116"/>
      <c r="AB77" s="116"/>
      <c r="AC77" s="116"/>
      <c r="AD77" s="116"/>
      <c r="AE77" s="116"/>
      <c r="AF77" s="116"/>
      <c r="AG77" s="116"/>
      <c r="AH77" s="116"/>
    </row>
    <row r="78" spans="1:34">
      <c r="A78" s="119">
        <v>4</v>
      </c>
      <c r="B78" s="119"/>
      <c r="C78" s="119">
        <v>92.9</v>
      </c>
      <c r="D78" s="119">
        <v>73.900000000000006</v>
      </c>
      <c r="E78" s="119"/>
      <c r="F78" s="119"/>
      <c r="G78" s="119"/>
      <c r="H78" s="116"/>
      <c r="I78" s="124">
        <v>59.6</v>
      </c>
      <c r="J78" s="116">
        <v>4</v>
      </c>
      <c r="K78" s="116"/>
      <c r="L78" s="125">
        <v>11449</v>
      </c>
      <c r="M78" s="124">
        <v>94.6</v>
      </c>
      <c r="N78" s="124">
        <f t="shared" si="0"/>
        <v>213.00872483221471</v>
      </c>
      <c r="O78" s="116"/>
      <c r="P78" s="116"/>
      <c r="Q78" s="116"/>
      <c r="R78" s="116"/>
      <c r="S78" s="116"/>
      <c r="T78" s="116"/>
      <c r="U78" s="116"/>
      <c r="V78" s="119" t="s">
        <v>83</v>
      </c>
      <c r="W78" s="119"/>
      <c r="X78" s="127">
        <f>X72-X77-X76-X75-X74</f>
        <v>8193.3851008314177</v>
      </c>
      <c r="Y78" s="127">
        <f>Y72-Y77-Y76-Y75-Y74</f>
        <v>8245.9669996887824</v>
      </c>
      <c r="Z78" s="127">
        <f>Z72-Z77-Z76-Z75-Z74</f>
        <v>8591.5417627549814</v>
      </c>
      <c r="AA78" s="116"/>
      <c r="AB78" s="116"/>
      <c r="AC78" s="116"/>
      <c r="AD78" s="116"/>
      <c r="AE78" s="116"/>
      <c r="AF78" s="116"/>
      <c r="AG78" s="116"/>
      <c r="AH78" s="116"/>
    </row>
    <row r="79" spans="1:34">
      <c r="A79" s="119">
        <v>1</v>
      </c>
      <c r="B79" s="119">
        <v>1985</v>
      </c>
      <c r="C79" s="119">
        <v>123.4</v>
      </c>
      <c r="D79" s="119">
        <v>100.8</v>
      </c>
      <c r="E79" s="119"/>
      <c r="F79" s="119"/>
      <c r="G79" s="119"/>
      <c r="H79" s="116"/>
      <c r="I79" s="124">
        <v>60.4</v>
      </c>
      <c r="J79" s="116">
        <v>1</v>
      </c>
      <c r="K79" s="116">
        <v>1985</v>
      </c>
      <c r="L79" s="125">
        <v>16918</v>
      </c>
      <c r="M79" s="124">
        <v>103.6</v>
      </c>
      <c r="N79" s="124">
        <f t="shared" si="0"/>
        <v>230.18410596026487</v>
      </c>
      <c r="O79" s="116"/>
      <c r="P79" s="116"/>
      <c r="Q79" s="116"/>
      <c r="R79" s="116"/>
      <c r="S79" s="116"/>
      <c r="T79" s="116"/>
      <c r="U79" s="116"/>
      <c r="V79" s="119"/>
      <c r="W79" s="119"/>
      <c r="X79" s="119"/>
      <c r="Y79" s="119"/>
      <c r="Z79" s="119"/>
      <c r="AA79" s="116"/>
      <c r="AB79" s="116"/>
      <c r="AC79" s="116"/>
      <c r="AD79" s="116"/>
      <c r="AE79" s="116"/>
      <c r="AF79" s="116"/>
      <c r="AG79" s="116"/>
      <c r="AH79" s="116"/>
    </row>
    <row r="80" spans="1:34">
      <c r="A80" s="119">
        <v>2</v>
      </c>
      <c r="B80" s="119"/>
      <c r="C80" s="119">
        <v>102</v>
      </c>
      <c r="D80" s="119">
        <v>81.099999999999994</v>
      </c>
      <c r="E80" s="119"/>
      <c r="F80" s="119"/>
      <c r="G80" s="119"/>
      <c r="H80" s="116"/>
      <c r="I80" s="124">
        <v>61.5</v>
      </c>
      <c r="J80" s="116">
        <v>2</v>
      </c>
      <c r="K80" s="116"/>
      <c r="L80" s="125">
        <v>14237</v>
      </c>
      <c r="M80" s="124">
        <v>115.3</v>
      </c>
      <c r="N80" s="124">
        <f t="shared" si="0"/>
        <v>251.59772357723574</v>
      </c>
      <c r="O80" s="116"/>
      <c r="P80" s="116"/>
      <c r="Q80" s="116"/>
      <c r="R80" s="116"/>
      <c r="S80" s="116"/>
      <c r="T80" s="116"/>
      <c r="U80" s="116"/>
      <c r="V80" s="118" t="s">
        <v>163</v>
      </c>
      <c r="W80" s="119"/>
      <c r="X80" s="119"/>
      <c r="Y80" s="119"/>
      <c r="Z80" s="116"/>
      <c r="AA80" s="116"/>
      <c r="AB80" s="116"/>
      <c r="AC80" s="116"/>
      <c r="AD80" s="116"/>
      <c r="AE80" s="116"/>
      <c r="AF80" s="116"/>
      <c r="AG80" s="116"/>
      <c r="AH80" s="116"/>
    </row>
    <row r="81" spans="1:34">
      <c r="A81" s="119">
        <v>3</v>
      </c>
      <c r="B81" s="119"/>
      <c r="C81" s="119">
        <v>108.4</v>
      </c>
      <c r="D81" s="119">
        <v>86</v>
      </c>
      <c r="E81" s="119"/>
      <c r="F81" s="119"/>
      <c r="G81" s="119"/>
      <c r="H81" s="116"/>
      <c r="I81" s="124">
        <v>62</v>
      </c>
      <c r="J81" s="116">
        <v>3</v>
      </c>
      <c r="K81" s="116"/>
      <c r="L81" s="125">
        <v>14329</v>
      </c>
      <c r="M81" s="124">
        <v>103</v>
      </c>
      <c r="N81" s="124">
        <f t="shared" si="0"/>
        <v>222.94516129032257</v>
      </c>
      <c r="O81" s="116"/>
      <c r="P81" s="116"/>
      <c r="Q81" s="116"/>
      <c r="R81" s="116"/>
      <c r="S81" s="116"/>
      <c r="T81" s="116"/>
      <c r="U81" s="116"/>
      <c r="V81" s="119"/>
      <c r="W81" s="119"/>
      <c r="X81" s="119"/>
      <c r="Y81" s="119"/>
      <c r="Z81" s="116"/>
      <c r="AA81" s="116"/>
      <c r="AB81" s="116"/>
      <c r="AC81" s="116"/>
      <c r="AD81" s="116"/>
      <c r="AE81" s="116"/>
      <c r="AF81" s="116"/>
      <c r="AG81" s="116"/>
      <c r="AH81" s="116"/>
    </row>
    <row r="82" spans="1:34">
      <c r="A82" s="119">
        <v>4</v>
      </c>
      <c r="B82" s="119"/>
      <c r="C82" s="119">
        <v>109.6</v>
      </c>
      <c r="D82" s="119">
        <v>87.1</v>
      </c>
      <c r="E82" s="119"/>
      <c r="F82" s="119"/>
      <c r="G82" s="119"/>
      <c r="H82" s="116"/>
      <c r="I82" s="124">
        <v>63</v>
      </c>
      <c r="J82" s="116">
        <v>4</v>
      </c>
      <c r="K82" s="116"/>
      <c r="L82" s="125">
        <v>13060</v>
      </c>
      <c r="M82" s="124">
        <v>118.7</v>
      </c>
      <c r="N82" s="124">
        <f t="shared" si="0"/>
        <v>252.84984126984125</v>
      </c>
      <c r="O82" s="116"/>
      <c r="P82" s="116"/>
      <c r="Q82" s="116"/>
      <c r="R82" s="116"/>
      <c r="S82" s="116"/>
      <c r="T82" s="116"/>
      <c r="U82" s="116"/>
      <c r="V82" s="119"/>
      <c r="W82" s="123" t="str">
        <f>+'Tab4'!C6</f>
        <v>2011</v>
      </c>
      <c r="X82" s="123" t="str">
        <f>+'Tab4'!D6</f>
        <v>2012</v>
      </c>
      <c r="Y82" s="123" t="str">
        <f>+'Tab4'!E6</f>
        <v>2013</v>
      </c>
      <c r="Z82" s="116"/>
      <c r="AA82" s="116"/>
      <c r="AB82" s="116"/>
      <c r="AC82" s="116"/>
      <c r="AD82" s="116"/>
      <c r="AE82" s="116"/>
      <c r="AF82" s="116"/>
      <c r="AG82" s="116"/>
      <c r="AH82" s="116"/>
    </row>
    <row r="83" spans="1:34">
      <c r="A83" s="119">
        <v>1</v>
      </c>
      <c r="B83" s="119">
        <v>1986</v>
      </c>
      <c r="C83" s="119">
        <v>141</v>
      </c>
      <c r="D83" s="119">
        <v>115.2</v>
      </c>
      <c r="E83" s="119"/>
      <c r="F83" s="119"/>
      <c r="G83" s="119"/>
      <c r="H83" s="116"/>
      <c r="I83" s="124">
        <v>64</v>
      </c>
      <c r="J83" s="116">
        <v>1</v>
      </c>
      <c r="K83" s="116">
        <v>1986</v>
      </c>
      <c r="L83" s="125">
        <v>14314</v>
      </c>
      <c r="M83" s="124">
        <v>111.8</v>
      </c>
      <c r="N83" s="124">
        <f t="shared" si="0"/>
        <v>234.43062499999996</v>
      </c>
      <c r="O83" s="116"/>
      <c r="P83" s="116"/>
      <c r="Q83" s="116"/>
      <c r="R83" s="116"/>
      <c r="S83" s="116"/>
      <c r="T83" s="116"/>
      <c r="U83" s="116"/>
      <c r="V83" s="119" t="s">
        <v>84</v>
      </c>
      <c r="W83" s="126">
        <f>IF('Tab4'!C14="",'Tab4'!C13,'Tab4'!C14)</f>
        <v>6670.83506606633</v>
      </c>
      <c r="X83" s="126">
        <f>IF('Tab4'!D14="",'Tab4'!D13,'Tab4'!D14)</f>
        <v>5933.1488251145902</v>
      </c>
      <c r="Y83" s="126">
        <f>IF('Tab4'!E14="",'Tab4'!E13,'Tab4'!E14)</f>
        <v>6543.1428776511902</v>
      </c>
      <c r="Z83" s="116"/>
      <c r="AA83" s="116"/>
      <c r="AB83" s="116"/>
      <c r="AC83" s="116"/>
      <c r="AD83" s="116"/>
      <c r="AE83" s="116"/>
      <c r="AF83" s="116"/>
      <c r="AG83" s="116"/>
      <c r="AH83" s="116"/>
    </row>
    <row r="84" spans="1:34">
      <c r="A84" s="119">
        <v>2</v>
      </c>
      <c r="B84" s="119"/>
      <c r="C84" s="119">
        <v>120.5</v>
      </c>
      <c r="D84" s="119">
        <v>93.2</v>
      </c>
      <c r="E84" s="119"/>
      <c r="F84" s="119"/>
      <c r="G84" s="119"/>
      <c r="H84" s="116"/>
      <c r="I84" s="124">
        <v>65</v>
      </c>
      <c r="J84" s="116">
        <v>2</v>
      </c>
      <c r="K84" s="116"/>
      <c r="L84" s="125">
        <v>13505</v>
      </c>
      <c r="M84" s="124">
        <v>121.5</v>
      </c>
      <c r="N84" s="124">
        <f t="shared" si="0"/>
        <v>250.8507692307692</v>
      </c>
      <c r="O84" s="116"/>
      <c r="P84" s="116"/>
      <c r="Q84" s="116"/>
      <c r="R84" s="116"/>
      <c r="S84" s="116"/>
      <c r="T84" s="116"/>
      <c r="U84" s="116"/>
      <c r="V84" s="119" t="s">
        <v>170</v>
      </c>
      <c r="W84" s="126">
        <f>IF('Tab4'!C16="",'Tab4'!C15,'Tab4'!C16)</f>
        <v>5773.1851242653302</v>
      </c>
      <c r="X84" s="126">
        <f>IF('Tab4'!D16="",'Tab4'!D15,'Tab4'!D16)</f>
        <v>4591.2209991155596</v>
      </c>
      <c r="Y84" s="126">
        <f>IF('Tab4'!E16="",'Tab4'!E15,'Tab4'!E16)</f>
        <v>4901.7139453122199</v>
      </c>
      <c r="Z84" s="116"/>
      <c r="AA84" s="116"/>
      <c r="AB84" s="116"/>
      <c r="AC84" s="116"/>
      <c r="AD84" s="116"/>
      <c r="AE84" s="116"/>
      <c r="AF84" s="116"/>
      <c r="AG84" s="116"/>
      <c r="AH84" s="116"/>
    </row>
    <row r="85" spans="1:34">
      <c r="A85" s="119">
        <v>3</v>
      </c>
      <c r="B85" s="119"/>
      <c r="C85" s="119">
        <v>115.7</v>
      </c>
      <c r="D85" s="119">
        <v>91.1</v>
      </c>
      <c r="E85" s="119"/>
      <c r="F85" s="119"/>
      <c r="G85" s="119"/>
      <c r="H85" s="116"/>
      <c r="I85" s="124">
        <v>67</v>
      </c>
      <c r="J85" s="116">
        <v>3</v>
      </c>
      <c r="K85" s="116"/>
      <c r="L85" s="125">
        <v>12132</v>
      </c>
      <c r="M85" s="124">
        <v>100.8</v>
      </c>
      <c r="N85" s="124">
        <f t="shared" si="0"/>
        <v>201.90089552238805</v>
      </c>
      <c r="O85" s="116"/>
      <c r="P85" s="116"/>
      <c r="Q85" s="116"/>
      <c r="R85" s="116"/>
      <c r="S85" s="116"/>
      <c r="T85" s="116"/>
      <c r="U85" s="116"/>
      <c r="V85" s="119" t="s">
        <v>7</v>
      </c>
      <c r="W85" s="126">
        <f>IF('Tab4'!C18="",'Tab4'!C17,'Tab4'!C18)</f>
        <v>2295.1505355760801</v>
      </c>
      <c r="X85" s="126">
        <f>IF('Tab4'!D18="",'Tab4'!D17,'Tab4'!D18)</f>
        <v>2320.4183533923601</v>
      </c>
      <c r="Y85" s="126">
        <f>IF('Tab4'!E18="",'Tab4'!E17,'Tab4'!E18)</f>
        <v>2573.20470325621</v>
      </c>
      <c r="Z85" s="116"/>
      <c r="AA85" s="116"/>
      <c r="AB85" s="116"/>
      <c r="AC85" s="116"/>
      <c r="AD85" s="116"/>
      <c r="AE85" s="116"/>
      <c r="AF85" s="116"/>
      <c r="AG85" s="116"/>
      <c r="AH85" s="116"/>
    </row>
    <row r="86" spans="1:34">
      <c r="A86" s="119">
        <v>4</v>
      </c>
      <c r="B86" s="119"/>
      <c r="C86" s="119">
        <v>114.4</v>
      </c>
      <c r="D86" s="119">
        <v>90.8</v>
      </c>
      <c r="E86" s="119"/>
      <c r="F86" s="119"/>
      <c r="G86" s="119"/>
      <c r="H86" s="116"/>
      <c r="I86" s="124">
        <v>68.5</v>
      </c>
      <c r="J86" s="116">
        <v>4</v>
      </c>
      <c r="K86" s="116"/>
      <c r="L86" s="125">
        <v>11763</v>
      </c>
      <c r="M86" s="124">
        <v>120.6</v>
      </c>
      <c r="N86" s="124">
        <f t="shared" si="0"/>
        <v>236.27036496350362</v>
      </c>
      <c r="O86" s="116"/>
      <c r="P86" s="116"/>
      <c r="Q86" s="116"/>
      <c r="R86" s="116"/>
      <c r="S86" s="116"/>
      <c r="T86" s="116"/>
      <c r="U86" s="116"/>
      <c r="V86" s="116" t="s">
        <v>8</v>
      </c>
      <c r="W86" s="126">
        <f>IF('Tab4'!C20="",'Tab4'!C19,'Tab4'!C20)</f>
        <v>1427.55647975631</v>
      </c>
      <c r="X86" s="126">
        <f>IF('Tab4'!D20="",'Tab4'!D19,'Tab4'!D20)</f>
        <v>1570.8861755238199</v>
      </c>
      <c r="Y86" s="126">
        <f>IF('Tab4'!E20="",'Tab4'!E19,'Tab4'!E20)</f>
        <v>1695.5254231061699</v>
      </c>
      <c r="Z86" s="116"/>
      <c r="AA86" s="116"/>
      <c r="AB86" s="116"/>
      <c r="AC86" s="116"/>
      <c r="AD86" s="116"/>
      <c r="AE86" s="116"/>
      <c r="AF86" s="116"/>
      <c r="AG86" s="116"/>
      <c r="AH86" s="116"/>
    </row>
    <row r="87" spans="1:34">
      <c r="A87" s="119">
        <v>1</v>
      </c>
      <c r="B87" s="119">
        <v>1987</v>
      </c>
      <c r="C87" s="119">
        <v>152.19999999999999</v>
      </c>
      <c r="D87" s="119">
        <v>121.3</v>
      </c>
      <c r="E87" s="119"/>
      <c r="F87" s="119"/>
      <c r="G87" s="119"/>
      <c r="H87" s="116"/>
      <c r="I87" s="124">
        <v>70.5</v>
      </c>
      <c r="J87" s="116">
        <v>1</v>
      </c>
      <c r="K87" s="116">
        <v>1987</v>
      </c>
      <c r="L87" s="125">
        <v>17280</v>
      </c>
      <c r="M87" s="124">
        <v>135.6</v>
      </c>
      <c r="N87" s="124">
        <f t="shared" si="0"/>
        <v>258.12085106382978</v>
      </c>
      <c r="O87" s="116"/>
      <c r="P87" s="116"/>
      <c r="Q87" s="116"/>
      <c r="R87" s="116"/>
      <c r="S87" s="116"/>
      <c r="T87" s="116"/>
      <c r="U87" s="116"/>
      <c r="V87" s="119" t="s">
        <v>9</v>
      </c>
      <c r="W87" s="126">
        <f>IF('Tab4'!C20="",'Tab4'!C21,'Tab4'!C22)</f>
        <v>625.02091863863996</v>
      </c>
      <c r="X87" s="126">
        <f>IF('Tab4'!D20="",'Tab4'!D21,'Tab4'!D22)</f>
        <v>613.82802342537798</v>
      </c>
      <c r="Y87" s="126">
        <f>IF('Tab4'!E20="",'Tab4'!E21,'Tab4'!E22)</f>
        <v>625.94929511716498</v>
      </c>
      <c r="Z87" s="116"/>
      <c r="AA87" s="116"/>
      <c r="AB87" s="116"/>
      <c r="AC87" s="116"/>
      <c r="AD87" s="116"/>
      <c r="AE87" s="116"/>
      <c r="AF87" s="116"/>
      <c r="AG87" s="116"/>
      <c r="AH87" s="116"/>
    </row>
    <row r="88" spans="1:34">
      <c r="A88" s="119">
        <v>2</v>
      </c>
      <c r="B88" s="119"/>
      <c r="C88" s="119">
        <v>109.2</v>
      </c>
      <c r="D88" s="119">
        <v>86.1</v>
      </c>
      <c r="E88" s="119"/>
      <c r="F88" s="119"/>
      <c r="G88" s="119"/>
      <c r="H88" s="116"/>
      <c r="I88" s="124">
        <v>71.599999999999994</v>
      </c>
      <c r="J88" s="116">
        <v>2</v>
      </c>
      <c r="K88" s="116"/>
      <c r="L88" s="125">
        <v>12241</v>
      </c>
      <c r="M88" s="124">
        <v>135.9</v>
      </c>
      <c r="N88" s="124">
        <f t="shared" si="0"/>
        <v>254.71759776536314</v>
      </c>
      <c r="O88" s="116"/>
      <c r="P88" s="116"/>
      <c r="Q88" s="116"/>
      <c r="R88" s="116"/>
      <c r="S88" s="116"/>
      <c r="T88" s="116"/>
      <c r="U88" s="116"/>
      <c r="V88" s="119" t="s">
        <v>10</v>
      </c>
      <c r="W88" s="126">
        <f>IF('Tab4'!C22="",'Tab4'!C23,'Tab4'!C24)</f>
        <v>1522.1364975195499</v>
      </c>
      <c r="X88" s="126">
        <f>IF('Tab4'!D22="",'Tab4'!D23,'Tab4'!D24)</f>
        <v>1684.93698043927</v>
      </c>
      <c r="Y88" s="126">
        <f>IF('Tab4'!E22="",'Tab4'!E23,'Tab4'!E24)</f>
        <v>1801.5142984868201</v>
      </c>
      <c r="Z88" s="116"/>
      <c r="AA88" s="116"/>
      <c r="AB88" s="116"/>
      <c r="AC88" s="116"/>
      <c r="AD88" s="116"/>
      <c r="AE88" s="116"/>
      <c r="AF88" s="116"/>
      <c r="AG88" s="116"/>
      <c r="AH88" s="116"/>
    </row>
    <row r="89" spans="1:34">
      <c r="A89" s="119">
        <v>3</v>
      </c>
      <c r="B89" s="119"/>
      <c r="C89" s="119">
        <v>110.1</v>
      </c>
      <c r="D89" s="119">
        <v>87.3</v>
      </c>
      <c r="E89" s="119"/>
      <c r="F89" s="119"/>
      <c r="G89" s="119"/>
      <c r="H89" s="116"/>
      <c r="I89" s="124">
        <v>72.3</v>
      </c>
      <c r="J89" s="116">
        <v>3</v>
      </c>
      <c r="K89" s="116"/>
      <c r="L89" s="125">
        <v>11506</v>
      </c>
      <c r="M89" s="124">
        <v>112.3</v>
      </c>
      <c r="N89" s="124">
        <f t="shared" si="0"/>
        <v>208.44619640387273</v>
      </c>
      <c r="O89" s="116"/>
      <c r="P89" s="116"/>
      <c r="Q89" s="116"/>
      <c r="R89" s="116"/>
      <c r="S89" s="116"/>
      <c r="T89" s="116"/>
      <c r="U89" s="116"/>
      <c r="V89" s="119" t="s">
        <v>11</v>
      </c>
      <c r="W89" s="126">
        <f>IF('Tab4'!C24="",'Tab4'!C25,'Tab4'!C26)</f>
        <v>443.46113981184601</v>
      </c>
      <c r="X89" s="126">
        <f>IF('Tab4'!D24="",'Tab4'!D25,'Tab4'!D26)</f>
        <v>394.80414792680301</v>
      </c>
      <c r="Y89" s="126">
        <f>IF('Tab4'!E24="",'Tab4'!E25,'Tab4'!E26)</f>
        <v>404.534367515675</v>
      </c>
      <c r="Z89" s="116"/>
      <c r="AA89" s="116"/>
      <c r="AB89" s="116"/>
      <c r="AC89" s="116"/>
      <c r="AD89" s="116"/>
      <c r="AE89" s="116"/>
      <c r="AF89" s="116"/>
      <c r="AG89" s="116"/>
      <c r="AH89" s="116"/>
    </row>
    <row r="90" spans="1:34">
      <c r="A90" s="119">
        <v>4</v>
      </c>
      <c r="B90" s="119"/>
      <c r="C90" s="119">
        <v>112</v>
      </c>
      <c r="D90" s="119">
        <v>89.8</v>
      </c>
      <c r="E90" s="119"/>
      <c r="F90" s="119"/>
      <c r="G90" s="119"/>
      <c r="H90" s="116"/>
      <c r="I90" s="124">
        <v>73.599999999999994</v>
      </c>
      <c r="J90" s="116">
        <v>4</v>
      </c>
      <c r="K90" s="116"/>
      <c r="L90" s="125">
        <v>12860</v>
      </c>
      <c r="M90" s="124">
        <v>134.5</v>
      </c>
      <c r="N90" s="124">
        <f t="shared" si="0"/>
        <v>245.24320652173913</v>
      </c>
      <c r="O90" s="116"/>
      <c r="P90" s="116"/>
      <c r="Q90" s="116"/>
      <c r="R90" s="116"/>
      <c r="S90" s="116"/>
      <c r="T90" s="116"/>
      <c r="U90" s="116"/>
      <c r="V90" s="119" t="s">
        <v>12</v>
      </c>
      <c r="W90" s="126">
        <f>IF('Tab4'!C26="",'Tab4'!C27,'Tab4'!C28)</f>
        <v>780.30053224084395</v>
      </c>
      <c r="X90" s="126">
        <f>IF('Tab4'!D26="",'Tab4'!D27,'Tab4'!D28)</f>
        <v>924.24003950207202</v>
      </c>
      <c r="Y90" s="126">
        <f>IF('Tab4'!E26="",'Tab4'!E27,'Tab4'!E28)</f>
        <v>849.16776182496903</v>
      </c>
      <c r="Z90" s="116"/>
      <c r="AA90" s="116"/>
      <c r="AB90" s="116"/>
      <c r="AC90" s="116"/>
      <c r="AD90" s="116"/>
      <c r="AE90" s="116"/>
      <c r="AF90" s="116"/>
      <c r="AG90" s="116"/>
      <c r="AH90" s="116"/>
    </row>
    <row r="91" spans="1:34">
      <c r="A91" s="119">
        <v>1</v>
      </c>
      <c r="B91" s="119">
        <v>1988</v>
      </c>
      <c r="C91" s="119">
        <v>134.1</v>
      </c>
      <c r="D91" s="119">
        <v>107.5</v>
      </c>
      <c r="E91" s="119"/>
      <c r="F91" s="119"/>
      <c r="G91" s="119"/>
      <c r="H91" s="116"/>
      <c r="I91" s="124">
        <v>75.2</v>
      </c>
      <c r="J91" s="116">
        <v>1</v>
      </c>
      <c r="K91" s="116">
        <v>1988</v>
      </c>
      <c r="L91" s="125">
        <v>10180</v>
      </c>
      <c r="M91" s="124">
        <v>130.80000000000001</v>
      </c>
      <c r="N91" s="124">
        <f t="shared" si="0"/>
        <v>233.42234042553193</v>
      </c>
      <c r="O91" s="116"/>
      <c r="P91" s="116"/>
      <c r="Q91" s="116"/>
      <c r="R91" s="116"/>
      <c r="S91" s="116"/>
      <c r="T91" s="116"/>
      <c r="U91" s="116"/>
      <c r="V91" s="119" t="s">
        <v>13</v>
      </c>
      <c r="W91" s="126">
        <f>IF('Tab4'!C28="",'Tab4'!C29,'Tab4'!C30)</f>
        <v>109.483957619469</v>
      </c>
      <c r="X91" s="126">
        <f>IF('Tab4'!D28="",'Tab4'!D29,'Tab4'!D30)</f>
        <v>99.056529776607604</v>
      </c>
      <c r="Y91" s="126">
        <f>IF('Tab4'!E28="",'Tab4'!E29,'Tab4'!E30)</f>
        <v>134.622702513626</v>
      </c>
      <c r="Z91" s="116"/>
      <c r="AA91" s="116"/>
      <c r="AB91" s="116"/>
      <c r="AC91" s="116"/>
      <c r="AD91" s="116"/>
      <c r="AE91" s="116"/>
      <c r="AF91" s="116"/>
      <c r="AG91" s="116"/>
      <c r="AH91" s="116"/>
    </row>
    <row r="92" spans="1:34">
      <c r="A92" s="119">
        <v>2</v>
      </c>
      <c r="B92" s="119"/>
      <c r="C92" s="119">
        <v>113.7</v>
      </c>
      <c r="D92" s="119">
        <v>90</v>
      </c>
      <c r="E92" s="119"/>
      <c r="F92" s="119"/>
      <c r="G92" s="119"/>
      <c r="H92" s="116"/>
      <c r="I92" s="124">
        <v>76.7</v>
      </c>
      <c r="J92" s="116">
        <v>2</v>
      </c>
      <c r="K92" s="116"/>
      <c r="L92" s="125">
        <v>11081</v>
      </c>
      <c r="M92" s="124">
        <v>95.1</v>
      </c>
      <c r="N92" s="124">
        <f t="shared" si="0"/>
        <v>166.3940026075619</v>
      </c>
      <c r="O92" s="116"/>
      <c r="P92" s="116"/>
      <c r="Q92" s="116"/>
      <c r="R92" s="116"/>
      <c r="S92" s="116"/>
      <c r="T92" s="116"/>
      <c r="U92" s="116"/>
      <c r="V92" s="119" t="s">
        <v>14</v>
      </c>
      <c r="W92" s="126">
        <f>IF('Tab4'!C32="",'Tab4'!C31,'Tab4'!C32)</f>
        <v>705.083578896988</v>
      </c>
      <c r="X92" s="126">
        <f>IF('Tab4'!D32="",'Tab4'!D31,'Tab4'!D32)</f>
        <v>936.8775075172324</v>
      </c>
      <c r="Y92" s="126">
        <f>IF('Tab4'!E32="",'Tab4'!E31,'Tab4'!E32)</f>
        <v>712.19664109170401</v>
      </c>
      <c r="Z92" s="116"/>
      <c r="AA92" s="116"/>
      <c r="AB92" s="116"/>
      <c r="AC92" s="116"/>
      <c r="AD92" s="116"/>
      <c r="AE92" s="116"/>
      <c r="AF92" s="116"/>
      <c r="AG92" s="116"/>
      <c r="AH92" s="116"/>
    </row>
    <row r="93" spans="1:34">
      <c r="A93" s="119">
        <v>3</v>
      </c>
      <c r="B93" s="119"/>
      <c r="C93" s="119">
        <v>116.3</v>
      </c>
      <c r="D93" s="119">
        <v>93.1</v>
      </c>
      <c r="E93" s="119"/>
      <c r="F93" s="119"/>
      <c r="G93" s="119"/>
      <c r="H93" s="116"/>
      <c r="I93" s="124">
        <v>77</v>
      </c>
      <c r="J93" s="116">
        <v>3</v>
      </c>
      <c r="K93" s="116"/>
      <c r="L93" s="125">
        <v>15987</v>
      </c>
      <c r="M93" s="124">
        <v>148.69999999999999</v>
      </c>
      <c r="N93" s="124">
        <f t="shared" si="0"/>
        <v>259.16285714285709</v>
      </c>
      <c r="O93" s="116"/>
      <c r="P93" s="116"/>
      <c r="Q93" s="116"/>
      <c r="R93" s="116"/>
      <c r="S93" s="116"/>
      <c r="T93" s="116"/>
      <c r="U93" s="116"/>
      <c r="V93" s="119" t="s">
        <v>85</v>
      </c>
      <c r="W93" s="127">
        <f>SUM(W83:W92)</f>
        <v>20352.213830391385</v>
      </c>
      <c r="X93" s="127">
        <f>SUM(X83:X92)</f>
        <v>19069.417581733691</v>
      </c>
      <c r="Y93" s="127">
        <f>SUM(Y83:Y92)</f>
        <v>20241.572015875754</v>
      </c>
      <c r="Z93" s="116"/>
      <c r="AA93" s="116"/>
      <c r="AB93" s="116"/>
      <c r="AC93" s="116"/>
      <c r="AD93" s="116"/>
      <c r="AE93" s="116"/>
      <c r="AF93" s="116"/>
      <c r="AG93" s="116"/>
      <c r="AH93" s="116"/>
    </row>
    <row r="94" spans="1:34">
      <c r="A94" s="119">
        <v>4</v>
      </c>
      <c r="B94" s="119"/>
      <c r="C94" s="119">
        <v>115.2</v>
      </c>
      <c r="D94" s="119">
        <v>93.4</v>
      </c>
      <c r="E94" s="119"/>
      <c r="F94" s="119"/>
      <c r="G94" s="119"/>
      <c r="H94" s="116"/>
      <c r="I94" s="124">
        <v>78.099999999999994</v>
      </c>
      <c r="J94" s="116">
        <v>4</v>
      </c>
      <c r="K94" s="116"/>
      <c r="L94" s="125">
        <v>12493</v>
      </c>
      <c r="M94" s="124">
        <v>199.8</v>
      </c>
      <c r="N94" s="124">
        <f t="shared" si="0"/>
        <v>343.31830985915497</v>
      </c>
      <c r="O94" s="116"/>
      <c r="P94" s="116"/>
      <c r="Q94" s="116"/>
      <c r="R94" s="116"/>
      <c r="S94" s="116"/>
      <c r="T94" s="116"/>
      <c r="U94" s="116"/>
      <c r="V94" s="119"/>
      <c r="W94" s="119"/>
      <c r="X94" s="119"/>
      <c r="Y94" s="119"/>
      <c r="Z94" s="116"/>
      <c r="AA94" s="116"/>
      <c r="AB94" s="116"/>
      <c r="AC94" s="116"/>
      <c r="AD94" s="116"/>
      <c r="AE94" s="116"/>
      <c r="AF94" s="116"/>
      <c r="AG94" s="116"/>
      <c r="AH94" s="116"/>
    </row>
    <row r="95" spans="1:34">
      <c r="A95" s="119">
        <v>1</v>
      </c>
      <c r="B95" s="119">
        <v>1989</v>
      </c>
      <c r="C95" s="119">
        <v>106.6</v>
      </c>
      <c r="D95" s="119">
        <v>86.4</v>
      </c>
      <c r="E95" s="119"/>
      <c r="F95" s="119"/>
      <c r="G95" s="119"/>
      <c r="H95" s="116"/>
      <c r="I95" s="124">
        <v>78.900000000000006</v>
      </c>
      <c r="J95" s="116">
        <v>1</v>
      </c>
      <c r="K95" s="116">
        <v>1989</v>
      </c>
      <c r="L95" s="125">
        <v>10988</v>
      </c>
      <c r="M95" s="124">
        <v>142.6</v>
      </c>
      <c r="N95" s="124">
        <f t="shared" si="0"/>
        <v>242.54651457541186</v>
      </c>
      <c r="O95" s="116"/>
      <c r="P95" s="116"/>
      <c r="Q95" s="116"/>
      <c r="R95" s="116"/>
      <c r="S95" s="116"/>
      <c r="T95" s="116"/>
      <c r="U95" s="116"/>
      <c r="V95" s="119" t="s">
        <v>171</v>
      </c>
      <c r="W95" s="128">
        <f>+W93+X72</f>
        <v>32184.097303893785</v>
      </c>
      <c r="X95" s="128">
        <f>+X93+Y72</f>
        <v>31102.230901672992</v>
      </c>
      <c r="Y95" s="128">
        <f>+Y93+Z72</f>
        <v>32822.117697676556</v>
      </c>
      <c r="Z95" s="116"/>
      <c r="AA95" s="116"/>
      <c r="AB95" s="116"/>
      <c r="AC95" s="116"/>
      <c r="AD95" s="116"/>
      <c r="AE95" s="116"/>
      <c r="AF95" s="116"/>
      <c r="AG95" s="116"/>
      <c r="AH95" s="116"/>
    </row>
    <row r="96" spans="1:34">
      <c r="A96" s="119">
        <v>2</v>
      </c>
      <c r="B96" s="119"/>
      <c r="C96" s="119">
        <v>98</v>
      </c>
      <c r="D96" s="119">
        <v>79.599999999999994</v>
      </c>
      <c r="E96" s="119"/>
      <c r="F96" s="119"/>
      <c r="G96" s="119"/>
      <c r="H96" s="116"/>
      <c r="I96" s="124">
        <v>80.3</v>
      </c>
      <c r="J96" s="116">
        <v>2</v>
      </c>
      <c r="K96" s="116"/>
      <c r="L96" s="125">
        <v>10292</v>
      </c>
      <c r="M96" s="124">
        <v>117.3</v>
      </c>
      <c r="N96" s="124">
        <f t="shared" si="0"/>
        <v>196.03561643835616</v>
      </c>
      <c r="O96" s="116"/>
      <c r="P96" s="116"/>
      <c r="Q96" s="116"/>
      <c r="R96" s="116"/>
      <c r="S96" s="116"/>
      <c r="T96" s="116"/>
      <c r="U96" s="116"/>
      <c r="V96" s="116"/>
      <c r="W96" s="116"/>
      <c r="X96" s="116"/>
      <c r="Y96" s="116"/>
      <c r="Z96" s="116"/>
      <c r="AA96" s="116"/>
      <c r="AB96" s="116"/>
      <c r="AC96" s="116"/>
      <c r="AD96" s="116"/>
      <c r="AE96" s="116"/>
      <c r="AF96" s="116"/>
      <c r="AG96" s="116"/>
      <c r="AH96" s="116"/>
    </row>
    <row r="97" spans="1:34">
      <c r="A97" s="119">
        <v>3</v>
      </c>
      <c r="B97" s="119"/>
      <c r="C97" s="119">
        <v>96.9</v>
      </c>
      <c r="D97" s="119">
        <v>79</v>
      </c>
      <c r="E97" s="119"/>
      <c r="F97" s="119"/>
      <c r="G97" s="119"/>
      <c r="H97" s="116"/>
      <c r="I97" s="124">
        <v>80.599999999999994</v>
      </c>
      <c r="J97" s="116">
        <v>3</v>
      </c>
      <c r="K97" s="116"/>
      <c r="L97" s="125">
        <v>11352</v>
      </c>
      <c r="M97" s="124">
        <v>103.6</v>
      </c>
      <c r="N97" s="124">
        <f t="shared" si="0"/>
        <v>172.49528535980147</v>
      </c>
      <c r="O97" s="116"/>
      <c r="P97" s="116"/>
      <c r="Q97" s="116"/>
      <c r="R97" s="116"/>
      <c r="S97" s="116"/>
      <c r="T97" s="116"/>
      <c r="U97" s="116"/>
      <c r="V97" s="116"/>
      <c r="W97" s="116"/>
      <c r="X97" s="116"/>
      <c r="Y97" s="119"/>
      <c r="Z97" s="116"/>
      <c r="AA97" s="116"/>
      <c r="AB97" s="116"/>
      <c r="AC97" s="116"/>
      <c r="AD97" s="116"/>
      <c r="AE97" s="116"/>
      <c r="AF97" s="116"/>
      <c r="AG97" s="116"/>
      <c r="AH97" s="116"/>
    </row>
    <row r="98" spans="1:34">
      <c r="A98" s="119">
        <v>4</v>
      </c>
      <c r="B98" s="119"/>
      <c r="C98" s="119">
        <v>93.4</v>
      </c>
      <c r="D98" s="119">
        <v>76.8</v>
      </c>
      <c r="E98" s="119"/>
      <c r="F98" s="119"/>
      <c r="G98" s="119"/>
      <c r="H98" s="116"/>
      <c r="I98" s="124">
        <v>81.400000000000006</v>
      </c>
      <c r="J98" s="116">
        <v>4</v>
      </c>
      <c r="K98" s="116"/>
      <c r="L98" s="125">
        <v>11958</v>
      </c>
      <c r="M98" s="124">
        <v>132</v>
      </c>
      <c r="N98" s="124">
        <f t="shared" si="0"/>
        <v>217.62162162162159</v>
      </c>
      <c r="O98" s="116"/>
      <c r="P98" s="116"/>
      <c r="Q98" s="116"/>
      <c r="R98" s="116"/>
      <c r="S98" s="116"/>
      <c r="T98" s="116"/>
      <c r="U98" s="116"/>
      <c r="V98" s="118" t="s">
        <v>186</v>
      </c>
      <c r="W98" s="119"/>
      <c r="X98" s="119"/>
      <c r="Y98" s="119"/>
      <c r="Z98" s="116"/>
      <c r="AA98" s="116"/>
      <c r="AB98" s="116"/>
      <c r="AC98" s="116"/>
      <c r="AD98" s="116"/>
      <c r="AE98" s="116"/>
      <c r="AF98" s="116"/>
      <c r="AG98" s="116"/>
      <c r="AH98" s="116"/>
    </row>
    <row r="99" spans="1:34">
      <c r="A99" s="119">
        <v>1</v>
      </c>
      <c r="B99" s="119">
        <v>1990</v>
      </c>
      <c r="C99" s="119">
        <v>99.4</v>
      </c>
      <c r="D99" s="119">
        <v>81.3</v>
      </c>
      <c r="E99" s="119"/>
      <c r="F99" s="119"/>
      <c r="G99" s="119"/>
      <c r="H99" s="116"/>
      <c r="I99" s="124">
        <v>82.3</v>
      </c>
      <c r="J99" s="116">
        <v>1</v>
      </c>
      <c r="K99" s="116">
        <v>1990</v>
      </c>
      <c r="L99" s="125">
        <v>13741</v>
      </c>
      <c r="M99" s="124">
        <v>142.9</v>
      </c>
      <c r="N99" s="124">
        <f t="shared" si="0"/>
        <v>233.01555285540704</v>
      </c>
      <c r="O99" s="116"/>
      <c r="P99" s="116"/>
      <c r="Q99" s="116"/>
      <c r="R99" s="116"/>
      <c r="S99" s="116"/>
      <c r="T99" s="116"/>
      <c r="U99" s="116"/>
      <c r="V99" s="119"/>
      <c r="W99" s="116"/>
      <c r="X99" s="119"/>
      <c r="Y99" s="119"/>
      <c r="Z99" s="116"/>
      <c r="AA99" s="116"/>
      <c r="AB99" s="116"/>
      <c r="AC99" s="116"/>
      <c r="AD99" s="116"/>
      <c r="AE99" s="116"/>
      <c r="AF99" s="116"/>
      <c r="AG99" s="116"/>
      <c r="AH99" s="116"/>
    </row>
    <row r="100" spans="1:34">
      <c r="A100" s="119">
        <v>2</v>
      </c>
      <c r="B100" s="119"/>
      <c r="C100" s="119">
        <v>88.6</v>
      </c>
      <c r="D100" s="119">
        <v>73.099999999999994</v>
      </c>
      <c r="E100" s="119"/>
      <c r="F100" s="119"/>
      <c r="G100" s="119"/>
      <c r="H100" s="116"/>
      <c r="I100" s="124">
        <v>83.4</v>
      </c>
      <c r="J100" s="116">
        <v>2</v>
      </c>
      <c r="K100" s="116"/>
      <c r="L100" s="125">
        <v>10045</v>
      </c>
      <c r="M100" s="124">
        <v>116.5</v>
      </c>
      <c r="N100" s="124">
        <f t="shared" si="0"/>
        <v>187.46163069544363</v>
      </c>
      <c r="O100" s="116"/>
      <c r="P100" s="116"/>
      <c r="Q100" s="116"/>
      <c r="R100" s="116"/>
      <c r="S100" s="116"/>
      <c r="T100" s="116"/>
      <c r="U100" s="116"/>
      <c r="V100" s="119"/>
      <c r="W100" s="123" t="str">
        <f>+W82</f>
        <v>2011</v>
      </c>
      <c r="X100" s="123" t="str">
        <f>+X82</f>
        <v>2012</v>
      </c>
      <c r="Y100" s="123" t="str">
        <f>+Y82</f>
        <v>2013</v>
      </c>
      <c r="Z100" s="116"/>
      <c r="AA100" s="116"/>
      <c r="AB100" s="116"/>
      <c r="AC100" s="116"/>
      <c r="AD100" s="116"/>
      <c r="AE100" s="116"/>
      <c r="AF100" s="116"/>
      <c r="AG100" s="116"/>
      <c r="AH100" s="116"/>
    </row>
    <row r="101" spans="1:34">
      <c r="A101" s="119">
        <v>3</v>
      </c>
      <c r="B101" s="119"/>
      <c r="C101" s="119">
        <v>88.2</v>
      </c>
      <c r="D101" s="119">
        <v>72.5</v>
      </c>
      <c r="E101" s="119"/>
      <c r="F101" s="119"/>
      <c r="G101" s="119"/>
      <c r="H101" s="116"/>
      <c r="I101" s="124">
        <v>83.7</v>
      </c>
      <c r="J101" s="116">
        <v>3</v>
      </c>
      <c r="K101" s="116"/>
      <c r="L101" s="125">
        <v>10870</v>
      </c>
      <c r="M101" s="124">
        <v>101.4</v>
      </c>
      <c r="N101" s="124">
        <f t="shared" si="0"/>
        <v>162.57921146953404</v>
      </c>
      <c r="O101" s="116"/>
      <c r="P101" s="116"/>
      <c r="Q101" s="116"/>
      <c r="R101" s="116"/>
      <c r="S101" s="116"/>
      <c r="T101" s="116"/>
      <c r="U101" s="116"/>
      <c r="V101" s="119" t="s">
        <v>18</v>
      </c>
      <c r="W101" s="129">
        <f>IF('Tab7'!C10="",+'Tab7'!C9+'Tab11'!C9,+'Tab7'!C10+'Tab11'!C10)</f>
        <v>32429.795602831422</v>
      </c>
      <c r="X101" s="129">
        <f>IF('Tab7'!D10="",+'Tab7'!D9+'Tab11'!D9,+'Tab7'!D10+'Tab11'!D10)</f>
        <v>24111</v>
      </c>
      <c r="Y101" s="129">
        <f>IF('Tab7'!E10="",+'Tab7'!E9+'Tab11'!E9,+'Tab7'!E10+'Tab11'!E10)</f>
        <v>31147</v>
      </c>
      <c r="Z101" s="116"/>
      <c r="AA101" s="116"/>
      <c r="AB101" s="116"/>
      <c r="AC101" s="116"/>
      <c r="AD101" s="116"/>
      <c r="AE101" s="116"/>
      <c r="AF101" s="116"/>
      <c r="AG101" s="116"/>
      <c r="AH101" s="116"/>
    </row>
    <row r="102" spans="1:34">
      <c r="A102" s="119">
        <v>4</v>
      </c>
      <c r="B102" s="119"/>
      <c r="C102" s="119">
        <v>84.8</v>
      </c>
      <c r="D102" s="119">
        <v>70.2</v>
      </c>
      <c r="E102" s="119"/>
      <c r="F102" s="119"/>
      <c r="G102" s="119"/>
      <c r="H102" s="116"/>
      <c r="I102" s="124">
        <v>85.1</v>
      </c>
      <c r="J102" s="116">
        <v>4</v>
      </c>
      <c r="K102" s="116"/>
      <c r="L102" s="125">
        <v>11076</v>
      </c>
      <c r="M102" s="124">
        <v>120</v>
      </c>
      <c r="N102" s="124">
        <f t="shared" si="0"/>
        <v>189.23619271445358</v>
      </c>
      <c r="O102" s="116"/>
      <c r="P102" s="116"/>
      <c r="Q102" s="116"/>
      <c r="R102" s="116"/>
      <c r="S102" s="116"/>
      <c r="T102" s="116"/>
      <c r="U102" s="116"/>
      <c r="V102" s="119" t="s">
        <v>86</v>
      </c>
      <c r="W102" s="129">
        <f>IF('Tab7'!C12="",+'Tab7'!C11+'Tab11'!C11,+'Tab7'!C12+'Tab11'!C12)</f>
        <v>87123.57297619051</v>
      </c>
      <c r="X102" s="129">
        <f>IF('Tab7'!D12="",+'Tab7'!D11+'Tab11'!D11,+'Tab7'!D12+'Tab11'!D12)</f>
        <v>71551</v>
      </c>
      <c r="Y102" s="129">
        <f>IF('Tab7'!E12="",+'Tab7'!E11+'Tab11'!E11,+'Tab7'!E12+'Tab11'!E12)</f>
        <v>82744</v>
      </c>
      <c r="Z102" s="116"/>
      <c r="AA102" s="116"/>
      <c r="AB102" s="116"/>
      <c r="AC102" s="116"/>
      <c r="AD102" s="116"/>
      <c r="AE102" s="116"/>
      <c r="AF102" s="116"/>
      <c r="AG102" s="116"/>
      <c r="AH102" s="116"/>
    </row>
    <row r="103" spans="1:34">
      <c r="A103" s="119">
        <v>1</v>
      </c>
      <c r="B103" s="119">
        <v>1991</v>
      </c>
      <c r="C103" s="119">
        <v>97.5</v>
      </c>
      <c r="D103" s="119">
        <v>82.4</v>
      </c>
      <c r="E103" s="119"/>
      <c r="F103" s="119"/>
      <c r="G103" s="119"/>
      <c r="H103" s="116"/>
      <c r="I103" s="124">
        <v>85.5</v>
      </c>
      <c r="J103" s="116">
        <v>1</v>
      </c>
      <c r="K103" s="116">
        <v>1991</v>
      </c>
      <c r="L103" s="125">
        <v>10172</v>
      </c>
      <c r="M103" s="124">
        <v>130.10000000000002</v>
      </c>
      <c r="N103" s="124">
        <f t="shared" ref="N103:N106" si="1">M103/I103*$I$69</f>
        <v>204.2037426900585</v>
      </c>
      <c r="O103" s="125">
        <v>6727</v>
      </c>
      <c r="P103" s="124">
        <v>376.9</v>
      </c>
      <c r="Q103" s="124">
        <f>P103/I103*$I$69</f>
        <v>591.5787134502923</v>
      </c>
      <c r="R103" s="125">
        <v>9077</v>
      </c>
      <c r="S103" s="124">
        <v>139.9</v>
      </c>
      <c r="T103" s="124">
        <f>S103/I103*$I$69</f>
        <v>219.58573099415204</v>
      </c>
      <c r="U103" s="116"/>
      <c r="V103" s="119" t="s">
        <v>63</v>
      </c>
      <c r="W103" s="129">
        <f>IF('Tab7'!C14="",+'Tab7'!C13+'Tab11'!C13,+'Tab7'!C14+'Tab11'!C14)</f>
        <v>36733.486650074687</v>
      </c>
      <c r="X103" s="129">
        <f>IF('Tab7'!D14="",+'Tab7'!D13+'Tab11'!D13,+'Tab7'!D14+'Tab11'!D14)</f>
        <v>36970</v>
      </c>
      <c r="Y103" s="129">
        <f>IF('Tab7'!E14="",+'Tab7'!E13+'Tab11'!E13,+'Tab7'!E14+'Tab11'!E14)</f>
        <v>39521</v>
      </c>
      <c r="Z103" s="116"/>
      <c r="AA103" s="116"/>
      <c r="AB103" s="116"/>
      <c r="AC103" s="116"/>
      <c r="AD103" s="116"/>
      <c r="AE103" s="116"/>
      <c r="AF103" s="116"/>
      <c r="AG103" s="116"/>
      <c r="AH103" s="116"/>
    </row>
    <row r="104" spans="1:34">
      <c r="A104" s="119">
        <v>2</v>
      </c>
      <c r="B104" s="119"/>
      <c r="C104" s="119">
        <v>93.9</v>
      </c>
      <c r="D104" s="119">
        <v>78</v>
      </c>
      <c r="E104" s="119"/>
      <c r="F104" s="119"/>
      <c r="G104" s="119"/>
      <c r="H104" s="116"/>
      <c r="I104" s="124">
        <v>86.6</v>
      </c>
      <c r="J104" s="116">
        <v>2</v>
      </c>
      <c r="K104" s="116"/>
      <c r="L104" s="125">
        <v>10188</v>
      </c>
      <c r="M104" s="124">
        <v>126.69999999999993</v>
      </c>
      <c r="N104" s="124">
        <f t="shared" si="1"/>
        <v>196.34110854503456</v>
      </c>
      <c r="O104" s="125">
        <v>5864</v>
      </c>
      <c r="P104" s="124">
        <v>369.29999999999995</v>
      </c>
      <c r="Q104" s="124">
        <f t="shared" ref="Q104:Q167" si="2">P104/I104*$I$69</f>
        <v>572.28706697459575</v>
      </c>
      <c r="R104" s="125">
        <v>12525</v>
      </c>
      <c r="S104" s="124">
        <v>176.29999999999998</v>
      </c>
      <c r="T104" s="124">
        <f t="shared" ref="T104:T167" si="3">S104/I104*$I$69</f>
        <v>273.20392609699769</v>
      </c>
      <c r="U104" s="116"/>
      <c r="V104" s="119" t="s">
        <v>14</v>
      </c>
      <c r="W104" s="130">
        <f>+W106-SUM(W101:W103)</f>
        <v>156088.96244331682</v>
      </c>
      <c r="X104" s="130">
        <f>+X106-SUM(X101:X103)</f>
        <v>149751</v>
      </c>
      <c r="Y104" s="130">
        <f>+Y106-SUM(Y101:Y103)</f>
        <v>169287</v>
      </c>
      <c r="Z104" s="116"/>
      <c r="AA104" s="116"/>
      <c r="AB104" s="116"/>
      <c r="AC104" s="116"/>
      <c r="AD104" s="116"/>
      <c r="AE104" s="116"/>
      <c r="AF104" s="116"/>
      <c r="AG104" s="116"/>
      <c r="AH104" s="116"/>
    </row>
    <row r="105" spans="1:34">
      <c r="A105" s="119">
        <v>3</v>
      </c>
      <c r="B105" s="119"/>
      <c r="C105" s="119">
        <v>90.2</v>
      </c>
      <c r="D105" s="119">
        <v>76.099999999999994</v>
      </c>
      <c r="E105" s="119"/>
      <c r="F105" s="119"/>
      <c r="G105" s="119"/>
      <c r="H105" s="116"/>
      <c r="I105" s="124">
        <v>86.6</v>
      </c>
      <c r="J105" s="116">
        <v>3</v>
      </c>
      <c r="K105" s="116"/>
      <c r="L105" s="125">
        <v>10621</v>
      </c>
      <c r="M105" s="124">
        <v>132.60000000000002</v>
      </c>
      <c r="N105" s="124">
        <f t="shared" si="1"/>
        <v>205.48406466512705</v>
      </c>
      <c r="O105" s="125">
        <v>7951</v>
      </c>
      <c r="P105" s="124">
        <v>430.9</v>
      </c>
      <c r="Q105" s="124">
        <f t="shared" si="2"/>
        <v>667.74572748267894</v>
      </c>
      <c r="R105" s="125">
        <v>14126</v>
      </c>
      <c r="S105" s="124">
        <v>204.90000000000003</v>
      </c>
      <c r="T105" s="124">
        <f t="shared" si="3"/>
        <v>317.52401847575061</v>
      </c>
      <c r="U105" s="116"/>
      <c r="V105" s="119"/>
      <c r="W105" s="119"/>
      <c r="X105" s="119"/>
      <c r="Y105" s="119"/>
      <c r="Z105" s="116"/>
      <c r="AA105" s="116"/>
      <c r="AB105" s="116"/>
      <c r="AC105" s="116"/>
      <c r="AD105" s="116"/>
      <c r="AE105" s="116"/>
      <c r="AF105" s="116"/>
      <c r="AG105" s="116"/>
      <c r="AH105" s="116"/>
    </row>
    <row r="106" spans="1:34">
      <c r="A106" s="119">
        <v>4</v>
      </c>
      <c r="B106" s="119"/>
      <c r="C106" s="119">
        <v>92.6</v>
      </c>
      <c r="D106" s="119">
        <v>78.099999999999994</v>
      </c>
      <c r="E106" s="119"/>
      <c r="F106" s="119"/>
      <c r="G106" s="119"/>
      <c r="H106" s="116"/>
      <c r="I106" s="124">
        <v>87.3</v>
      </c>
      <c r="J106" s="116">
        <v>4</v>
      </c>
      <c r="K106" s="116"/>
      <c r="L106" s="125">
        <v>11640</v>
      </c>
      <c r="M106" s="124">
        <v>138.20000000000005</v>
      </c>
      <c r="N106" s="124">
        <f t="shared" si="1"/>
        <v>212.4449026345934</v>
      </c>
      <c r="O106" s="125">
        <v>13048</v>
      </c>
      <c r="P106" s="124">
        <v>427.00000000000023</v>
      </c>
      <c r="Q106" s="124">
        <f t="shared" si="2"/>
        <v>656.39633447880908</v>
      </c>
      <c r="R106" s="125">
        <v>13048</v>
      </c>
      <c r="S106" s="124">
        <v>185</v>
      </c>
      <c r="T106" s="124">
        <f t="shared" si="3"/>
        <v>284.38717067583048</v>
      </c>
      <c r="U106" s="116"/>
      <c r="V106" s="119" t="s">
        <v>87</v>
      </c>
      <c r="W106" s="129">
        <f>IF('Tab7'!C8="",+'Tab7'!C7+'Tab11'!C7,+'Tab7'!C8+'Tab11'!C8)</f>
        <v>312375.81767241342</v>
      </c>
      <c r="X106" s="129">
        <f>IF('Tab7'!D8="",+'Tab7'!D7+'Tab11'!D7,+'Tab7'!D8+'Tab11'!D8)</f>
        <v>282383</v>
      </c>
      <c r="Y106" s="129">
        <f>IF('Tab7'!E8="",+'Tab7'!E7+'Tab11'!E7,+'Tab7'!E8+'Tab11'!E8)</f>
        <v>322699</v>
      </c>
      <c r="Z106" s="116"/>
      <c r="AA106" s="116"/>
      <c r="AB106" s="116"/>
      <c r="AC106" s="116"/>
      <c r="AD106" s="116"/>
      <c r="AE106" s="116"/>
      <c r="AF106" s="116"/>
      <c r="AG106" s="116"/>
      <c r="AH106" s="116"/>
    </row>
    <row r="107" spans="1:34">
      <c r="A107" s="119">
        <v>1</v>
      </c>
      <c r="B107" s="119">
        <v>1992</v>
      </c>
      <c r="C107" s="119">
        <v>102</v>
      </c>
      <c r="D107" s="119">
        <v>87.1</v>
      </c>
      <c r="E107" s="119"/>
      <c r="F107" s="119"/>
      <c r="G107" s="119"/>
      <c r="H107" s="116"/>
      <c r="I107" s="124">
        <v>87.5</v>
      </c>
      <c r="J107" s="116">
        <v>1</v>
      </c>
      <c r="K107" s="116">
        <v>1992</v>
      </c>
      <c r="L107" s="125">
        <v>10520</v>
      </c>
      <c r="M107" s="124">
        <v>129.4</v>
      </c>
      <c r="N107" s="124">
        <f>M107/I107*$I$69</f>
        <v>198.46262857142855</v>
      </c>
      <c r="O107" s="125">
        <v>6509</v>
      </c>
      <c r="P107" s="124">
        <v>409.5</v>
      </c>
      <c r="Q107" s="124">
        <f t="shared" si="2"/>
        <v>628.05599999999993</v>
      </c>
      <c r="R107" s="125">
        <v>11030</v>
      </c>
      <c r="S107" s="124">
        <v>180.5</v>
      </c>
      <c r="T107" s="124">
        <f t="shared" si="3"/>
        <v>276.83542857142851</v>
      </c>
      <c r="U107" s="116"/>
      <c r="V107" s="116"/>
      <c r="W107" s="116"/>
      <c r="X107" s="116"/>
      <c r="Y107" s="116"/>
      <c r="Z107" s="116"/>
      <c r="AA107" s="116"/>
      <c r="AB107" s="116"/>
      <c r="AC107" s="116"/>
      <c r="AD107" s="116"/>
      <c r="AE107" s="116"/>
      <c r="AF107" s="116"/>
      <c r="AG107" s="116"/>
      <c r="AH107" s="116"/>
    </row>
    <row r="108" spans="1:34">
      <c r="A108" s="119">
        <v>2</v>
      </c>
      <c r="B108" s="119"/>
      <c r="C108" s="119">
        <v>92.2</v>
      </c>
      <c r="D108" s="119">
        <v>78.900000000000006</v>
      </c>
      <c r="E108" s="119"/>
      <c r="F108" s="119"/>
      <c r="G108" s="119"/>
      <c r="H108" s="116"/>
      <c r="I108" s="124">
        <v>88.6</v>
      </c>
      <c r="J108" s="116">
        <v>2</v>
      </c>
      <c r="K108" s="116"/>
      <c r="L108" s="125">
        <v>10661</v>
      </c>
      <c r="M108" s="124">
        <v>112.9</v>
      </c>
      <c r="N108" s="124">
        <f t="shared" ref="N108:N171" si="4">M108/I108*$I$69</f>
        <v>171.00654627539507</v>
      </c>
      <c r="O108" s="125">
        <v>5632</v>
      </c>
      <c r="P108" s="124">
        <v>412</v>
      </c>
      <c r="Q108" s="124">
        <f t="shared" si="2"/>
        <v>624.0451467268623</v>
      </c>
      <c r="R108" s="125">
        <v>13252</v>
      </c>
      <c r="S108" s="124">
        <v>167</v>
      </c>
      <c r="T108" s="124">
        <f t="shared" si="3"/>
        <v>252.95033860045146</v>
      </c>
      <c r="U108" s="116"/>
      <c r="V108" s="116"/>
      <c r="W108" s="116"/>
      <c r="X108" s="116"/>
      <c r="Y108" s="116"/>
      <c r="Z108" s="116"/>
      <c r="AA108" s="116"/>
      <c r="AB108" s="116"/>
      <c r="AC108" s="116"/>
      <c r="AD108" s="116"/>
      <c r="AE108" s="116"/>
      <c r="AF108" s="116"/>
      <c r="AG108" s="116"/>
      <c r="AH108" s="116"/>
    </row>
    <row r="109" spans="1:34">
      <c r="A109" s="119">
        <v>3</v>
      </c>
      <c r="B109" s="119"/>
      <c r="C109" s="119">
        <v>93.3</v>
      </c>
      <c r="D109" s="119">
        <v>79.900000000000006</v>
      </c>
      <c r="E109" s="119"/>
      <c r="F109" s="119"/>
      <c r="G109" s="119"/>
      <c r="H109" s="116"/>
      <c r="I109" s="124">
        <v>88.7</v>
      </c>
      <c r="J109" s="116">
        <v>3</v>
      </c>
      <c r="K109" s="116"/>
      <c r="L109" s="125">
        <v>11590</v>
      </c>
      <c r="M109" s="124">
        <v>130.59999999999997</v>
      </c>
      <c r="N109" s="124">
        <f t="shared" si="4"/>
        <v>197.59323562570452</v>
      </c>
      <c r="O109" s="125">
        <v>8642</v>
      </c>
      <c r="P109" s="124">
        <v>440.40000000000009</v>
      </c>
      <c r="Q109" s="124">
        <f t="shared" si="2"/>
        <v>666.30980834272839</v>
      </c>
      <c r="R109" s="125">
        <v>15450</v>
      </c>
      <c r="S109" s="124">
        <v>219.10000000000002</v>
      </c>
      <c r="T109" s="124">
        <f t="shared" si="3"/>
        <v>331.49064261555804</v>
      </c>
      <c r="U109" s="116"/>
      <c r="V109" s="118" t="s">
        <v>187</v>
      </c>
      <c r="W109" s="119"/>
      <c r="X109" s="119"/>
      <c r="Y109" s="119"/>
      <c r="Z109" s="116"/>
      <c r="AA109" s="116"/>
      <c r="AB109" s="116"/>
      <c r="AC109" s="116"/>
      <c r="AD109" s="116"/>
      <c r="AE109" s="116"/>
      <c r="AF109" s="116"/>
      <c r="AG109" s="116"/>
      <c r="AH109" s="116"/>
    </row>
    <row r="110" spans="1:34">
      <c r="A110" s="119">
        <v>4</v>
      </c>
      <c r="B110" s="119"/>
      <c r="C110" s="119">
        <v>90.8</v>
      </c>
      <c r="D110" s="119">
        <v>77.599999999999994</v>
      </c>
      <c r="E110" s="119"/>
      <c r="F110" s="119"/>
      <c r="G110" s="119"/>
      <c r="H110" s="116"/>
      <c r="I110" s="124">
        <v>89.3</v>
      </c>
      <c r="J110" s="116">
        <v>4</v>
      </c>
      <c r="K110" s="116"/>
      <c r="L110" s="125">
        <v>11917</v>
      </c>
      <c r="M110" s="124">
        <v>108.50000000000006</v>
      </c>
      <c r="N110" s="124">
        <f t="shared" si="4"/>
        <v>163.0537513997761</v>
      </c>
      <c r="O110" s="125">
        <v>7139</v>
      </c>
      <c r="P110" s="124">
        <v>425.59999999999991</v>
      </c>
      <c r="Q110" s="124">
        <f t="shared" si="2"/>
        <v>639.59148936170197</v>
      </c>
      <c r="R110" s="125">
        <v>12309</v>
      </c>
      <c r="S110" s="124">
        <v>109.39999999999998</v>
      </c>
      <c r="T110" s="124">
        <f t="shared" si="3"/>
        <v>164.4062709966405</v>
      </c>
      <c r="U110" s="116"/>
      <c r="V110" s="119"/>
      <c r="W110" s="119"/>
      <c r="X110" s="119"/>
      <c r="Y110" s="119"/>
      <c r="Z110" s="116"/>
      <c r="AA110" s="116"/>
      <c r="AB110" s="116"/>
      <c r="AC110" s="116"/>
      <c r="AD110" s="116"/>
      <c r="AE110" s="116"/>
      <c r="AF110" s="116"/>
      <c r="AG110" s="116"/>
      <c r="AH110" s="116"/>
    </row>
    <row r="111" spans="1:34">
      <c r="A111" s="119">
        <v>1</v>
      </c>
      <c r="B111" s="119">
        <v>1993</v>
      </c>
      <c r="C111" s="119">
        <v>112.6</v>
      </c>
      <c r="D111" s="119">
        <v>96.5</v>
      </c>
      <c r="E111" s="119"/>
      <c r="F111" s="119"/>
      <c r="G111" s="119"/>
      <c r="H111" s="116"/>
      <c r="I111" s="124">
        <v>89.8</v>
      </c>
      <c r="J111" s="116">
        <v>1</v>
      </c>
      <c r="K111" s="116">
        <v>1993</v>
      </c>
      <c r="L111" s="125">
        <v>11275</v>
      </c>
      <c r="M111" s="124">
        <v>136.89999999999998</v>
      </c>
      <c r="N111" s="124">
        <f t="shared" si="4"/>
        <v>204.58775055679283</v>
      </c>
      <c r="O111" s="125">
        <v>6982</v>
      </c>
      <c r="P111" s="124">
        <v>449.4</v>
      </c>
      <c r="Q111" s="124">
        <f t="shared" si="2"/>
        <v>671.59777282850769</v>
      </c>
      <c r="R111" s="125">
        <v>10571</v>
      </c>
      <c r="S111" s="124">
        <v>175.5</v>
      </c>
      <c r="T111" s="124">
        <f t="shared" si="3"/>
        <v>262.27282850779511</v>
      </c>
      <c r="U111" s="116"/>
      <c r="V111" s="119"/>
      <c r="W111" s="123" t="str">
        <f>+W100</f>
        <v>2011</v>
      </c>
      <c r="X111" s="123" t="str">
        <f>+X100</f>
        <v>2012</v>
      </c>
      <c r="Y111" s="123" t="str">
        <f>+Y100</f>
        <v>2013</v>
      </c>
      <c r="Z111" s="116"/>
      <c r="AA111" s="116"/>
      <c r="AB111" s="116"/>
      <c r="AC111" s="116"/>
      <c r="AD111" s="116"/>
      <c r="AE111" s="116"/>
      <c r="AF111" s="116"/>
      <c r="AG111" s="116"/>
      <c r="AH111" s="116"/>
    </row>
    <row r="112" spans="1:34">
      <c r="A112" s="119">
        <v>2</v>
      </c>
      <c r="B112" s="119"/>
      <c r="C112" s="119">
        <f>205.6-C111</f>
        <v>93</v>
      </c>
      <c r="D112" s="119">
        <f>176.6-D111</f>
        <v>80.099999999999994</v>
      </c>
      <c r="E112" s="119"/>
      <c r="F112" s="119"/>
      <c r="G112" s="119"/>
      <c r="H112" s="116"/>
      <c r="I112" s="124">
        <v>90.8</v>
      </c>
      <c r="J112" s="116">
        <v>2</v>
      </c>
      <c r="K112" s="116"/>
      <c r="L112" s="125">
        <v>10076</v>
      </c>
      <c r="M112" s="124">
        <v>115.20000000000002</v>
      </c>
      <c r="N112" s="124">
        <f t="shared" si="4"/>
        <v>170.26255506607933</v>
      </c>
      <c r="O112" s="125">
        <v>6332</v>
      </c>
      <c r="P112" s="124">
        <v>352.9</v>
      </c>
      <c r="Q112" s="124">
        <f t="shared" si="2"/>
        <v>521.57687224669598</v>
      </c>
      <c r="R112" s="125">
        <v>12919</v>
      </c>
      <c r="S112" s="124">
        <v>191.20000000000005</v>
      </c>
      <c r="T112" s="124">
        <f t="shared" si="3"/>
        <v>282.58854625550663</v>
      </c>
      <c r="U112" s="116"/>
      <c r="V112" s="119" t="s">
        <v>172</v>
      </c>
      <c r="W112" s="128">
        <f>IF('Tab7'!C38="",+'Tab7'!C37+'Tab11'!C37,+'Tab7'!C38+'Tab11'!C38)</f>
        <v>5804.3626975018997</v>
      </c>
      <c r="X112" s="128">
        <f>IF('Tab7'!D38="",+'Tab7'!D37+'Tab11'!D37,+'Tab7'!D38+'Tab11'!D38)</f>
        <v>4391.1839028706299</v>
      </c>
      <c r="Y112" s="128">
        <f>IF('Tab7'!E38="",+'Tab7'!E37+'Tab11'!E37,+'Tab7'!E38+'Tab11'!E38)</f>
        <v>4817.94259511362</v>
      </c>
      <c r="Z112" s="116"/>
      <c r="AA112" s="116"/>
      <c r="AB112" s="116"/>
      <c r="AC112" s="116"/>
      <c r="AD112" s="116"/>
      <c r="AE112" s="116"/>
      <c r="AF112" s="116"/>
      <c r="AG112" s="116"/>
      <c r="AH112" s="116"/>
    </row>
    <row r="113" spans="1:34">
      <c r="A113" s="119">
        <v>3</v>
      </c>
      <c r="B113" s="119"/>
      <c r="C113" s="119">
        <f>293.1-C112-C111</f>
        <v>87.500000000000028</v>
      </c>
      <c r="D113" s="119">
        <f>250.2-D112-D111</f>
        <v>73.599999999999994</v>
      </c>
      <c r="E113" s="119"/>
      <c r="F113" s="119"/>
      <c r="G113" s="119"/>
      <c r="H113" s="116"/>
      <c r="I113" s="124">
        <v>90.6</v>
      </c>
      <c r="J113" s="116">
        <v>3</v>
      </c>
      <c r="K113" s="116"/>
      <c r="L113" s="125">
        <v>11766</v>
      </c>
      <c r="M113" s="124">
        <v>132.79999999999998</v>
      </c>
      <c r="N113" s="124">
        <f t="shared" si="4"/>
        <v>196.70816777041941</v>
      </c>
      <c r="O113" s="125">
        <v>6675</v>
      </c>
      <c r="P113" s="124">
        <v>388.50000000000023</v>
      </c>
      <c r="Q113" s="124">
        <f t="shared" si="2"/>
        <v>575.46026490066254</v>
      </c>
      <c r="R113" s="125">
        <v>14800</v>
      </c>
      <c r="S113" s="124">
        <v>216.89999999999998</v>
      </c>
      <c r="T113" s="124">
        <f t="shared" si="3"/>
        <v>321.28013245033111</v>
      </c>
      <c r="U113" s="116"/>
      <c r="V113" s="119" t="s">
        <v>86</v>
      </c>
      <c r="W113" s="128">
        <f>IF('Tab7'!C40="",+'Tab7'!C39+'Tab11'!C39,+'Tab7'!C40+'Tab11'!C40)</f>
        <v>3530.03493543185</v>
      </c>
      <c r="X113" s="128">
        <f>IF('Tab7'!D40="",+'Tab7'!D39+'Tab11'!D39,+'Tab7'!D40+'Tab11'!D40)</f>
        <v>3196.1532912164303</v>
      </c>
      <c r="Y113" s="128">
        <f>IF('Tab7'!E40="",+'Tab7'!E39+'Tab11'!E39,+'Tab7'!E40+'Tab11'!E40)</f>
        <v>3665.8989631304303</v>
      </c>
      <c r="Z113" s="116"/>
      <c r="AA113" s="116"/>
      <c r="AB113" s="116"/>
      <c r="AC113" s="116"/>
      <c r="AD113" s="116"/>
      <c r="AE113" s="116"/>
      <c r="AF113" s="116"/>
      <c r="AG113" s="116"/>
      <c r="AH113" s="116"/>
    </row>
    <row r="114" spans="1:34">
      <c r="A114" s="119">
        <v>4</v>
      </c>
      <c r="B114" s="119"/>
      <c r="C114" s="119">
        <f>413.2-C113-C112-C111</f>
        <v>120.09999999999994</v>
      </c>
      <c r="D114" s="119">
        <f>356.8-D113-D112-D111</f>
        <v>106.60000000000005</v>
      </c>
      <c r="E114" s="119"/>
      <c r="F114" s="119"/>
      <c r="G114" s="119"/>
      <c r="H114" s="116"/>
      <c r="I114" s="124">
        <v>91</v>
      </c>
      <c r="J114" s="116">
        <v>4</v>
      </c>
      <c r="K114" s="116"/>
      <c r="L114" s="125">
        <v>12707</v>
      </c>
      <c r="M114" s="124">
        <v>157.79999999999995</v>
      </c>
      <c r="N114" s="124">
        <f t="shared" si="4"/>
        <v>232.71164835164825</v>
      </c>
      <c r="O114" s="125">
        <v>6319</v>
      </c>
      <c r="P114" s="124">
        <v>466.99999999999977</v>
      </c>
      <c r="Q114" s="124">
        <f t="shared" si="2"/>
        <v>688.69670329670294</v>
      </c>
      <c r="R114" s="125">
        <v>11391</v>
      </c>
      <c r="S114" s="124">
        <v>164.5</v>
      </c>
      <c r="T114" s="124">
        <f t="shared" si="3"/>
        <v>242.59230769230768</v>
      </c>
      <c r="U114" s="116"/>
      <c r="V114" s="119" t="s">
        <v>63</v>
      </c>
      <c r="W114" s="128">
        <f>IF('Tab7'!C42="",+'Tab7'!C41+'Tab11'!C41,+'Tab7'!C42+'Tab11'!C42)</f>
        <v>702.70345200861902</v>
      </c>
      <c r="X114" s="128">
        <f>IF('Tab7'!D42="",+'Tab7'!D41+'Tab11'!D41,+'Tab7'!D42+'Tab11'!D42)</f>
        <v>740.39103667105996</v>
      </c>
      <c r="Y114" s="128">
        <f>IF('Tab7'!E42="",+'Tab7'!E41+'Tab11'!E41,+'Tab7'!E42+'Tab11'!E42)</f>
        <v>696.53351237665004</v>
      </c>
      <c r="Z114" s="116"/>
      <c r="AA114" s="116"/>
      <c r="AB114" s="116"/>
      <c r="AC114" s="116"/>
      <c r="AD114" s="116"/>
      <c r="AE114" s="116"/>
      <c r="AF114" s="116"/>
      <c r="AG114" s="116"/>
      <c r="AH114" s="116"/>
    </row>
    <row r="115" spans="1:34">
      <c r="A115" s="119">
        <v>1</v>
      </c>
      <c r="B115" s="119">
        <v>1994</v>
      </c>
      <c r="C115" s="119">
        <v>138.4</v>
      </c>
      <c r="D115" s="119">
        <v>120</v>
      </c>
      <c r="E115" s="119"/>
      <c r="F115" s="119"/>
      <c r="G115" s="119"/>
      <c r="H115" s="116"/>
      <c r="I115" s="124">
        <v>91</v>
      </c>
      <c r="J115" s="116">
        <v>1</v>
      </c>
      <c r="K115" s="116">
        <v>1994</v>
      </c>
      <c r="L115" s="125">
        <v>15224</v>
      </c>
      <c r="M115" s="124">
        <v>189</v>
      </c>
      <c r="N115" s="124">
        <f t="shared" si="4"/>
        <v>278.72307692307692</v>
      </c>
      <c r="O115" s="125">
        <v>6291</v>
      </c>
      <c r="P115" s="124">
        <v>427.6</v>
      </c>
      <c r="Q115" s="124">
        <f t="shared" si="2"/>
        <v>630.59252747252742</v>
      </c>
      <c r="R115" s="125">
        <v>8795</v>
      </c>
      <c r="S115" s="124">
        <v>161.69999999999999</v>
      </c>
      <c r="T115" s="124">
        <f t="shared" si="3"/>
        <v>238.4630769230769</v>
      </c>
      <c r="U115" s="116"/>
      <c r="V115" s="119" t="s">
        <v>14</v>
      </c>
      <c r="W115" s="131">
        <f>+W117-SUM(W112:W114)</f>
        <v>2406.9191053892901</v>
      </c>
      <c r="X115" s="131">
        <f>+X117-SUM(X112:X114)</f>
        <v>2196.6415934720299</v>
      </c>
      <c r="Y115" s="131">
        <f>+Y117-SUM(Y112:Y114)</f>
        <v>2264.48175234271</v>
      </c>
      <c r="Z115" s="116"/>
      <c r="AA115" s="116"/>
      <c r="AB115" s="116"/>
      <c r="AC115" s="116"/>
      <c r="AD115" s="116"/>
      <c r="AE115" s="116"/>
      <c r="AF115" s="116"/>
      <c r="AG115" s="116"/>
      <c r="AH115" s="116"/>
    </row>
    <row r="116" spans="1:34">
      <c r="A116" s="119">
        <v>2</v>
      </c>
      <c r="B116" s="119"/>
      <c r="C116" s="119">
        <f>252.9-C115</f>
        <v>114.5</v>
      </c>
      <c r="D116" s="119">
        <f>218.1-D115</f>
        <v>98.1</v>
      </c>
      <c r="E116" s="119"/>
      <c r="F116" s="119"/>
      <c r="G116" s="119"/>
      <c r="H116" s="116"/>
      <c r="I116" s="124">
        <v>91.7</v>
      </c>
      <c r="J116" s="116">
        <v>2</v>
      </c>
      <c r="K116" s="116"/>
      <c r="L116" s="125">
        <v>13585</v>
      </c>
      <c r="M116" s="124">
        <v>166.5</v>
      </c>
      <c r="N116" s="124">
        <f t="shared" si="4"/>
        <v>243.66739367502723</v>
      </c>
      <c r="O116" s="125">
        <v>5517</v>
      </c>
      <c r="P116" s="124">
        <v>494.30000000000007</v>
      </c>
      <c r="Q116" s="124">
        <f t="shared" si="2"/>
        <v>723.39214830970559</v>
      </c>
      <c r="R116" s="125">
        <v>13449</v>
      </c>
      <c r="S116" s="124">
        <v>196.2</v>
      </c>
      <c r="T116" s="124">
        <f t="shared" si="3"/>
        <v>287.13238822246456</v>
      </c>
      <c r="U116" s="116"/>
      <c r="V116" s="119"/>
      <c r="W116" s="128"/>
      <c r="X116" s="128"/>
      <c r="Y116" s="128"/>
      <c r="Z116" s="116"/>
      <c r="AA116" s="116"/>
      <c r="AB116" s="116"/>
      <c r="AC116" s="116"/>
      <c r="AD116" s="116"/>
      <c r="AE116" s="116"/>
      <c r="AF116" s="116"/>
      <c r="AG116" s="116"/>
      <c r="AH116" s="116"/>
    </row>
    <row r="117" spans="1:34">
      <c r="A117" s="119">
        <v>3</v>
      </c>
      <c r="B117" s="119"/>
      <c r="C117" s="119">
        <f>365.7-C115-C116</f>
        <v>112.79999999999998</v>
      </c>
      <c r="D117" s="119">
        <f>316.9-D115-D116</f>
        <v>98.799999999999983</v>
      </c>
      <c r="E117" s="119"/>
      <c r="F117" s="119"/>
      <c r="G117" s="119"/>
      <c r="H117" s="116"/>
      <c r="I117" s="124">
        <v>92.1</v>
      </c>
      <c r="J117" s="116">
        <v>3</v>
      </c>
      <c r="K117" s="116"/>
      <c r="L117" s="125">
        <v>13956</v>
      </c>
      <c r="M117" s="124">
        <v>169.89999999999998</v>
      </c>
      <c r="N117" s="124">
        <f t="shared" si="4"/>
        <v>247.5633007600434</v>
      </c>
      <c r="O117" s="125">
        <v>8952</v>
      </c>
      <c r="P117" s="124">
        <v>425.5</v>
      </c>
      <c r="Q117" s="124">
        <f t="shared" si="2"/>
        <v>620.00108577633011</v>
      </c>
      <c r="R117" s="125">
        <v>15669</v>
      </c>
      <c r="S117" s="124">
        <v>219.80000000000007</v>
      </c>
      <c r="T117" s="124">
        <f t="shared" si="3"/>
        <v>320.27318132464723</v>
      </c>
      <c r="U117" s="116"/>
      <c r="V117" s="119" t="s">
        <v>87</v>
      </c>
      <c r="W117" s="128">
        <f>IF('Tab7'!C36="",+'Tab7'!C35+'Tab11'!C35,+'Tab7'!C36+'Tab11'!C36)</f>
        <v>12444.020190331659</v>
      </c>
      <c r="X117" s="128">
        <f>IF('Tab7'!D36="",+'Tab7'!D35+'Tab11'!D35,+'Tab7'!D36+'Tab11'!D36)</f>
        <v>10524.369824230151</v>
      </c>
      <c r="Y117" s="128">
        <f>IF('Tab7'!E36="",+'Tab7'!E35+'Tab11'!E35,+'Tab7'!E36+'Tab11'!E36)</f>
        <v>11444.856822963411</v>
      </c>
      <c r="Z117" s="116"/>
      <c r="AA117" s="116"/>
      <c r="AB117" s="116"/>
      <c r="AC117" s="116"/>
      <c r="AD117" s="116"/>
      <c r="AE117" s="116"/>
      <c r="AF117" s="116"/>
      <c r="AG117" s="116"/>
      <c r="AH117" s="116"/>
    </row>
    <row r="118" spans="1:34">
      <c r="A118" s="119">
        <v>4</v>
      </c>
      <c r="B118" s="119"/>
      <c r="C118" s="119">
        <f>480.2-C115-C116-C117</f>
        <v>114.49999999999997</v>
      </c>
      <c r="D118" s="119">
        <f>417.1-D115-D116-D117</f>
        <v>100.20000000000005</v>
      </c>
      <c r="E118" s="119"/>
      <c r="F118" s="119"/>
      <c r="G118" s="119"/>
      <c r="H118" s="116"/>
      <c r="I118" s="124">
        <v>92.6</v>
      </c>
      <c r="J118" s="116">
        <v>4</v>
      </c>
      <c r="K118" s="116"/>
      <c r="L118" s="125">
        <v>14006</v>
      </c>
      <c r="M118" s="124">
        <v>140.80000000000007</v>
      </c>
      <c r="N118" s="124">
        <f t="shared" si="4"/>
        <v>204.05356371490288</v>
      </c>
      <c r="O118" s="125">
        <v>8189</v>
      </c>
      <c r="P118" s="124">
        <v>390.59999999999991</v>
      </c>
      <c r="Q118" s="124">
        <f t="shared" si="2"/>
        <v>566.07473002159816</v>
      </c>
      <c r="R118" s="125">
        <v>14139</v>
      </c>
      <c r="S118" s="124">
        <v>214.39999999999998</v>
      </c>
      <c r="T118" s="124">
        <f t="shared" si="3"/>
        <v>310.71792656587468</v>
      </c>
      <c r="U118" s="116"/>
      <c r="V118" s="119"/>
      <c r="W118" s="116"/>
      <c r="X118" s="119"/>
      <c r="Y118" s="116"/>
      <c r="Z118" s="116"/>
      <c r="AA118" s="116"/>
      <c r="AB118" s="116"/>
      <c r="AC118" s="116"/>
      <c r="AD118" s="116"/>
      <c r="AE118" s="116"/>
      <c r="AF118" s="116"/>
      <c r="AG118" s="116"/>
      <c r="AH118" s="116"/>
    </row>
    <row r="119" spans="1:34">
      <c r="A119" s="119">
        <v>1</v>
      </c>
      <c r="B119" s="119">
        <v>1995</v>
      </c>
      <c r="C119" s="119">
        <v>137.19999999999999</v>
      </c>
      <c r="D119" s="119">
        <v>119.3</v>
      </c>
      <c r="E119" s="119"/>
      <c r="F119" s="119"/>
      <c r="G119" s="119"/>
      <c r="H119" s="116"/>
      <c r="I119" s="124">
        <v>93.4</v>
      </c>
      <c r="J119" s="116">
        <v>1</v>
      </c>
      <c r="K119" s="116">
        <v>1995</v>
      </c>
      <c r="L119" s="125">
        <v>13188</v>
      </c>
      <c r="M119" s="124">
        <v>171.1</v>
      </c>
      <c r="N119" s="124">
        <f t="shared" si="4"/>
        <v>245.84175588865091</v>
      </c>
      <c r="O119" s="125">
        <v>7699</v>
      </c>
      <c r="P119" s="124">
        <v>543</v>
      </c>
      <c r="Q119" s="124">
        <f t="shared" si="2"/>
        <v>780.19914346895064</v>
      </c>
      <c r="R119" s="125">
        <v>11007</v>
      </c>
      <c r="S119" s="124">
        <v>183.1</v>
      </c>
      <c r="T119" s="124">
        <f t="shared" si="3"/>
        <v>263.08372591006423</v>
      </c>
      <c r="U119" s="116"/>
      <c r="V119" s="118" t="s">
        <v>181</v>
      </c>
      <c r="W119" s="116"/>
      <c r="X119" s="116"/>
      <c r="Y119" s="116"/>
      <c r="Z119" s="116"/>
      <c r="AA119" s="116"/>
      <c r="AB119" s="116"/>
      <c r="AC119" s="116"/>
      <c r="AD119" s="116"/>
      <c r="AE119" s="116"/>
      <c r="AF119" s="116"/>
      <c r="AG119" s="116"/>
      <c r="AH119" s="116"/>
    </row>
    <row r="120" spans="1:34">
      <c r="A120" s="119">
        <v>2</v>
      </c>
      <c r="B120" s="119"/>
      <c r="C120" s="119">
        <f>248.2-C119</f>
        <v>111</v>
      </c>
      <c r="D120" s="119">
        <f>214.7-D119</f>
        <v>95.399999999999991</v>
      </c>
      <c r="E120" s="119"/>
      <c r="F120" s="119"/>
      <c r="G120" s="119"/>
      <c r="H120" s="116"/>
      <c r="I120" s="124">
        <v>94.1</v>
      </c>
      <c r="J120" s="116">
        <v>2</v>
      </c>
      <c r="K120" s="116"/>
      <c r="L120" s="125">
        <v>11077</v>
      </c>
      <c r="M120" s="124">
        <v>148.30000000000004</v>
      </c>
      <c r="N120" s="124">
        <f t="shared" si="4"/>
        <v>211.49691817215734</v>
      </c>
      <c r="O120" s="125">
        <v>5465</v>
      </c>
      <c r="P120" s="124">
        <v>462.40000000000009</v>
      </c>
      <c r="Q120" s="124">
        <f t="shared" si="2"/>
        <v>659.44824654622755</v>
      </c>
      <c r="R120" s="125">
        <v>13915</v>
      </c>
      <c r="S120" s="124">
        <v>213.4</v>
      </c>
      <c r="T120" s="124">
        <f t="shared" si="3"/>
        <v>304.33878852284801</v>
      </c>
      <c r="U120" s="116"/>
      <c r="V120" s="116"/>
      <c r="W120" s="116"/>
      <c r="X120" s="116"/>
      <c r="Y120" s="116"/>
      <c r="Z120" s="116"/>
      <c r="AA120" s="116"/>
      <c r="AB120" s="116"/>
      <c r="AC120" s="116"/>
      <c r="AD120" s="116"/>
      <c r="AE120" s="116"/>
      <c r="AF120" s="116"/>
      <c r="AG120" s="116"/>
      <c r="AH120" s="116"/>
    </row>
    <row r="121" spans="1:34">
      <c r="A121" s="119">
        <v>3</v>
      </c>
      <c r="B121" s="119"/>
      <c r="C121" s="119">
        <f>364.1-C119-C120</f>
        <v>115.90000000000003</v>
      </c>
      <c r="D121" s="119">
        <f>315.7-D119-D120</f>
        <v>100.99999999999999</v>
      </c>
      <c r="E121" s="119"/>
      <c r="F121" s="119"/>
      <c r="G121" s="119"/>
      <c r="H121" s="116"/>
      <c r="I121" s="124">
        <v>94.1</v>
      </c>
      <c r="J121" s="116">
        <v>3</v>
      </c>
      <c r="K121" s="116"/>
      <c r="L121" s="125">
        <v>13937</v>
      </c>
      <c r="M121" s="124">
        <v>180.19999999999993</v>
      </c>
      <c r="N121" s="124">
        <f t="shared" si="4"/>
        <v>256.99086078639738</v>
      </c>
      <c r="O121" s="125">
        <v>9139</v>
      </c>
      <c r="P121" s="124">
        <v>487.89999999999986</v>
      </c>
      <c r="Q121" s="124">
        <f t="shared" si="2"/>
        <v>695.81487778958524</v>
      </c>
      <c r="R121" s="125">
        <v>17436</v>
      </c>
      <c r="S121" s="124">
        <v>224.09999999999991</v>
      </c>
      <c r="T121" s="124">
        <f t="shared" si="3"/>
        <v>319.59851222104129</v>
      </c>
      <c r="U121" s="116"/>
      <c r="V121" s="119"/>
      <c r="W121" s="123" t="str">
        <f>+'Tab3'!C6</f>
        <v>2011</v>
      </c>
      <c r="X121" s="123" t="str">
        <f>+'Tab3'!D6</f>
        <v>2012</v>
      </c>
      <c r="Y121" s="123" t="str">
        <f>+'Tab3'!E6</f>
        <v>2013</v>
      </c>
      <c r="Z121" s="116"/>
      <c r="AA121" s="116"/>
      <c r="AB121" s="116"/>
      <c r="AC121" s="116"/>
      <c r="AD121" s="116"/>
      <c r="AE121" s="116"/>
      <c r="AF121" s="116"/>
      <c r="AG121" s="116"/>
      <c r="AH121" s="116"/>
    </row>
    <row r="122" spans="1:34">
      <c r="A122" s="119">
        <v>4</v>
      </c>
      <c r="B122" s="119"/>
      <c r="C122" s="119">
        <f>482.9-C119-C120-C121</f>
        <v>118.79999999999995</v>
      </c>
      <c r="D122" s="119">
        <f>420.1-D119-D120-D121</f>
        <v>104.40000000000005</v>
      </c>
      <c r="E122" s="119"/>
      <c r="F122" s="119"/>
      <c r="G122" s="119"/>
      <c r="H122" s="116"/>
      <c r="I122" s="124">
        <v>94.6</v>
      </c>
      <c r="J122" s="116">
        <v>4</v>
      </c>
      <c r="K122" s="116"/>
      <c r="L122" s="125">
        <v>13920</v>
      </c>
      <c r="M122" s="124">
        <v>172.00000000000006</v>
      </c>
      <c r="N122" s="124">
        <f t="shared" si="4"/>
        <v>244.00000000000006</v>
      </c>
      <c r="O122" s="125">
        <v>7500</v>
      </c>
      <c r="P122" s="124">
        <v>369.89999999999986</v>
      </c>
      <c r="Q122" s="124">
        <f t="shared" si="2"/>
        <v>524.74186046511613</v>
      </c>
      <c r="R122" s="125">
        <v>15130</v>
      </c>
      <c r="S122" s="124">
        <v>206.30000000000018</v>
      </c>
      <c r="T122" s="124">
        <f t="shared" si="3"/>
        <v>292.65813953488396</v>
      </c>
      <c r="U122" s="116"/>
      <c r="V122" s="119" t="s">
        <v>10</v>
      </c>
      <c r="W122" s="123">
        <f>IF('Tab3'!C22="",'Tab3'!C23,'Tab3'!C24)</f>
        <v>271585.66666666698</v>
      </c>
      <c r="X122" s="123">
        <f>IF('Tab3'!D22="",'Tab3'!D23,'Tab3'!D24)</f>
        <v>299510</v>
      </c>
      <c r="Y122" s="123">
        <f>IF('Tab3'!E22="",'Tab3'!E23,'Tab3'!E24)</f>
        <v>317630</v>
      </c>
      <c r="Z122" s="116"/>
      <c r="AA122" s="116"/>
      <c r="AB122" s="116"/>
      <c r="AC122" s="116"/>
      <c r="AD122" s="116"/>
      <c r="AE122" s="116"/>
      <c r="AF122" s="116"/>
      <c r="AG122" s="116"/>
      <c r="AH122" s="116"/>
    </row>
    <row r="123" spans="1:34">
      <c r="A123" s="119">
        <v>1</v>
      </c>
      <c r="B123" s="119">
        <v>1996</v>
      </c>
      <c r="C123" s="119">
        <v>143.9</v>
      </c>
      <c r="D123" s="119">
        <v>126.9</v>
      </c>
      <c r="E123" s="119"/>
      <c r="F123" s="119"/>
      <c r="G123" s="119"/>
      <c r="H123" s="116"/>
      <c r="I123" s="124">
        <v>94.2</v>
      </c>
      <c r="J123" s="116">
        <v>1</v>
      </c>
      <c r="K123" s="116">
        <v>1996</v>
      </c>
      <c r="L123" s="125">
        <v>29850</v>
      </c>
      <c r="M123" s="124">
        <v>375.59999999999997</v>
      </c>
      <c r="N123" s="124">
        <f t="shared" si="4"/>
        <v>535.09044585987249</v>
      </c>
      <c r="O123" s="125">
        <v>7239</v>
      </c>
      <c r="P123" s="124">
        <v>479.9</v>
      </c>
      <c r="Q123" s="124">
        <f t="shared" si="2"/>
        <v>683.67919320594467</v>
      </c>
      <c r="R123" s="125">
        <v>11785</v>
      </c>
      <c r="S123" s="124">
        <v>198.60000000000002</v>
      </c>
      <c r="T123" s="124">
        <f t="shared" si="3"/>
        <v>282.93121019108281</v>
      </c>
      <c r="U123" s="116"/>
      <c r="V123" s="116" t="s">
        <v>112</v>
      </c>
      <c r="W123" s="123">
        <f>IF('Tab9'!C8="",'Tab9'!C7,'Tab9'!C8)</f>
        <v>111907.64</v>
      </c>
      <c r="X123" s="123">
        <f>IF('Tab9'!D8="",'Tab9'!D7,'Tab9'!D8)</f>
        <v>100999</v>
      </c>
      <c r="Y123" s="123">
        <f>IF('Tab9'!E8="",'Tab9'!E7,'Tab9'!E8)</f>
        <v>118928</v>
      </c>
      <c r="Z123" s="116"/>
      <c r="AA123" s="116"/>
      <c r="AB123" s="116"/>
      <c r="AC123" s="116"/>
      <c r="AD123" s="116"/>
      <c r="AE123" s="116"/>
      <c r="AF123" s="116"/>
      <c r="AG123" s="116"/>
      <c r="AH123" s="116"/>
    </row>
    <row r="124" spans="1:34">
      <c r="A124" s="119">
        <v>2</v>
      </c>
      <c r="B124" s="119"/>
      <c r="C124" s="119">
        <f>275.5-C123</f>
        <v>131.6</v>
      </c>
      <c r="D124" s="119">
        <f>242.6-D123</f>
        <v>115.69999999999999</v>
      </c>
      <c r="E124" s="119"/>
      <c r="F124" s="119"/>
      <c r="G124" s="119"/>
      <c r="H124" s="116"/>
      <c r="I124" s="124">
        <v>95.1</v>
      </c>
      <c r="J124" s="116">
        <v>2</v>
      </c>
      <c r="K124" s="116"/>
      <c r="L124" s="125">
        <v>17799</v>
      </c>
      <c r="M124" s="124">
        <v>234.8</v>
      </c>
      <c r="N124" s="124">
        <f t="shared" si="4"/>
        <v>331.33711882229233</v>
      </c>
      <c r="O124" s="125">
        <v>6503</v>
      </c>
      <c r="P124" s="124">
        <v>585.30000000000007</v>
      </c>
      <c r="Q124" s="124">
        <f t="shared" si="2"/>
        <v>825.94384858044168</v>
      </c>
      <c r="R124" s="125">
        <v>14642</v>
      </c>
      <c r="S124" s="124">
        <v>220.09999999999997</v>
      </c>
      <c r="T124" s="124">
        <f t="shared" si="3"/>
        <v>310.59327024185063</v>
      </c>
      <c r="U124" s="116"/>
      <c r="V124" s="116" t="s">
        <v>111</v>
      </c>
      <c r="W124" s="123">
        <f>IF('Tab8'!C8="",'Tab8'!C7,'Tab8'!C8)</f>
        <v>119248.228571429</v>
      </c>
      <c r="X124" s="123">
        <f>IF('Tab8'!D8="",'Tab8'!D7,'Tab8'!D8)</f>
        <v>109466</v>
      </c>
      <c r="Y124" s="123">
        <f>IF('Tab8'!E8="",'Tab8'!E7,'Tab8'!E8)</f>
        <v>111027</v>
      </c>
      <c r="Z124" s="116"/>
      <c r="AA124" s="116"/>
      <c r="AB124" s="116"/>
      <c r="AC124" s="116"/>
      <c r="AD124" s="116"/>
      <c r="AE124" s="116"/>
      <c r="AF124" s="116"/>
      <c r="AG124" s="116"/>
      <c r="AH124" s="116"/>
    </row>
    <row r="125" spans="1:34">
      <c r="A125" s="119">
        <v>3</v>
      </c>
      <c r="B125" s="119"/>
      <c r="C125" s="119">
        <f>387.5-C123-C124</f>
        <v>112</v>
      </c>
      <c r="D125" s="119">
        <f>339.3-D123-D124</f>
        <v>96.700000000000017</v>
      </c>
      <c r="E125" s="119"/>
      <c r="F125" s="119"/>
      <c r="G125" s="119"/>
      <c r="H125" s="116"/>
      <c r="I125" s="124">
        <v>95.5</v>
      </c>
      <c r="J125" s="116">
        <v>3</v>
      </c>
      <c r="K125" s="116"/>
      <c r="L125" s="125">
        <v>16263</v>
      </c>
      <c r="M125" s="124">
        <v>240.00000000000011</v>
      </c>
      <c r="N125" s="124">
        <f t="shared" si="4"/>
        <v>337.25654450261794</v>
      </c>
      <c r="O125" s="125">
        <v>8934</v>
      </c>
      <c r="P125" s="124">
        <v>581.89999999999986</v>
      </c>
      <c r="Q125" s="124">
        <f t="shared" si="2"/>
        <v>817.70659685863848</v>
      </c>
      <c r="R125" s="125">
        <v>17198</v>
      </c>
      <c r="S125" s="124">
        <v>233.2</v>
      </c>
      <c r="T125" s="124">
        <f t="shared" si="3"/>
        <v>327.70094240837693</v>
      </c>
      <c r="U125" s="116"/>
      <c r="V125" s="119" t="s">
        <v>170</v>
      </c>
      <c r="W125" s="123">
        <f>IF('Tab3'!C16="",'Tab3'!C15,'Tab3'!C16)</f>
        <v>49158.0462438424</v>
      </c>
      <c r="X125" s="123">
        <f>IF('Tab3'!D16="",'Tab3'!D15,'Tab3'!D16)</f>
        <v>38994</v>
      </c>
      <c r="Y125" s="123">
        <f>IF('Tab3'!E16="",'Tab3'!E15,'Tab3'!E16)</f>
        <v>42880</v>
      </c>
      <c r="Z125" s="116"/>
      <c r="AA125" s="116"/>
      <c r="AB125" s="116"/>
      <c r="AC125" s="116"/>
      <c r="AD125" s="116"/>
      <c r="AE125" s="116"/>
      <c r="AF125" s="116"/>
      <c r="AG125" s="116"/>
      <c r="AH125" s="116"/>
    </row>
    <row r="126" spans="1:34">
      <c r="A126" s="119">
        <v>4</v>
      </c>
      <c r="B126" s="119"/>
      <c r="C126" s="119">
        <f>520-C123-C124-C125</f>
        <v>132.50000000000003</v>
      </c>
      <c r="D126" s="119">
        <f>452.4-D123-D124-D125</f>
        <v>113.1</v>
      </c>
      <c r="E126" s="119"/>
      <c r="F126" s="119"/>
      <c r="G126" s="119"/>
      <c r="H126" s="116"/>
      <c r="I126" s="124">
        <v>96.3</v>
      </c>
      <c r="J126" s="116">
        <v>4</v>
      </c>
      <c r="K126" s="116"/>
      <c r="L126" s="125">
        <v>16638</v>
      </c>
      <c r="M126" s="124">
        <v>233.40000000000009</v>
      </c>
      <c r="N126" s="124">
        <f t="shared" si="4"/>
        <v>325.25732087227425</v>
      </c>
      <c r="O126" s="125">
        <v>7966</v>
      </c>
      <c r="P126" s="124">
        <v>665.80000000000018</v>
      </c>
      <c r="Q126" s="124">
        <f t="shared" si="2"/>
        <v>927.83343717549349</v>
      </c>
      <c r="R126" s="125">
        <v>13841</v>
      </c>
      <c r="S126" s="124">
        <v>188.00000000000011</v>
      </c>
      <c r="T126" s="124">
        <f t="shared" si="3"/>
        <v>261.98961578400844</v>
      </c>
      <c r="U126" s="116"/>
      <c r="V126" s="116"/>
      <c r="W126" s="116"/>
      <c r="X126" s="116"/>
      <c r="Y126" s="116"/>
      <c r="Z126" s="116"/>
      <c r="AA126" s="116"/>
      <c r="AB126" s="116"/>
      <c r="AC126" s="116"/>
      <c r="AD126" s="116"/>
      <c r="AE126" s="116"/>
      <c r="AF126" s="116"/>
      <c r="AG126" s="116"/>
      <c r="AH126" s="116"/>
    </row>
    <row r="127" spans="1:34">
      <c r="A127" s="119">
        <v>1</v>
      </c>
      <c r="B127" s="119">
        <v>1997</v>
      </c>
      <c r="C127" s="119">
        <v>142.6</v>
      </c>
      <c r="D127" s="119">
        <v>124.8</v>
      </c>
      <c r="E127" s="119"/>
      <c r="F127" s="119"/>
      <c r="G127" s="119"/>
      <c r="H127" s="116"/>
      <c r="I127" s="124">
        <v>97.3</v>
      </c>
      <c r="J127" s="116">
        <v>1</v>
      </c>
      <c r="K127" s="116">
        <v>1997</v>
      </c>
      <c r="L127" s="125">
        <v>17837</v>
      </c>
      <c r="M127" s="124">
        <v>255.29999999999998</v>
      </c>
      <c r="N127" s="124">
        <f t="shared" si="4"/>
        <v>352.11983556012331</v>
      </c>
      <c r="O127" s="125">
        <v>7574</v>
      </c>
      <c r="P127" s="124">
        <v>625.70000000000005</v>
      </c>
      <c r="Q127" s="124">
        <f t="shared" si="2"/>
        <v>862.9901336073998</v>
      </c>
      <c r="R127" s="125">
        <v>10571</v>
      </c>
      <c r="S127" s="124">
        <v>187.8</v>
      </c>
      <c r="T127" s="124">
        <f t="shared" si="3"/>
        <v>259.02117163412129</v>
      </c>
      <c r="U127" s="116"/>
      <c r="V127" s="118" t="s">
        <v>182</v>
      </c>
      <c r="W127" s="116"/>
      <c r="X127" s="116"/>
      <c r="Y127" s="116"/>
      <c r="Z127" s="116"/>
      <c r="AA127" s="116"/>
      <c r="AB127" s="116"/>
      <c r="AC127" s="116"/>
      <c r="AD127" s="116"/>
      <c r="AE127" s="116"/>
      <c r="AF127" s="116"/>
      <c r="AG127" s="116"/>
      <c r="AH127" s="116"/>
    </row>
    <row r="128" spans="1:34">
      <c r="A128" s="119">
        <v>2</v>
      </c>
      <c r="B128" s="119"/>
      <c r="C128" s="119">
        <f>284.4-C127</f>
        <v>141.79999999999998</v>
      </c>
      <c r="D128" s="119">
        <f>247.3-D127</f>
        <v>122.50000000000001</v>
      </c>
      <c r="E128" s="119"/>
      <c r="F128" s="119"/>
      <c r="G128" s="119"/>
      <c r="H128" s="116"/>
      <c r="I128" s="124">
        <v>97.7</v>
      </c>
      <c r="J128" s="116">
        <v>2</v>
      </c>
      <c r="K128" s="116"/>
      <c r="L128" s="125">
        <v>16872</v>
      </c>
      <c r="M128" s="124">
        <v>281.30000000000007</v>
      </c>
      <c r="N128" s="124">
        <f t="shared" si="4"/>
        <v>386.39160696008196</v>
      </c>
      <c r="O128" s="125">
        <v>7284</v>
      </c>
      <c r="P128" s="124">
        <v>664.39999999999986</v>
      </c>
      <c r="Q128" s="124">
        <f t="shared" si="2"/>
        <v>912.61494370521973</v>
      </c>
      <c r="R128" s="125">
        <v>14837</v>
      </c>
      <c r="S128" s="124">
        <v>224.59999999999997</v>
      </c>
      <c r="T128" s="124">
        <f t="shared" si="3"/>
        <v>308.50890481064476</v>
      </c>
      <c r="U128" s="116"/>
      <c r="V128" s="116"/>
      <c r="W128" s="123" t="str">
        <f>+'Tab3'!C6</f>
        <v>2011</v>
      </c>
      <c r="X128" s="123" t="str">
        <f>+'Tab3'!D6</f>
        <v>2012</v>
      </c>
      <c r="Y128" s="123" t="str">
        <f>+'Tab3'!E6</f>
        <v>2013</v>
      </c>
      <c r="Z128" s="116"/>
      <c r="AA128" s="116"/>
      <c r="AB128" s="116"/>
      <c r="AC128" s="116"/>
      <c r="AD128" s="116"/>
      <c r="AE128" s="116"/>
      <c r="AF128" s="116"/>
      <c r="AG128" s="116"/>
      <c r="AH128" s="116"/>
    </row>
    <row r="129" spans="1:34">
      <c r="A129" s="119">
        <v>3</v>
      </c>
      <c r="B129" s="119"/>
      <c r="C129" s="119">
        <f>419.8-C127-C128</f>
        <v>135.40000000000006</v>
      </c>
      <c r="D129" s="119">
        <f>364.6-D127-D128</f>
        <v>117.3</v>
      </c>
      <c r="E129" s="119"/>
      <c r="F129" s="119" t="s">
        <v>74</v>
      </c>
      <c r="G129" s="119"/>
      <c r="H129" s="116"/>
      <c r="I129" s="124">
        <v>97.7</v>
      </c>
      <c r="J129" s="116">
        <v>3</v>
      </c>
      <c r="K129" s="116"/>
      <c r="L129" s="125">
        <v>17873</v>
      </c>
      <c r="M129" s="124">
        <v>297.89999999999998</v>
      </c>
      <c r="N129" s="124">
        <f t="shared" si="4"/>
        <v>409.19324462640731</v>
      </c>
      <c r="O129" s="125">
        <v>14581</v>
      </c>
      <c r="P129" s="124">
        <v>720.30000000000018</v>
      </c>
      <c r="Q129" s="124">
        <f t="shared" si="2"/>
        <v>989.39877175025595</v>
      </c>
      <c r="R129" s="125">
        <v>15670</v>
      </c>
      <c r="S129" s="124">
        <v>198.80000000000007</v>
      </c>
      <c r="T129" s="124">
        <f t="shared" si="3"/>
        <v>273.07021494370531</v>
      </c>
      <c r="U129" s="116"/>
      <c r="V129" s="119" t="s">
        <v>11</v>
      </c>
      <c r="W129" s="123">
        <f>IF('Tab3'!C24="",'Tab3'!C25,'Tab3'!C26)</f>
        <v>9746.9906759906808</v>
      </c>
      <c r="X129" s="123">
        <f>IF('Tab3'!D24="",'Tab3'!D25,'Tab3'!D26)</f>
        <v>8915</v>
      </c>
      <c r="Y129" s="123">
        <f>IF('Tab3'!E24="",'Tab3'!E25,'Tab3'!E26)</f>
        <v>9251</v>
      </c>
      <c r="Z129" s="116"/>
      <c r="AA129" s="116"/>
      <c r="AB129" s="116"/>
      <c r="AC129" s="116"/>
      <c r="AD129" s="116"/>
      <c r="AE129" s="116"/>
      <c r="AF129" s="116"/>
      <c r="AG129" s="116"/>
      <c r="AH129" s="116"/>
    </row>
    <row r="130" spans="1:34">
      <c r="A130" s="119">
        <v>4</v>
      </c>
      <c r="B130" s="119"/>
      <c r="C130" s="119">
        <f>550.4-C127-C128-C129</f>
        <v>130.59999999999994</v>
      </c>
      <c r="D130" s="119">
        <f>478.3-D127-D128-D129</f>
        <v>113.7</v>
      </c>
      <c r="E130" s="119"/>
      <c r="F130" s="119"/>
      <c r="G130" s="119"/>
      <c r="H130" s="116"/>
      <c r="I130" s="124">
        <v>98.4</v>
      </c>
      <c r="J130" s="116">
        <v>4</v>
      </c>
      <c r="K130" s="116"/>
      <c r="L130" s="125">
        <v>15493</v>
      </c>
      <c r="M130" s="124">
        <v>267.70000000000005</v>
      </c>
      <c r="N130" s="124">
        <f t="shared" si="4"/>
        <v>365.09491869918696</v>
      </c>
      <c r="O130" s="125">
        <v>9445</v>
      </c>
      <c r="P130" s="124">
        <v>564</v>
      </c>
      <c r="Q130" s="124">
        <f t="shared" si="2"/>
        <v>769.19512195121945</v>
      </c>
      <c r="R130" s="125">
        <v>13087</v>
      </c>
      <c r="S130" s="124">
        <v>185.09999999999991</v>
      </c>
      <c r="T130" s="124">
        <f t="shared" si="3"/>
        <v>252.44329268292665</v>
      </c>
      <c r="U130" s="116"/>
      <c r="V130" s="119" t="s">
        <v>12</v>
      </c>
      <c r="W130" s="123">
        <f>IF('Tab3'!C26="",'Tab3'!C27,'Tab3'!C28)</f>
        <v>7847.1235164835198</v>
      </c>
      <c r="X130" s="123">
        <f>IF('Tab3'!D26="",'Tab3'!D27,'Tab3'!D28)</f>
        <v>6707</v>
      </c>
      <c r="Y130" s="123">
        <f>IF('Tab3'!E26="",'Tab3'!E27,'Tab3'!E28)</f>
        <v>7206</v>
      </c>
      <c r="Z130" s="116"/>
      <c r="AA130" s="116"/>
      <c r="AB130" s="116"/>
      <c r="AC130" s="116"/>
      <c r="AD130" s="116"/>
      <c r="AE130" s="116"/>
      <c r="AF130" s="116"/>
      <c r="AG130" s="116"/>
      <c r="AH130" s="116"/>
    </row>
    <row r="131" spans="1:34">
      <c r="A131" s="119">
        <v>1</v>
      </c>
      <c r="B131" s="119">
        <v>1998</v>
      </c>
      <c r="C131" s="119">
        <v>150</v>
      </c>
      <c r="D131" s="119">
        <v>131.9</v>
      </c>
      <c r="E131" s="119"/>
      <c r="F131" s="119" t="s">
        <v>78</v>
      </c>
      <c r="G131" s="119"/>
      <c r="H131" s="116"/>
      <c r="I131" s="124">
        <v>99.3</v>
      </c>
      <c r="J131" s="116">
        <v>1</v>
      </c>
      <c r="K131" s="116">
        <v>1998</v>
      </c>
      <c r="L131" s="125">
        <v>17629</v>
      </c>
      <c r="M131" s="124">
        <v>285</v>
      </c>
      <c r="N131" s="124">
        <f t="shared" si="4"/>
        <v>385.16616314199393</v>
      </c>
      <c r="O131" s="125">
        <v>7614</v>
      </c>
      <c r="P131" s="124">
        <v>599.6</v>
      </c>
      <c r="Q131" s="124">
        <f t="shared" si="2"/>
        <v>810.33554884189323</v>
      </c>
      <c r="R131" s="125">
        <v>11958</v>
      </c>
      <c r="S131" s="124">
        <v>185.4</v>
      </c>
      <c r="T131" s="124">
        <f t="shared" si="3"/>
        <v>250.56072507552872</v>
      </c>
      <c r="U131" s="116"/>
      <c r="V131" s="119" t="s">
        <v>7</v>
      </c>
      <c r="W131" s="123">
        <f>IF('Tab3'!C18="",'Tab3'!C17,'Tab3'!C18)</f>
        <v>8831.7474299107107</v>
      </c>
      <c r="X131" s="123">
        <f>IF('Tab3'!D18="",'Tab3'!D17,'Tab3'!D18)</f>
        <v>8926</v>
      </c>
      <c r="Y131" s="123">
        <f>IF('Tab3'!E18="",'Tab3'!E17,'Tab3'!E18)</f>
        <v>9389</v>
      </c>
      <c r="Z131" s="116"/>
      <c r="AA131" s="116"/>
      <c r="AB131" s="116"/>
      <c r="AC131" s="116"/>
      <c r="AD131" s="116"/>
      <c r="AE131" s="116"/>
      <c r="AF131" s="116"/>
      <c r="AG131" s="116"/>
      <c r="AH131" s="116"/>
    </row>
    <row r="132" spans="1:34">
      <c r="A132" s="119">
        <v>2</v>
      </c>
      <c r="B132" s="119"/>
      <c r="C132" s="119">
        <f>289.8-C131</f>
        <v>139.80000000000001</v>
      </c>
      <c r="D132" s="119">
        <f>253.9-D131</f>
        <v>122</v>
      </c>
      <c r="E132" s="119"/>
      <c r="F132" s="119" t="s">
        <v>79</v>
      </c>
      <c r="G132" s="119" t="s">
        <v>80</v>
      </c>
      <c r="H132" s="116"/>
      <c r="I132" s="124">
        <v>99.7</v>
      </c>
      <c r="J132" s="116">
        <v>2</v>
      </c>
      <c r="K132" s="116"/>
      <c r="L132" s="125">
        <v>14484</v>
      </c>
      <c r="M132" s="124">
        <v>253.5</v>
      </c>
      <c r="N132" s="124">
        <f t="shared" si="4"/>
        <v>341.22066198595786</v>
      </c>
      <c r="O132" s="125">
        <v>6009</v>
      </c>
      <c r="P132" s="124">
        <v>576.9</v>
      </c>
      <c r="Q132" s="124">
        <f t="shared" si="2"/>
        <v>776.52938816449341</v>
      </c>
      <c r="R132" s="125">
        <v>15060</v>
      </c>
      <c r="S132" s="124">
        <v>204.20000000000002</v>
      </c>
      <c r="T132" s="124">
        <f t="shared" si="3"/>
        <v>274.86098294884653</v>
      </c>
      <c r="U132" s="116"/>
      <c r="V132" s="116" t="s">
        <v>113</v>
      </c>
      <c r="W132" s="123">
        <f>IF('Tab10'!C8="",'Tab10'!C7,'Tab10'!C8)</f>
        <v>15098.097142857099</v>
      </c>
      <c r="X132" s="123">
        <f>IF('Tab10'!D8="",'Tab10'!D7,'Tab10'!D8)</f>
        <v>13654</v>
      </c>
      <c r="Y132" s="123">
        <f>IF('Tab10'!E8="",'Tab10'!E7,'Tab10'!E8)</f>
        <v>14071</v>
      </c>
      <c r="Z132" s="116"/>
      <c r="AA132" s="116"/>
      <c r="AB132" s="116"/>
      <c r="AC132" s="116"/>
      <c r="AD132" s="116"/>
      <c r="AE132" s="116"/>
      <c r="AF132" s="116"/>
      <c r="AG132" s="116"/>
      <c r="AH132" s="116"/>
    </row>
    <row r="133" spans="1:34">
      <c r="A133" s="119">
        <v>3</v>
      </c>
      <c r="B133" s="119"/>
      <c r="C133" s="119">
        <f>+E133-C131-C132</f>
        <v>128.09999999999997</v>
      </c>
      <c r="D133" s="119">
        <f>+G133-D131-D132</f>
        <v>112.1</v>
      </c>
      <c r="E133" s="119">
        <v>417.9</v>
      </c>
      <c r="F133" s="116"/>
      <c r="G133" s="119">
        <v>366</v>
      </c>
      <c r="H133" s="116"/>
      <c r="I133" s="128">
        <v>99.8</v>
      </c>
      <c r="J133" s="116">
        <v>3</v>
      </c>
      <c r="K133" s="116"/>
      <c r="L133" s="125">
        <v>15693</v>
      </c>
      <c r="M133" s="124">
        <v>257.89999999999998</v>
      </c>
      <c r="N133" s="124">
        <f t="shared" si="4"/>
        <v>346.79539078156307</v>
      </c>
      <c r="O133" s="125">
        <v>8328</v>
      </c>
      <c r="P133" s="124">
        <v>432.80000000000018</v>
      </c>
      <c r="Q133" s="124">
        <f t="shared" si="2"/>
        <v>581.98156312625269</v>
      </c>
      <c r="R133" s="125">
        <v>17098</v>
      </c>
      <c r="S133" s="124">
        <v>209.60000000000002</v>
      </c>
      <c r="T133" s="124">
        <f t="shared" si="3"/>
        <v>281.8468937875752</v>
      </c>
      <c r="U133" s="116"/>
      <c r="V133" s="119" t="s">
        <v>9</v>
      </c>
      <c r="W133" s="123">
        <f>IF('Tab3'!C22="",'Tab3'!C21,'Tab3'!C22)</f>
        <v>14876.9826586621</v>
      </c>
      <c r="X133" s="123">
        <f>IF('Tab3'!D22="",'Tab3'!D21,'Tab3'!D22)</f>
        <v>16278</v>
      </c>
      <c r="Y133" s="123">
        <f>IF('Tab3'!E22="",'Tab3'!E21,'Tab3'!E22)</f>
        <v>18904</v>
      </c>
      <c r="Z133" s="116"/>
      <c r="AA133" s="116"/>
      <c r="AB133" s="116"/>
      <c r="AC133" s="116"/>
      <c r="AD133" s="116"/>
      <c r="AE133" s="116"/>
      <c r="AF133" s="116"/>
      <c r="AG133" s="116"/>
      <c r="AH133" s="116"/>
    </row>
    <row r="134" spans="1:34">
      <c r="A134" s="119">
        <v>4</v>
      </c>
      <c r="B134" s="119"/>
      <c r="C134" s="119">
        <f>+E134-E133</f>
        <v>141.80000000000007</v>
      </c>
      <c r="D134" s="119">
        <f>+G134-G133</f>
        <v>125.60000000000002</v>
      </c>
      <c r="E134" s="119">
        <v>559.70000000000005</v>
      </c>
      <c r="F134" s="116"/>
      <c r="G134" s="119">
        <v>491.6</v>
      </c>
      <c r="H134" s="116"/>
      <c r="I134" s="128">
        <v>100.7</v>
      </c>
      <c r="J134" s="116">
        <v>4</v>
      </c>
      <c r="K134" s="116"/>
      <c r="L134" s="125">
        <v>16502</v>
      </c>
      <c r="M134" s="124">
        <v>299.10000000000002</v>
      </c>
      <c r="N134" s="124">
        <f t="shared" si="4"/>
        <v>398.60198609731873</v>
      </c>
      <c r="O134" s="125">
        <v>7526</v>
      </c>
      <c r="P134" s="124">
        <v>738.59999999999945</v>
      </c>
      <c r="Q134" s="124">
        <f t="shared" si="2"/>
        <v>984.31102284011831</v>
      </c>
      <c r="R134" s="125">
        <v>14647</v>
      </c>
      <c r="S134" s="124">
        <v>205.79999999999995</v>
      </c>
      <c r="T134" s="124">
        <f t="shared" si="3"/>
        <v>274.26375372393238</v>
      </c>
      <c r="U134" s="116"/>
      <c r="V134" s="116"/>
      <c r="W134" s="116"/>
      <c r="X134" s="116"/>
      <c r="Y134" s="116"/>
      <c r="Z134" s="116"/>
      <c r="AA134" s="116"/>
      <c r="AB134" s="116"/>
      <c r="AC134" s="116"/>
      <c r="AD134" s="116"/>
      <c r="AE134" s="116"/>
      <c r="AF134" s="116"/>
      <c r="AG134" s="116"/>
      <c r="AH134" s="116"/>
    </row>
    <row r="135" spans="1:34">
      <c r="A135" s="119">
        <v>1</v>
      </c>
      <c r="B135" s="119">
        <v>1999</v>
      </c>
      <c r="C135" s="119">
        <f>+E135</f>
        <v>154.19999999999999</v>
      </c>
      <c r="D135" s="119">
        <f>+G135</f>
        <v>137.1</v>
      </c>
      <c r="E135" s="119">
        <v>154.19999999999999</v>
      </c>
      <c r="F135" s="116"/>
      <c r="G135" s="119">
        <v>137.1</v>
      </c>
      <c r="H135" s="116"/>
      <c r="I135" s="128">
        <v>101.4</v>
      </c>
      <c r="J135" s="116">
        <v>1</v>
      </c>
      <c r="K135" s="116">
        <v>1999</v>
      </c>
      <c r="L135" s="125">
        <v>18095</v>
      </c>
      <c r="M135" s="124">
        <v>328.50000000000006</v>
      </c>
      <c r="N135" s="124">
        <f t="shared" si="4"/>
        <v>434.76035502958581</v>
      </c>
      <c r="O135" s="125">
        <v>8863</v>
      </c>
      <c r="P135" s="124">
        <v>689.1</v>
      </c>
      <c r="Q135" s="124">
        <f t="shared" si="2"/>
        <v>912.00414201183423</v>
      </c>
      <c r="R135" s="125">
        <v>11175</v>
      </c>
      <c r="S135" s="124">
        <v>162.80000000000001</v>
      </c>
      <c r="T135" s="124">
        <f t="shared" si="3"/>
        <v>215.46114398422088</v>
      </c>
      <c r="U135" s="116"/>
      <c r="V135" s="116"/>
      <c r="W135" s="116"/>
      <c r="X135" s="116"/>
      <c r="Y135" s="116"/>
      <c r="Z135" s="116"/>
      <c r="AA135" s="116"/>
      <c r="AB135" s="116"/>
      <c r="AC135" s="116"/>
      <c r="AD135" s="116"/>
      <c r="AE135" s="116"/>
      <c r="AF135" s="116"/>
      <c r="AG135" s="116"/>
      <c r="AH135" s="116"/>
    </row>
    <row r="136" spans="1:34">
      <c r="A136" s="119">
        <v>2</v>
      </c>
      <c r="B136" s="119"/>
      <c r="C136" s="119">
        <f>+E136-E135</f>
        <v>159.30000000000001</v>
      </c>
      <c r="D136" s="119">
        <f>+G136-G135</f>
        <v>140.70000000000002</v>
      </c>
      <c r="E136" s="119">
        <v>313.5</v>
      </c>
      <c r="F136" s="116"/>
      <c r="G136" s="119">
        <v>277.8</v>
      </c>
      <c r="H136" s="116"/>
      <c r="I136" s="128">
        <v>102.2</v>
      </c>
      <c r="J136" s="116">
        <v>2</v>
      </c>
      <c r="K136" s="116"/>
      <c r="L136" s="125">
        <v>12899</v>
      </c>
      <c r="M136" s="124">
        <v>332.7</v>
      </c>
      <c r="N136" s="124">
        <f t="shared" si="4"/>
        <v>436.87221135029347</v>
      </c>
      <c r="O136" s="125">
        <v>5920</v>
      </c>
      <c r="P136" s="124">
        <v>874.6</v>
      </c>
      <c r="Q136" s="124">
        <f t="shared" si="2"/>
        <v>1148.4473581213306</v>
      </c>
      <c r="R136" s="125">
        <v>12451</v>
      </c>
      <c r="S136" s="124">
        <v>199.09999999999997</v>
      </c>
      <c r="T136" s="124">
        <f t="shared" si="3"/>
        <v>261.44050880626219</v>
      </c>
      <c r="U136" s="116"/>
      <c r="V136" s="116"/>
      <c r="W136" s="116"/>
      <c r="X136" s="116"/>
      <c r="Y136" s="116"/>
      <c r="Z136" s="116"/>
      <c r="AA136" s="116"/>
      <c r="AB136" s="116"/>
      <c r="AC136" s="116"/>
      <c r="AD136" s="116"/>
      <c r="AE136" s="116"/>
      <c r="AF136" s="116"/>
      <c r="AG136" s="116"/>
      <c r="AH136" s="116"/>
    </row>
    <row r="137" spans="1:34">
      <c r="A137" s="119">
        <v>3</v>
      </c>
      <c r="B137" s="119"/>
      <c r="C137" s="119">
        <f>+E137-E136</f>
        <v>146.30000000000001</v>
      </c>
      <c r="D137" s="119">
        <f>+G137-G136</f>
        <v>128.69999999999999</v>
      </c>
      <c r="E137" s="119">
        <v>459.8</v>
      </c>
      <c r="F137" s="116"/>
      <c r="G137" s="119">
        <v>406.5</v>
      </c>
      <c r="H137" s="116"/>
      <c r="I137" s="128">
        <v>101.7</v>
      </c>
      <c r="J137" s="116">
        <v>3</v>
      </c>
      <c r="K137" s="116"/>
      <c r="L137" s="125">
        <v>23305</v>
      </c>
      <c r="M137" s="124">
        <v>445.5</v>
      </c>
      <c r="N137" s="124">
        <f t="shared" si="4"/>
        <v>587.867256637168</v>
      </c>
      <c r="O137" s="125">
        <v>11181</v>
      </c>
      <c r="P137" s="124">
        <v>566.99999999999977</v>
      </c>
      <c r="Q137" s="124">
        <f t="shared" si="2"/>
        <v>748.19469026548632</v>
      </c>
      <c r="R137" s="125">
        <v>18817</v>
      </c>
      <c r="S137" s="124">
        <v>227.70000000000005</v>
      </c>
      <c r="T137" s="124">
        <f t="shared" si="3"/>
        <v>300.46548672566377</v>
      </c>
      <c r="U137" s="116"/>
      <c r="V137" s="116"/>
      <c r="W137" s="116"/>
      <c r="X137" s="116"/>
      <c r="Y137" s="116"/>
      <c r="Z137" s="116"/>
      <c r="AA137" s="116"/>
      <c r="AB137" s="116"/>
      <c r="AC137" s="116"/>
      <c r="AD137" s="116"/>
      <c r="AE137" s="116"/>
      <c r="AF137" s="116"/>
      <c r="AG137" s="116"/>
      <c r="AH137" s="116"/>
    </row>
    <row r="138" spans="1:34">
      <c r="A138" s="119">
        <v>4</v>
      </c>
      <c r="B138" s="119"/>
      <c r="C138" s="119">
        <f>+E138-E137</f>
        <v>141.90000000000003</v>
      </c>
      <c r="D138" s="119">
        <f>+G138-G137</f>
        <v>126.39999999999998</v>
      </c>
      <c r="E138" s="119">
        <v>601.70000000000005</v>
      </c>
      <c r="F138" s="116"/>
      <c r="G138" s="119">
        <v>532.9</v>
      </c>
      <c r="H138" s="116"/>
      <c r="I138" s="124">
        <v>103.5</v>
      </c>
      <c r="J138" s="116">
        <v>4</v>
      </c>
      <c r="K138" s="116"/>
      <c r="L138" s="125">
        <v>18359</v>
      </c>
      <c r="M138" s="124">
        <v>410.59999999999968</v>
      </c>
      <c r="N138" s="124">
        <f t="shared" si="4"/>
        <v>532.39149758454062</v>
      </c>
      <c r="O138" s="125">
        <v>9544</v>
      </c>
      <c r="P138" s="124">
        <v>935.5</v>
      </c>
      <c r="Q138" s="124">
        <f t="shared" si="2"/>
        <v>1212.9864734299515</v>
      </c>
      <c r="R138" s="125">
        <v>13692</v>
      </c>
      <c r="S138" s="124">
        <v>192.19999999999993</v>
      </c>
      <c r="T138" s="124">
        <f t="shared" si="3"/>
        <v>249.21004830917863</v>
      </c>
      <c r="U138" s="116"/>
      <c r="V138" s="116"/>
      <c r="W138" s="116"/>
      <c r="X138" s="116"/>
      <c r="Y138" s="116"/>
      <c r="Z138" s="116"/>
      <c r="AA138" s="116"/>
      <c r="AB138" s="116"/>
      <c r="AC138" s="116"/>
      <c r="AD138" s="116"/>
      <c r="AE138" s="116"/>
      <c r="AF138" s="116"/>
      <c r="AG138" s="116"/>
      <c r="AH138" s="116"/>
    </row>
    <row r="139" spans="1:34">
      <c r="A139" s="119">
        <v>1</v>
      </c>
      <c r="B139" s="119">
        <v>2000</v>
      </c>
      <c r="C139" s="119">
        <f>+E139</f>
        <v>169.1</v>
      </c>
      <c r="D139" s="119">
        <f>+G139</f>
        <v>150.9</v>
      </c>
      <c r="E139" s="119">
        <v>169.1</v>
      </c>
      <c r="F139" s="116"/>
      <c r="G139" s="119">
        <v>150.9</v>
      </c>
      <c r="H139" s="116"/>
      <c r="I139" s="124">
        <v>104.6</v>
      </c>
      <c r="J139" s="116">
        <v>1</v>
      </c>
      <c r="K139" s="116">
        <v>2000</v>
      </c>
      <c r="L139" s="125">
        <v>17570</v>
      </c>
      <c r="M139" s="124">
        <v>345.9</v>
      </c>
      <c r="N139" s="124">
        <f t="shared" si="4"/>
        <v>443.78374760994257</v>
      </c>
      <c r="O139" s="125">
        <v>9154</v>
      </c>
      <c r="P139" s="124">
        <v>819.9</v>
      </c>
      <c r="Q139" s="124">
        <f t="shared" si="2"/>
        <v>1051.9175908221798</v>
      </c>
      <c r="R139" s="125">
        <v>12421</v>
      </c>
      <c r="S139" s="124">
        <v>198</v>
      </c>
      <c r="T139" s="124">
        <f t="shared" si="3"/>
        <v>254.03059273422562</v>
      </c>
      <c r="U139" s="116"/>
      <c r="V139" s="116"/>
      <c r="W139" s="116"/>
      <c r="X139" s="116"/>
      <c r="Y139" s="116"/>
      <c r="Z139" s="116"/>
      <c r="AA139" s="116"/>
      <c r="AB139" s="116"/>
      <c r="AC139" s="116"/>
      <c r="AD139" s="116"/>
      <c r="AE139" s="116"/>
      <c r="AF139" s="116"/>
      <c r="AG139" s="116"/>
      <c r="AH139" s="116"/>
    </row>
    <row r="140" spans="1:34">
      <c r="A140" s="119">
        <v>2</v>
      </c>
      <c r="B140" s="119"/>
      <c r="C140" s="119">
        <f>+E140-E139</f>
        <v>151.50000000000003</v>
      </c>
      <c r="D140" s="119">
        <f>+G140-G139</f>
        <v>133.4</v>
      </c>
      <c r="E140" s="119">
        <v>320.60000000000002</v>
      </c>
      <c r="F140" s="116"/>
      <c r="G140" s="119">
        <v>284.3</v>
      </c>
      <c r="H140" s="116"/>
      <c r="I140" s="124">
        <v>105.1</v>
      </c>
      <c r="J140" s="116">
        <v>2</v>
      </c>
      <c r="K140" s="116"/>
      <c r="L140" s="125">
        <v>14069</v>
      </c>
      <c r="M140" s="124">
        <v>252.39999999999998</v>
      </c>
      <c r="N140" s="124">
        <f t="shared" si="4"/>
        <v>322.28430066603232</v>
      </c>
      <c r="O140" s="125">
        <v>10238</v>
      </c>
      <c r="P140" s="124">
        <v>674.19999999999993</v>
      </c>
      <c r="Q140" s="124">
        <f t="shared" si="2"/>
        <v>860.87193149381528</v>
      </c>
      <c r="R140" s="125">
        <v>13950</v>
      </c>
      <c r="S140" s="124">
        <v>184.5</v>
      </c>
      <c r="T140" s="124">
        <f t="shared" si="3"/>
        <v>235.58420551855374</v>
      </c>
      <c r="U140" s="116"/>
      <c r="V140" s="116"/>
      <c r="W140" s="116"/>
      <c r="X140" s="116"/>
      <c r="Y140" s="116"/>
      <c r="Z140" s="116"/>
      <c r="AA140" s="116"/>
      <c r="AB140" s="116"/>
      <c r="AC140" s="116"/>
      <c r="AD140" s="116"/>
      <c r="AE140" s="116"/>
      <c r="AF140" s="116"/>
      <c r="AG140" s="116"/>
      <c r="AH140" s="116"/>
    </row>
    <row r="141" spans="1:34">
      <c r="A141" s="119">
        <v>3</v>
      </c>
      <c r="B141" s="119"/>
      <c r="C141" s="119">
        <f>+E141-E140</f>
        <v>139</v>
      </c>
      <c r="D141" s="119">
        <f>+G141-G140</f>
        <v>123.5</v>
      </c>
      <c r="E141" s="119">
        <v>459.6</v>
      </c>
      <c r="F141" s="116"/>
      <c r="G141" s="119">
        <v>407.8</v>
      </c>
      <c r="H141" s="116"/>
      <c r="I141" s="124">
        <v>105.3</v>
      </c>
      <c r="J141" s="116">
        <v>3</v>
      </c>
      <c r="K141" s="116"/>
      <c r="L141" s="125">
        <v>16329</v>
      </c>
      <c r="M141" s="124">
        <v>313.5</v>
      </c>
      <c r="N141" s="124">
        <f t="shared" si="4"/>
        <v>399.54131054131051</v>
      </c>
      <c r="O141" s="125">
        <v>13877</v>
      </c>
      <c r="P141" s="124">
        <v>706.20000000000027</v>
      </c>
      <c r="Q141" s="124">
        <f t="shared" si="2"/>
        <v>900.01937321937351</v>
      </c>
      <c r="R141" s="125">
        <v>14850</v>
      </c>
      <c r="S141" s="124">
        <v>193.89999999999998</v>
      </c>
      <c r="T141" s="124">
        <f t="shared" si="3"/>
        <v>247.11661918328579</v>
      </c>
      <c r="U141" s="116"/>
      <c r="V141" s="116"/>
      <c r="W141" s="116"/>
      <c r="X141" s="116"/>
      <c r="Y141" s="116"/>
      <c r="Z141" s="116"/>
      <c r="AA141" s="116"/>
      <c r="AB141" s="116"/>
      <c r="AC141" s="116"/>
      <c r="AD141" s="116"/>
      <c r="AE141" s="116"/>
      <c r="AF141" s="116"/>
      <c r="AG141" s="116"/>
      <c r="AH141" s="116"/>
    </row>
    <row r="142" spans="1:34">
      <c r="A142" s="119">
        <v>4</v>
      </c>
      <c r="B142" s="119"/>
      <c r="C142" s="119">
        <f>+E142-E141</f>
        <v>135.10000000000002</v>
      </c>
      <c r="D142" s="119">
        <f>+G142-G141</f>
        <v>121.40000000000003</v>
      </c>
      <c r="E142" s="119">
        <v>594.70000000000005</v>
      </c>
      <c r="F142" s="116"/>
      <c r="G142" s="119">
        <v>529.20000000000005</v>
      </c>
      <c r="H142" s="116"/>
      <c r="I142" s="124">
        <v>106.8</v>
      </c>
      <c r="J142" s="116">
        <v>4</v>
      </c>
      <c r="K142" s="116"/>
      <c r="L142" s="125">
        <v>21735</v>
      </c>
      <c r="M142" s="124">
        <v>484.79999999999995</v>
      </c>
      <c r="N142" s="124">
        <f t="shared" si="4"/>
        <v>609.17752808988757</v>
      </c>
      <c r="O142" s="125">
        <v>9978</v>
      </c>
      <c r="P142" s="124">
        <v>739.19999999999982</v>
      </c>
      <c r="Q142" s="124">
        <f t="shared" si="2"/>
        <v>928.84494382022444</v>
      </c>
      <c r="R142" s="125">
        <v>13212</v>
      </c>
      <c r="S142" s="124">
        <v>215</v>
      </c>
      <c r="T142" s="124">
        <f t="shared" si="3"/>
        <v>270.15917602996257</v>
      </c>
      <c r="U142" s="116"/>
      <c r="V142" s="116"/>
      <c r="W142" s="116"/>
      <c r="X142" s="116"/>
      <c r="Y142" s="116"/>
      <c r="Z142" s="116"/>
      <c r="AA142" s="116"/>
      <c r="AB142" s="116"/>
      <c r="AC142" s="116"/>
      <c r="AD142" s="116"/>
      <c r="AE142" s="116"/>
      <c r="AF142" s="116"/>
      <c r="AG142" s="116"/>
      <c r="AH142" s="116"/>
    </row>
    <row r="143" spans="1:34">
      <c r="A143" s="119">
        <v>1</v>
      </c>
      <c r="B143" s="119">
        <v>2001</v>
      </c>
      <c r="C143" s="119">
        <f>+E143</f>
        <v>158.5</v>
      </c>
      <c r="D143" s="119">
        <f>+G143</f>
        <v>143.1</v>
      </c>
      <c r="E143" s="119">
        <v>158.5</v>
      </c>
      <c r="F143" s="116"/>
      <c r="G143" s="119">
        <v>143.1</v>
      </c>
      <c r="H143" s="116"/>
      <c r="I143" s="124">
        <v>108.4</v>
      </c>
      <c r="J143" s="116">
        <v>1</v>
      </c>
      <c r="K143" s="116">
        <v>2001</v>
      </c>
      <c r="L143" s="125">
        <v>27280</v>
      </c>
      <c r="M143" s="124">
        <v>675.3</v>
      </c>
      <c r="N143" s="124">
        <f t="shared" si="4"/>
        <v>836.02638376383743</v>
      </c>
      <c r="O143" s="125">
        <v>7776</v>
      </c>
      <c r="P143" s="124">
        <v>877</v>
      </c>
      <c r="Q143" s="124">
        <f t="shared" si="2"/>
        <v>1085.7324723247229</v>
      </c>
      <c r="R143" s="125">
        <v>10538</v>
      </c>
      <c r="S143" s="124">
        <v>164.1</v>
      </c>
      <c r="T143" s="124">
        <f t="shared" si="3"/>
        <v>203.15701107011066</v>
      </c>
      <c r="U143" s="116"/>
      <c r="V143" s="116"/>
      <c r="W143" s="116"/>
      <c r="X143" s="116"/>
      <c r="Y143" s="116"/>
      <c r="Z143" s="116"/>
      <c r="AA143" s="116"/>
      <c r="AB143" s="116"/>
      <c r="AC143" s="116"/>
      <c r="AD143" s="116"/>
      <c r="AE143" s="116"/>
      <c r="AF143" s="116"/>
      <c r="AG143" s="116"/>
      <c r="AH143" s="116"/>
    </row>
    <row r="144" spans="1:34">
      <c r="A144" s="119">
        <v>2</v>
      </c>
      <c r="B144" s="119"/>
      <c r="C144" s="119">
        <f>+E144-E143</f>
        <v>140.45999999999998</v>
      </c>
      <c r="D144" s="119">
        <f>+G144-G143</f>
        <v>125.70000000000002</v>
      </c>
      <c r="E144" s="119">
        <v>298.95999999999998</v>
      </c>
      <c r="F144" s="116"/>
      <c r="G144" s="119">
        <v>268.8</v>
      </c>
      <c r="H144" s="116"/>
      <c r="I144" s="124">
        <v>109.6</v>
      </c>
      <c r="J144" s="116">
        <v>2</v>
      </c>
      <c r="K144" s="116"/>
      <c r="L144" s="125">
        <v>17111</v>
      </c>
      <c r="M144" s="124">
        <v>452</v>
      </c>
      <c r="N144" s="124">
        <f t="shared" si="4"/>
        <v>553.45255474452551</v>
      </c>
      <c r="O144" s="125">
        <v>5711</v>
      </c>
      <c r="P144" s="124">
        <v>923</v>
      </c>
      <c r="Q144" s="124">
        <f t="shared" si="2"/>
        <v>1130.169708029197</v>
      </c>
      <c r="R144" s="125">
        <v>11841</v>
      </c>
      <c r="S144" s="124">
        <v>190.29999999999998</v>
      </c>
      <c r="T144" s="124">
        <f t="shared" si="3"/>
        <v>233.01332116788316</v>
      </c>
      <c r="U144" s="116"/>
      <c r="V144" s="116"/>
      <c r="W144" s="116"/>
      <c r="X144" s="116"/>
      <c r="Y144" s="116"/>
      <c r="Z144" s="116"/>
      <c r="AA144" s="116"/>
      <c r="AB144" s="116"/>
      <c r="AC144" s="116"/>
      <c r="AD144" s="116"/>
      <c r="AE144" s="116"/>
      <c r="AF144" s="116"/>
      <c r="AG144" s="116"/>
      <c r="AH144" s="116"/>
    </row>
    <row r="145" spans="1:34">
      <c r="A145" s="119">
        <v>3</v>
      </c>
      <c r="B145" s="116"/>
      <c r="C145" s="119">
        <f>+E145-E144</f>
        <v>134.24</v>
      </c>
      <c r="D145" s="119">
        <f>+G145-G144</f>
        <v>119.19999999999999</v>
      </c>
      <c r="E145" s="119">
        <v>433.2</v>
      </c>
      <c r="F145" s="116"/>
      <c r="G145" s="119">
        <v>388</v>
      </c>
      <c r="H145" s="116"/>
      <c r="I145" s="124">
        <v>108.1</v>
      </c>
      <c r="J145" s="116">
        <v>3</v>
      </c>
      <c r="K145" s="116"/>
      <c r="L145" s="125">
        <v>16407</v>
      </c>
      <c r="M145" s="124">
        <v>400.40000000000009</v>
      </c>
      <c r="N145" s="124">
        <f t="shared" si="4"/>
        <v>497.07382053654032</v>
      </c>
      <c r="O145" s="125">
        <v>15359</v>
      </c>
      <c r="P145" s="124">
        <v>1172.1999999999998</v>
      </c>
      <c r="Q145" s="124">
        <f t="shared" si="2"/>
        <v>1455.2196114708602</v>
      </c>
      <c r="R145" s="125">
        <v>13534</v>
      </c>
      <c r="S145" s="124">
        <v>158.5</v>
      </c>
      <c r="T145" s="124">
        <f t="shared" si="3"/>
        <v>196.7687326549491</v>
      </c>
      <c r="U145" s="116"/>
      <c r="V145" s="116"/>
      <c r="W145" s="116"/>
      <c r="X145" s="116"/>
      <c r="Y145" s="116"/>
      <c r="Z145" s="116"/>
      <c r="AA145" s="116"/>
      <c r="AB145" s="116"/>
      <c r="AC145" s="116"/>
      <c r="AD145" s="116"/>
      <c r="AE145" s="116"/>
      <c r="AF145" s="116"/>
      <c r="AG145" s="116"/>
      <c r="AH145" s="116"/>
    </row>
    <row r="146" spans="1:34">
      <c r="A146" s="119">
        <v>4</v>
      </c>
      <c r="B146" s="116"/>
      <c r="C146" s="119">
        <f>+E146-E145</f>
        <v>137.49520000000001</v>
      </c>
      <c r="D146" s="119">
        <f>+G146-G145</f>
        <v>124.07220000000007</v>
      </c>
      <c r="E146" s="127">
        <v>570.6952</v>
      </c>
      <c r="F146" s="132"/>
      <c r="G146" s="127">
        <v>512.07220000000007</v>
      </c>
      <c r="H146" s="116"/>
      <c r="I146" s="124">
        <v>108.7</v>
      </c>
      <c r="J146" s="116">
        <v>4</v>
      </c>
      <c r="K146" s="116"/>
      <c r="L146" s="125">
        <v>16945</v>
      </c>
      <c r="M146" s="124">
        <v>509.39999999999986</v>
      </c>
      <c r="N146" s="124">
        <f t="shared" si="4"/>
        <v>628.90045998160042</v>
      </c>
      <c r="O146" s="125">
        <v>9601</v>
      </c>
      <c r="P146" s="124">
        <v>803.30000000000018</v>
      </c>
      <c r="Q146" s="124">
        <f t="shared" si="2"/>
        <v>991.74664213431481</v>
      </c>
      <c r="R146" s="125">
        <v>12341</v>
      </c>
      <c r="S146" s="124">
        <v>258.5</v>
      </c>
      <c r="T146" s="124">
        <f t="shared" si="3"/>
        <v>319.14167433302663</v>
      </c>
      <c r="U146" s="116"/>
      <c r="V146" s="116"/>
      <c r="W146" s="116"/>
      <c r="X146" s="116"/>
      <c r="Y146" s="116"/>
      <c r="Z146" s="116"/>
      <c r="AA146" s="116"/>
      <c r="AB146" s="116"/>
      <c r="AC146" s="116"/>
      <c r="AD146" s="116"/>
      <c r="AE146" s="116"/>
      <c r="AF146" s="116"/>
      <c r="AG146" s="116"/>
      <c r="AH146" s="116"/>
    </row>
    <row r="147" spans="1:34">
      <c r="A147" s="119">
        <v>1</v>
      </c>
      <c r="B147" s="119">
        <v>2002</v>
      </c>
      <c r="C147" s="119">
        <f>+E147</f>
        <v>155.81399999999999</v>
      </c>
      <c r="D147" s="119">
        <f>+G147</f>
        <v>141.72399999999999</v>
      </c>
      <c r="E147" s="127">
        <v>155.81399999999999</v>
      </c>
      <c r="F147" s="132"/>
      <c r="G147" s="127">
        <v>141.72399999999999</v>
      </c>
      <c r="H147" s="116"/>
      <c r="I147" s="124">
        <v>109.3</v>
      </c>
      <c r="J147" s="116">
        <v>1</v>
      </c>
      <c r="K147" s="116">
        <v>2002</v>
      </c>
      <c r="L147" s="125">
        <v>17523</v>
      </c>
      <c r="M147" s="124">
        <v>466.5</v>
      </c>
      <c r="N147" s="124">
        <f t="shared" si="4"/>
        <v>572.77493138151874</v>
      </c>
      <c r="O147" s="125">
        <v>6856</v>
      </c>
      <c r="P147" s="124">
        <v>820.40000000000009</v>
      </c>
      <c r="Q147" s="124">
        <f t="shared" si="2"/>
        <v>1007.2980786825252</v>
      </c>
      <c r="R147" s="125">
        <v>9371</v>
      </c>
      <c r="S147" s="124">
        <v>197.9</v>
      </c>
      <c r="T147" s="124">
        <f t="shared" si="3"/>
        <v>242.98426349496796</v>
      </c>
      <c r="U147" s="116"/>
      <c r="V147" s="116"/>
      <c r="W147" s="116"/>
      <c r="X147" s="116"/>
      <c r="Y147" s="116"/>
      <c r="Z147" s="116"/>
      <c r="AA147" s="116"/>
      <c r="AB147" s="116"/>
      <c r="AC147" s="116"/>
      <c r="AD147" s="116"/>
      <c r="AE147" s="116"/>
      <c r="AF147" s="116"/>
      <c r="AG147" s="116"/>
      <c r="AH147" s="116"/>
    </row>
    <row r="148" spans="1:34">
      <c r="A148" s="119">
        <v>2</v>
      </c>
      <c r="B148" s="119"/>
      <c r="C148" s="119">
        <f>+E148-E147</f>
        <v>146.54300000000003</v>
      </c>
      <c r="D148" s="119">
        <f>+G148-G147</f>
        <v>133.19</v>
      </c>
      <c r="E148" s="119">
        <v>302.35700000000003</v>
      </c>
      <c r="F148" s="116"/>
      <c r="G148" s="119">
        <v>274.91399999999999</v>
      </c>
      <c r="H148" s="116"/>
      <c r="I148" s="124">
        <v>110</v>
      </c>
      <c r="J148" s="116">
        <v>2</v>
      </c>
      <c r="K148" s="116"/>
      <c r="L148" s="125">
        <v>17469</v>
      </c>
      <c r="M148" s="124">
        <v>408.5</v>
      </c>
      <c r="N148" s="124">
        <f t="shared" si="4"/>
        <v>498.37</v>
      </c>
      <c r="O148" s="125">
        <v>9323</v>
      </c>
      <c r="P148" s="124">
        <v>689.09999999999991</v>
      </c>
      <c r="Q148" s="124">
        <f t="shared" si="2"/>
        <v>840.70199999999977</v>
      </c>
      <c r="R148" s="125">
        <v>14749</v>
      </c>
      <c r="S148" s="124">
        <v>233.49999999999997</v>
      </c>
      <c r="T148" s="124">
        <f t="shared" si="3"/>
        <v>284.86999999999995</v>
      </c>
      <c r="U148" s="116"/>
      <c r="V148" s="116"/>
      <c r="W148" s="116"/>
      <c r="X148" s="116"/>
      <c r="Y148" s="116"/>
      <c r="Z148" s="116"/>
      <c r="AA148" s="116"/>
      <c r="AB148" s="116"/>
      <c r="AC148" s="116"/>
      <c r="AD148" s="116"/>
      <c r="AE148" s="116"/>
      <c r="AF148" s="116"/>
      <c r="AG148" s="116"/>
      <c r="AH148" s="116"/>
    </row>
    <row r="149" spans="1:34">
      <c r="A149" s="119">
        <v>3</v>
      </c>
      <c r="B149" s="116"/>
      <c r="C149" s="119">
        <f>+E149-E148</f>
        <v>146.23099999999999</v>
      </c>
      <c r="D149" s="119">
        <f>+G149-G148</f>
        <v>127.14100000000002</v>
      </c>
      <c r="E149" s="119">
        <v>448.58800000000002</v>
      </c>
      <c r="F149" s="116"/>
      <c r="G149" s="119">
        <v>402.05500000000001</v>
      </c>
      <c r="H149" s="116"/>
      <c r="I149" s="124">
        <v>109.6</v>
      </c>
      <c r="J149" s="116">
        <v>3</v>
      </c>
      <c r="K149" s="116"/>
      <c r="L149" s="125">
        <v>19641</v>
      </c>
      <c r="M149" s="124">
        <v>503</v>
      </c>
      <c r="N149" s="124">
        <f t="shared" si="4"/>
        <v>615.89963503649631</v>
      </c>
      <c r="O149" s="125">
        <v>17422</v>
      </c>
      <c r="P149" s="124">
        <v>895.90000000000009</v>
      </c>
      <c r="Q149" s="124">
        <f t="shared" si="2"/>
        <v>1096.9870437956204</v>
      </c>
      <c r="R149" s="125">
        <v>14722</v>
      </c>
      <c r="S149" s="124">
        <v>184.5</v>
      </c>
      <c r="T149" s="124">
        <f t="shared" si="3"/>
        <v>225.91149635036496</v>
      </c>
      <c r="U149" s="116"/>
      <c r="V149" s="116"/>
      <c r="W149" s="116"/>
      <c r="X149" s="116"/>
      <c r="Y149" s="116"/>
      <c r="Z149" s="116"/>
      <c r="AA149" s="116"/>
      <c r="AB149" s="116"/>
      <c r="AC149" s="116"/>
      <c r="AD149" s="116"/>
      <c r="AE149" s="116"/>
      <c r="AF149" s="116"/>
      <c r="AG149" s="116"/>
      <c r="AH149" s="116"/>
    </row>
    <row r="150" spans="1:34">
      <c r="A150" s="119">
        <v>4</v>
      </c>
      <c r="B150" s="116"/>
      <c r="C150" s="119">
        <f>+E150-E149</f>
        <v>137.96699999999993</v>
      </c>
      <c r="D150" s="119">
        <f>+G150-G149</f>
        <v>124.64100000000002</v>
      </c>
      <c r="E150" s="127">
        <v>586.55499999999995</v>
      </c>
      <c r="F150" s="132"/>
      <c r="G150" s="127">
        <v>526.69600000000003</v>
      </c>
      <c r="H150" s="116"/>
      <c r="I150" s="124">
        <v>111</v>
      </c>
      <c r="J150" s="116">
        <v>4</v>
      </c>
      <c r="K150" s="116"/>
      <c r="L150" s="125">
        <v>17442</v>
      </c>
      <c r="M150" s="124">
        <v>464.20000000000005</v>
      </c>
      <c r="N150" s="124">
        <f t="shared" si="4"/>
        <v>561.22198198198203</v>
      </c>
      <c r="O150" s="125">
        <v>8123</v>
      </c>
      <c r="P150" s="124">
        <v>938.5</v>
      </c>
      <c r="Q150" s="124">
        <f t="shared" si="2"/>
        <v>1134.654954954955</v>
      </c>
      <c r="R150" s="125">
        <v>14689</v>
      </c>
      <c r="S150" s="124">
        <v>194.00000000000011</v>
      </c>
      <c r="T150" s="124">
        <f t="shared" si="3"/>
        <v>234.54774774774788</v>
      </c>
      <c r="U150" s="116"/>
      <c r="V150" s="116"/>
      <c r="W150" s="116"/>
      <c r="X150" s="116"/>
      <c r="Y150" s="116"/>
      <c r="Z150" s="116"/>
      <c r="AA150" s="116"/>
      <c r="AB150" s="116"/>
      <c r="AC150" s="116"/>
      <c r="AD150" s="116"/>
      <c r="AE150" s="116"/>
      <c r="AF150" s="116"/>
      <c r="AG150" s="116"/>
      <c r="AH150" s="116"/>
    </row>
    <row r="151" spans="1:34">
      <c r="A151" s="119">
        <v>1</v>
      </c>
      <c r="B151" s="119">
        <v>2003</v>
      </c>
      <c r="C151" s="127">
        <f>+E151</f>
        <v>165.679</v>
      </c>
      <c r="D151" s="119">
        <f>+G151</f>
        <v>150.81100000000001</v>
      </c>
      <c r="E151" s="127">
        <v>165.679</v>
      </c>
      <c r="F151" s="132"/>
      <c r="G151" s="127">
        <v>150.81100000000001</v>
      </c>
      <c r="H151" s="116"/>
      <c r="I151" s="124">
        <v>114.6</v>
      </c>
      <c r="J151" s="116">
        <v>1</v>
      </c>
      <c r="K151" s="116">
        <v>2003</v>
      </c>
      <c r="L151" s="125">
        <v>22781</v>
      </c>
      <c r="M151" s="124">
        <v>626.79999999999995</v>
      </c>
      <c r="N151" s="124">
        <f t="shared" si="4"/>
        <v>734.00139616055833</v>
      </c>
      <c r="O151" s="125">
        <v>6823</v>
      </c>
      <c r="P151" s="124">
        <v>1087.2</v>
      </c>
      <c r="Q151" s="124">
        <f t="shared" si="2"/>
        <v>1273.1434554973823</v>
      </c>
      <c r="R151" s="125">
        <v>10626</v>
      </c>
      <c r="S151" s="124">
        <v>183</v>
      </c>
      <c r="T151" s="124">
        <f t="shared" si="3"/>
        <v>214.29842931937171</v>
      </c>
      <c r="U151" s="116"/>
      <c r="V151" s="116"/>
      <c r="W151" s="116"/>
      <c r="X151" s="116"/>
      <c r="Y151" s="116"/>
      <c r="Z151" s="116"/>
      <c r="AA151" s="116"/>
      <c r="AB151" s="116"/>
      <c r="AC151" s="116"/>
      <c r="AD151" s="116"/>
      <c r="AE151" s="116"/>
      <c r="AF151" s="116"/>
      <c r="AG151" s="116"/>
      <c r="AH151" s="116"/>
    </row>
    <row r="152" spans="1:34">
      <c r="A152" s="119">
        <v>2</v>
      </c>
      <c r="B152" s="119"/>
      <c r="C152" s="127">
        <f>+E152-E151</f>
        <v>135.02099999999999</v>
      </c>
      <c r="D152" s="119">
        <f>+G152-G151</f>
        <v>121.10099999999997</v>
      </c>
      <c r="E152" s="119">
        <v>300.7</v>
      </c>
      <c r="F152" s="116"/>
      <c r="G152" s="119">
        <v>271.91199999999998</v>
      </c>
      <c r="H152" s="116"/>
      <c r="I152" s="124">
        <v>112.3</v>
      </c>
      <c r="J152" s="116">
        <v>2</v>
      </c>
      <c r="K152" s="116"/>
      <c r="L152" s="125">
        <v>15417</v>
      </c>
      <c r="M152" s="124">
        <v>406.10000000000014</v>
      </c>
      <c r="N152" s="124">
        <f t="shared" si="4"/>
        <v>485.29492430988438</v>
      </c>
      <c r="O152" s="125">
        <v>5618</v>
      </c>
      <c r="P152" s="124">
        <v>817.8</v>
      </c>
      <c r="Q152" s="124">
        <f t="shared" si="2"/>
        <v>977.28192341941224</v>
      </c>
      <c r="R152" s="125">
        <v>12719</v>
      </c>
      <c r="S152" s="124">
        <v>203.2</v>
      </c>
      <c r="T152" s="124">
        <f t="shared" si="3"/>
        <v>242.82671415850399</v>
      </c>
      <c r="U152" s="116"/>
      <c r="V152" s="116"/>
      <c r="W152" s="116"/>
      <c r="X152" s="116"/>
      <c r="Y152" s="116"/>
      <c r="Z152" s="116"/>
      <c r="AA152" s="116"/>
      <c r="AB152" s="116"/>
      <c r="AC152" s="116"/>
      <c r="AD152" s="116"/>
      <c r="AE152" s="116"/>
      <c r="AF152" s="116"/>
      <c r="AG152" s="116"/>
      <c r="AH152" s="116"/>
    </row>
    <row r="153" spans="1:34">
      <c r="A153" s="119">
        <v>3</v>
      </c>
      <c r="B153" s="119"/>
      <c r="C153" s="127">
        <f>+E153-E152</f>
        <v>134.11099999999999</v>
      </c>
      <c r="D153" s="119">
        <f>+G153-G152</f>
        <v>119.49100000000004</v>
      </c>
      <c r="E153" s="119">
        <v>434.81099999999998</v>
      </c>
      <c r="F153" s="116"/>
      <c r="G153" s="119">
        <v>391.40300000000002</v>
      </c>
      <c r="H153" s="116"/>
      <c r="I153" s="124">
        <v>111.9</v>
      </c>
      <c r="J153" s="116">
        <v>3</v>
      </c>
      <c r="K153" s="116"/>
      <c r="L153" s="125">
        <v>18848</v>
      </c>
      <c r="M153" s="124">
        <v>430.5</v>
      </c>
      <c r="N153" s="124">
        <f t="shared" si="4"/>
        <v>516.29222520107226</v>
      </c>
      <c r="O153" s="125">
        <v>16056</v>
      </c>
      <c r="P153" s="124">
        <v>860.19999999999982</v>
      </c>
      <c r="Q153" s="124">
        <f t="shared" si="2"/>
        <v>1031.6250223413758</v>
      </c>
      <c r="R153" s="125">
        <v>13690</v>
      </c>
      <c r="S153" s="124">
        <v>188.8</v>
      </c>
      <c r="T153" s="124">
        <f t="shared" si="3"/>
        <v>226.42502234137621</v>
      </c>
      <c r="U153" s="116"/>
      <c r="V153" s="116"/>
      <c r="W153" s="116"/>
      <c r="X153" s="116"/>
      <c r="Y153" s="116"/>
      <c r="Z153" s="116"/>
      <c r="AA153" s="116"/>
      <c r="AB153" s="116"/>
      <c r="AC153" s="116"/>
      <c r="AD153" s="116"/>
      <c r="AE153" s="116"/>
      <c r="AF153" s="116"/>
      <c r="AG153" s="116"/>
      <c r="AH153" s="116"/>
    </row>
    <row r="154" spans="1:34">
      <c r="A154" s="119">
        <v>4</v>
      </c>
      <c r="B154" s="119"/>
      <c r="C154" s="127">
        <f>+E154-E153</f>
        <v>142.01299999999998</v>
      </c>
      <c r="D154" s="119">
        <f>+G154-G153</f>
        <v>125.95899999999995</v>
      </c>
      <c r="E154" s="119">
        <v>576.82399999999996</v>
      </c>
      <c r="F154" s="116"/>
      <c r="G154" s="119">
        <v>517.36199999999997</v>
      </c>
      <c r="H154" s="116"/>
      <c r="I154" s="124">
        <v>112.6</v>
      </c>
      <c r="J154" s="116">
        <v>4</v>
      </c>
      <c r="K154" s="116"/>
      <c r="L154" s="125">
        <v>16096</v>
      </c>
      <c r="M154" s="124">
        <v>471.89999999999986</v>
      </c>
      <c r="N154" s="124">
        <f t="shared" si="4"/>
        <v>562.42433392539942</v>
      </c>
      <c r="O154" s="125">
        <v>7652</v>
      </c>
      <c r="P154" s="124">
        <v>762.30000000000018</v>
      </c>
      <c r="Q154" s="124">
        <f t="shared" si="2"/>
        <v>908.53161634103037</v>
      </c>
      <c r="R154" s="125">
        <v>11607</v>
      </c>
      <c r="S154" s="124">
        <v>220.90000000000009</v>
      </c>
      <c r="T154" s="124">
        <f t="shared" si="3"/>
        <v>263.27513321492017</v>
      </c>
      <c r="U154" s="116"/>
      <c r="V154" s="116"/>
      <c r="W154" s="116"/>
      <c r="X154" s="116"/>
      <c r="Y154" s="116"/>
      <c r="Z154" s="116"/>
      <c r="AA154" s="116"/>
      <c r="AB154" s="116"/>
      <c r="AC154" s="116"/>
      <c r="AD154" s="116"/>
      <c r="AE154" s="116"/>
      <c r="AF154" s="116"/>
      <c r="AG154" s="116"/>
      <c r="AH154" s="116"/>
    </row>
    <row r="155" spans="1:34">
      <c r="A155" s="119">
        <v>1</v>
      </c>
      <c r="B155" s="119">
        <v>2004</v>
      </c>
      <c r="C155" s="127">
        <f>+E155</f>
        <v>168.309</v>
      </c>
      <c r="D155" s="119">
        <f>+G155</f>
        <v>153.04300000000001</v>
      </c>
      <c r="E155" s="119">
        <v>168.309</v>
      </c>
      <c r="F155" s="116"/>
      <c r="G155" s="119">
        <v>153.04300000000001</v>
      </c>
      <c r="H155" s="116"/>
      <c r="I155" s="124">
        <v>112.6</v>
      </c>
      <c r="J155" s="116">
        <v>1</v>
      </c>
      <c r="K155" s="116">
        <v>2004</v>
      </c>
      <c r="L155" s="125">
        <v>17805</v>
      </c>
      <c r="M155" s="124">
        <v>517.69999999999993</v>
      </c>
      <c r="N155" s="124">
        <f t="shared" si="4"/>
        <v>617.01012433392532</v>
      </c>
      <c r="O155" s="125">
        <v>7033</v>
      </c>
      <c r="P155" s="124">
        <v>735.2</v>
      </c>
      <c r="Q155" s="124">
        <f t="shared" si="2"/>
        <v>876.23303730017767</v>
      </c>
      <c r="R155" s="125">
        <v>8913</v>
      </c>
      <c r="S155" s="124">
        <v>178.89999999999998</v>
      </c>
      <c r="T155" s="124">
        <f t="shared" si="3"/>
        <v>213.21829484902304</v>
      </c>
      <c r="U155" s="116"/>
      <c r="V155" s="116"/>
      <c r="W155" s="116"/>
      <c r="X155" s="116"/>
      <c r="Y155" s="116"/>
      <c r="Z155" s="116"/>
      <c r="AA155" s="116"/>
      <c r="AB155" s="116"/>
      <c r="AC155" s="116"/>
      <c r="AD155" s="116"/>
      <c r="AE155" s="116"/>
      <c r="AF155" s="116"/>
      <c r="AG155" s="116"/>
      <c r="AH155" s="116"/>
    </row>
    <row r="156" spans="1:34">
      <c r="A156" s="119">
        <v>2</v>
      </c>
      <c r="B156" s="119"/>
      <c r="C156" s="127">
        <f>+E156-E155</f>
        <v>140.26700000000002</v>
      </c>
      <c r="D156" s="119">
        <f>+G156-G155</f>
        <v>125.56799999999998</v>
      </c>
      <c r="E156" s="119">
        <v>308.57600000000002</v>
      </c>
      <c r="F156" s="116"/>
      <c r="G156" s="119">
        <v>278.61099999999999</v>
      </c>
      <c r="H156" s="116"/>
      <c r="I156" s="124">
        <v>113.4</v>
      </c>
      <c r="J156" s="116">
        <v>2</v>
      </c>
      <c r="K156" s="116"/>
      <c r="L156" s="125">
        <v>13855</v>
      </c>
      <c r="M156" s="124">
        <v>344.69999999999993</v>
      </c>
      <c r="N156" s="124">
        <f t="shared" si="4"/>
        <v>407.92539682539672</v>
      </c>
      <c r="O156" s="125">
        <v>6436</v>
      </c>
      <c r="P156" s="124">
        <v>708.3</v>
      </c>
      <c r="Q156" s="124">
        <f t="shared" si="2"/>
        <v>838.21746031746011</v>
      </c>
      <c r="R156" s="125">
        <v>10802</v>
      </c>
      <c r="S156" s="124">
        <v>228.40000000000003</v>
      </c>
      <c r="T156" s="124">
        <f t="shared" si="3"/>
        <v>270.29347442680773</v>
      </c>
      <c r="U156" s="116"/>
      <c r="V156" s="116"/>
      <c r="W156" s="116"/>
      <c r="X156" s="116"/>
      <c r="Y156" s="116"/>
      <c r="Z156" s="116"/>
      <c r="AA156" s="116"/>
      <c r="AB156" s="116"/>
      <c r="AC156" s="116"/>
      <c r="AD156" s="116"/>
      <c r="AE156" s="116"/>
      <c r="AF156" s="116"/>
      <c r="AG156" s="116"/>
      <c r="AH156" s="116"/>
    </row>
    <row r="157" spans="1:34">
      <c r="A157" s="119">
        <v>3</v>
      </c>
      <c r="B157" s="119"/>
      <c r="C157" s="127">
        <f>+E157-E156</f>
        <v>137.76999999999998</v>
      </c>
      <c r="D157" s="119">
        <f>+G157-G156</f>
        <v>123.12100000000004</v>
      </c>
      <c r="E157" s="119">
        <v>446.346</v>
      </c>
      <c r="F157" s="116"/>
      <c r="G157" s="119">
        <v>401.73200000000003</v>
      </c>
      <c r="H157" s="116"/>
      <c r="I157" s="124">
        <v>113</v>
      </c>
      <c r="J157" s="116">
        <v>3</v>
      </c>
      <c r="K157" s="116"/>
      <c r="L157" s="125">
        <v>17630</v>
      </c>
      <c r="M157" s="124">
        <v>454.09999999999991</v>
      </c>
      <c r="N157" s="124">
        <f t="shared" si="4"/>
        <v>539.29398230088475</v>
      </c>
      <c r="O157" s="125">
        <v>11805</v>
      </c>
      <c r="P157" s="124">
        <v>652.69999999999982</v>
      </c>
      <c r="Q157" s="124">
        <f t="shared" si="2"/>
        <v>775.15345132743346</v>
      </c>
      <c r="R157" s="125">
        <v>11365</v>
      </c>
      <c r="S157" s="124">
        <v>160.7999999999999</v>
      </c>
      <c r="T157" s="124">
        <f t="shared" si="3"/>
        <v>190.96778761061933</v>
      </c>
      <c r="U157" s="116"/>
      <c r="V157" s="116"/>
      <c r="W157" s="116"/>
      <c r="X157" s="116"/>
      <c r="Y157" s="116"/>
      <c r="Z157" s="116"/>
      <c r="AA157" s="116"/>
      <c r="AB157" s="116"/>
      <c r="AC157" s="116"/>
      <c r="AD157" s="116"/>
      <c r="AE157" s="116"/>
      <c r="AF157" s="116"/>
      <c r="AG157" s="116"/>
      <c r="AH157" s="116"/>
    </row>
    <row r="158" spans="1:34">
      <c r="A158" s="119">
        <v>4</v>
      </c>
      <c r="B158" s="119"/>
      <c r="C158" s="127">
        <f>+E158-E157</f>
        <v>137.68499999999995</v>
      </c>
      <c r="D158" s="119">
        <f>+G158-G157</f>
        <v>124.50600000000003</v>
      </c>
      <c r="E158" s="119">
        <v>584.03099999999995</v>
      </c>
      <c r="F158" s="116"/>
      <c r="G158" s="119">
        <v>526.23800000000006</v>
      </c>
      <c r="H158" s="116"/>
      <c r="I158" s="124">
        <v>114</v>
      </c>
      <c r="J158" s="116">
        <v>4</v>
      </c>
      <c r="K158" s="116"/>
      <c r="L158" s="125">
        <v>16674</v>
      </c>
      <c r="M158" s="124">
        <v>428.20000000000027</v>
      </c>
      <c r="N158" s="124">
        <f t="shared" si="4"/>
        <v>504.07403508771961</v>
      </c>
      <c r="O158" s="125">
        <v>10088</v>
      </c>
      <c r="P158" s="124">
        <v>709.40000000000055</v>
      </c>
      <c r="Q158" s="124">
        <f t="shared" si="2"/>
        <v>835.10070175438659</v>
      </c>
      <c r="R158" s="125">
        <v>9276</v>
      </c>
      <c r="S158" s="124">
        <v>162.90000000000009</v>
      </c>
      <c r="T158" s="124">
        <f t="shared" si="3"/>
        <v>191.76473684210535</v>
      </c>
      <c r="U158" s="116"/>
      <c r="V158" s="116"/>
      <c r="W158" s="116"/>
      <c r="X158" s="116"/>
      <c r="Y158" s="116"/>
      <c r="Z158" s="116"/>
      <c r="AA158" s="116"/>
      <c r="AB158" s="116"/>
      <c r="AC158" s="116"/>
      <c r="AD158" s="116"/>
      <c r="AE158" s="116"/>
      <c r="AF158" s="116"/>
      <c r="AG158" s="116"/>
      <c r="AH158" s="116"/>
    </row>
    <row r="159" spans="1:34">
      <c r="A159" s="119">
        <v>1</v>
      </c>
      <c r="B159" s="119">
        <v>2005</v>
      </c>
      <c r="C159" s="127">
        <f>+E159</f>
        <v>147.31100000000001</v>
      </c>
      <c r="D159" s="119">
        <f>+G159</f>
        <v>133.756</v>
      </c>
      <c r="E159" s="119">
        <v>147.31100000000001</v>
      </c>
      <c r="F159" s="116"/>
      <c r="G159" s="119">
        <v>133.756</v>
      </c>
      <c r="H159" s="116"/>
      <c r="I159" s="124">
        <v>113.7</v>
      </c>
      <c r="J159" s="116">
        <v>1</v>
      </c>
      <c r="K159" s="116">
        <v>2005</v>
      </c>
      <c r="L159" s="125">
        <v>15151</v>
      </c>
      <c r="M159" s="124">
        <v>418</v>
      </c>
      <c r="N159" s="124">
        <f t="shared" si="4"/>
        <v>493.36499560246256</v>
      </c>
      <c r="O159" s="125">
        <v>7287</v>
      </c>
      <c r="P159" s="124">
        <v>715.2</v>
      </c>
      <c r="Q159" s="124">
        <f t="shared" si="2"/>
        <v>844.14986807387857</v>
      </c>
      <c r="R159" s="125">
        <v>7498</v>
      </c>
      <c r="S159" s="124">
        <v>159.69999999999999</v>
      </c>
      <c r="T159" s="124">
        <f t="shared" si="3"/>
        <v>188.49375549692169</v>
      </c>
      <c r="U159" s="116"/>
      <c r="V159" s="116"/>
      <c r="W159" s="116"/>
      <c r="X159" s="116"/>
      <c r="Y159" s="116"/>
      <c r="Z159" s="116"/>
      <c r="AA159" s="116"/>
      <c r="AB159" s="116"/>
      <c r="AC159" s="116"/>
      <c r="AD159" s="116"/>
      <c r="AE159" s="116"/>
      <c r="AF159" s="116"/>
      <c r="AG159" s="116"/>
      <c r="AH159" s="116"/>
    </row>
    <row r="160" spans="1:34">
      <c r="A160" s="119">
        <v>2</v>
      </c>
      <c r="B160" s="119"/>
      <c r="C160" s="127">
        <f>+E160-E159</f>
        <v>143.51699999999997</v>
      </c>
      <c r="D160" s="119">
        <f>+G160-G159</f>
        <v>128.79</v>
      </c>
      <c r="E160" s="119">
        <v>290.82799999999997</v>
      </c>
      <c r="F160" s="116"/>
      <c r="G160" s="119">
        <v>262.54599999999999</v>
      </c>
      <c r="H160" s="116"/>
      <c r="I160" s="124">
        <v>115.2</v>
      </c>
      <c r="J160" s="116">
        <v>2</v>
      </c>
      <c r="K160" s="116"/>
      <c r="L160" s="125">
        <v>14855</v>
      </c>
      <c r="M160" s="124">
        <v>323.20000000000005</v>
      </c>
      <c r="N160" s="124">
        <f t="shared" si="4"/>
        <v>376.50555555555553</v>
      </c>
      <c r="O160" s="125">
        <v>6172</v>
      </c>
      <c r="P160" s="124">
        <v>745.5</v>
      </c>
      <c r="Q160" s="124">
        <f t="shared" si="2"/>
        <v>868.45572916666652</v>
      </c>
      <c r="R160" s="125">
        <v>11610</v>
      </c>
      <c r="S160" s="124">
        <v>152.50000000000006</v>
      </c>
      <c r="T160" s="124">
        <f t="shared" si="3"/>
        <v>177.65190972222229</v>
      </c>
      <c r="U160" s="116"/>
      <c r="V160" s="116"/>
      <c r="W160" s="116"/>
      <c r="X160" s="116"/>
      <c r="Y160" s="116"/>
      <c r="Z160" s="116"/>
      <c r="AA160" s="116"/>
      <c r="AB160" s="116"/>
      <c r="AC160" s="116"/>
      <c r="AD160" s="116"/>
      <c r="AE160" s="116"/>
      <c r="AF160" s="116"/>
      <c r="AG160" s="116"/>
      <c r="AH160" s="116"/>
    </row>
    <row r="161" spans="1:34">
      <c r="A161" s="119">
        <v>3</v>
      </c>
      <c r="B161" s="119"/>
      <c r="C161" s="127">
        <f>+E161-E160</f>
        <v>134.78300000000002</v>
      </c>
      <c r="D161" s="119">
        <f>+G161-G160</f>
        <v>120.57100000000003</v>
      </c>
      <c r="E161" s="119">
        <v>425.61099999999999</v>
      </c>
      <c r="F161" s="116"/>
      <c r="G161" s="119">
        <v>383.11700000000002</v>
      </c>
      <c r="H161" s="116"/>
      <c r="I161" s="124">
        <v>115.1</v>
      </c>
      <c r="J161" s="116">
        <v>3</v>
      </c>
      <c r="K161" s="116"/>
      <c r="L161" s="125">
        <v>13014</v>
      </c>
      <c r="M161" s="124">
        <v>448.29999999999995</v>
      </c>
      <c r="N161" s="124">
        <f t="shared" si="4"/>
        <v>522.69209383145085</v>
      </c>
      <c r="O161" s="125">
        <v>6734</v>
      </c>
      <c r="P161" s="124">
        <v>832.10000000000014</v>
      </c>
      <c r="Q161" s="124">
        <f t="shared" si="2"/>
        <v>970.18088618592549</v>
      </c>
      <c r="R161" s="125">
        <v>8742</v>
      </c>
      <c r="S161" s="124">
        <v>152.99999999999994</v>
      </c>
      <c r="T161" s="124">
        <f t="shared" si="3"/>
        <v>178.38922675933961</v>
      </c>
      <c r="U161" s="116"/>
      <c r="V161" s="116"/>
      <c r="W161" s="116"/>
      <c r="X161" s="116"/>
      <c r="Y161" s="116"/>
      <c r="Z161" s="116"/>
      <c r="AA161" s="116"/>
      <c r="AB161" s="116"/>
      <c r="AC161" s="116"/>
      <c r="AD161" s="116"/>
      <c r="AE161" s="116"/>
      <c r="AF161" s="116"/>
      <c r="AG161" s="116"/>
      <c r="AH161" s="116"/>
    </row>
    <row r="162" spans="1:34">
      <c r="A162" s="119">
        <v>4</v>
      </c>
      <c r="B162" s="119"/>
      <c r="C162" s="127">
        <f>+E162-E161</f>
        <v>137.37</v>
      </c>
      <c r="D162" s="119">
        <f>+G162-G161</f>
        <v>124.38200000000001</v>
      </c>
      <c r="E162" s="119">
        <v>562.98099999999999</v>
      </c>
      <c r="F162" s="116"/>
      <c r="G162" s="119">
        <v>507.49900000000002</v>
      </c>
      <c r="H162" s="116"/>
      <c r="I162" s="124">
        <v>116</v>
      </c>
      <c r="J162" s="116">
        <v>4</v>
      </c>
      <c r="K162" s="116"/>
      <c r="L162" s="125">
        <v>22745</v>
      </c>
      <c r="M162" s="124">
        <v>478.79999999999995</v>
      </c>
      <c r="N162" s="124">
        <f t="shared" si="4"/>
        <v>553.92206896551716</v>
      </c>
      <c r="O162" s="125">
        <v>8144</v>
      </c>
      <c r="P162" s="124">
        <v>795.79999999999973</v>
      </c>
      <c r="Q162" s="124">
        <f t="shared" si="2"/>
        <v>920.65827586206854</v>
      </c>
      <c r="R162" s="125">
        <v>11407</v>
      </c>
      <c r="S162" s="124">
        <v>142.00000000000006</v>
      </c>
      <c r="T162" s="124">
        <f t="shared" si="3"/>
        <v>164.27931034482765</v>
      </c>
      <c r="U162" s="116"/>
      <c r="V162" s="116"/>
      <c r="W162" s="116"/>
      <c r="X162" s="116"/>
      <c r="Y162" s="116"/>
      <c r="Z162" s="116"/>
      <c r="AA162" s="116"/>
      <c r="AB162" s="116"/>
      <c r="AC162" s="116"/>
      <c r="AD162" s="116"/>
      <c r="AE162" s="116"/>
      <c r="AF162" s="116"/>
      <c r="AG162" s="116"/>
      <c r="AH162" s="116"/>
    </row>
    <row r="163" spans="1:34">
      <c r="A163" s="119">
        <v>1</v>
      </c>
      <c r="B163" s="119">
        <v>2006</v>
      </c>
      <c r="C163" s="127">
        <f>+E163</f>
        <v>155.21299999999999</v>
      </c>
      <c r="D163" s="119">
        <f>+G163</f>
        <v>139.72800000000001</v>
      </c>
      <c r="E163" s="119">
        <v>155.21299999999999</v>
      </c>
      <c r="F163" s="116"/>
      <c r="G163" s="119">
        <v>139.72800000000001</v>
      </c>
      <c r="H163" s="116"/>
      <c r="I163" s="124">
        <v>116.6</v>
      </c>
      <c r="J163" s="116">
        <v>1</v>
      </c>
      <c r="K163" s="116">
        <v>2006</v>
      </c>
      <c r="L163" s="125">
        <v>18196</v>
      </c>
      <c r="M163" s="124">
        <v>585</v>
      </c>
      <c r="N163" s="124">
        <f t="shared" si="4"/>
        <v>673.30188679245282</v>
      </c>
      <c r="O163" s="125">
        <v>6106</v>
      </c>
      <c r="P163" s="124">
        <v>947.2</v>
      </c>
      <c r="Q163" s="124">
        <f t="shared" si="2"/>
        <v>1090.1735849056604</v>
      </c>
      <c r="R163" s="125">
        <v>7106</v>
      </c>
      <c r="S163" s="124">
        <v>150.6</v>
      </c>
      <c r="T163" s="124">
        <f t="shared" si="3"/>
        <v>173.33207547169809</v>
      </c>
      <c r="U163" s="116"/>
      <c r="V163" s="116"/>
      <c r="W163" s="116"/>
      <c r="X163" s="116"/>
      <c r="Y163" s="116"/>
      <c r="Z163" s="116"/>
      <c r="AA163" s="116"/>
      <c r="AB163" s="116"/>
      <c r="AC163" s="116"/>
      <c r="AD163" s="116"/>
      <c r="AE163" s="116"/>
      <c r="AF163" s="116"/>
      <c r="AG163" s="116"/>
      <c r="AH163" s="116"/>
    </row>
    <row r="164" spans="1:34">
      <c r="A164" s="119">
        <v>2</v>
      </c>
      <c r="B164" s="119"/>
      <c r="C164" s="127">
        <f>+E164-E163</f>
        <v>147.44399999999999</v>
      </c>
      <c r="D164" s="119">
        <f>+G164-G163</f>
        <v>129.572</v>
      </c>
      <c r="E164" s="119">
        <v>302.65699999999998</v>
      </c>
      <c r="F164" s="116"/>
      <c r="G164" s="119">
        <v>269.3</v>
      </c>
      <c r="H164" s="116"/>
      <c r="I164" s="124">
        <v>117.9</v>
      </c>
      <c r="J164" s="116">
        <v>2</v>
      </c>
      <c r="K164" s="116"/>
      <c r="L164" s="125">
        <v>13943</v>
      </c>
      <c r="M164" s="124">
        <v>433.79999999999995</v>
      </c>
      <c r="N164" s="124">
        <f t="shared" si="4"/>
        <v>493.7740458015266</v>
      </c>
      <c r="O164" s="125">
        <v>5246</v>
      </c>
      <c r="P164" s="124">
        <v>811.2</v>
      </c>
      <c r="Q164" s="124">
        <f t="shared" si="2"/>
        <v>923.35063613231546</v>
      </c>
      <c r="R164" s="125">
        <v>9193</v>
      </c>
      <c r="S164" s="124">
        <v>176.1</v>
      </c>
      <c r="T164" s="124">
        <f t="shared" si="3"/>
        <v>200.44631043256993</v>
      </c>
      <c r="U164" s="116"/>
      <c r="V164" s="116"/>
      <c r="W164" s="116"/>
      <c r="X164" s="116"/>
      <c r="Y164" s="116"/>
      <c r="Z164" s="116"/>
      <c r="AA164" s="116"/>
      <c r="AB164" s="116"/>
      <c r="AC164" s="116"/>
      <c r="AD164" s="116"/>
      <c r="AE164" s="116"/>
      <c r="AF164" s="116"/>
      <c r="AG164" s="116"/>
      <c r="AH164" s="116"/>
    </row>
    <row r="165" spans="1:34">
      <c r="A165" s="119">
        <v>3</v>
      </c>
      <c r="B165" s="119"/>
      <c r="C165" s="127">
        <f>+E165-E164</f>
        <v>143.45100000000002</v>
      </c>
      <c r="D165" s="119">
        <f>+G165-G164</f>
        <v>126.00599999999997</v>
      </c>
      <c r="E165" s="119">
        <v>446.108</v>
      </c>
      <c r="F165" s="116"/>
      <c r="G165" s="119">
        <v>395.30599999999998</v>
      </c>
      <c r="H165" s="116"/>
      <c r="I165" s="128">
        <v>117.3</v>
      </c>
      <c r="J165" s="116">
        <v>3</v>
      </c>
      <c r="K165" s="116"/>
      <c r="L165" s="125">
        <v>13690</v>
      </c>
      <c r="M165" s="124">
        <v>496.59999999999991</v>
      </c>
      <c r="N165" s="124">
        <f t="shared" si="4"/>
        <v>568.14765558397255</v>
      </c>
      <c r="O165" s="125">
        <v>9450</v>
      </c>
      <c r="P165" s="124">
        <v>855.90000000000009</v>
      </c>
      <c r="Q165" s="124">
        <f t="shared" si="2"/>
        <v>979.21381074168801</v>
      </c>
      <c r="R165" s="125">
        <v>10840</v>
      </c>
      <c r="S165" s="124">
        <v>167.10000000000002</v>
      </c>
      <c r="T165" s="124">
        <f t="shared" si="3"/>
        <v>191.17493606138109</v>
      </c>
      <c r="U165" s="116"/>
      <c r="V165" s="116"/>
      <c r="W165" s="116"/>
      <c r="X165" s="116"/>
      <c r="Y165" s="116"/>
      <c r="Z165" s="116"/>
      <c r="AA165" s="116"/>
      <c r="AB165" s="116"/>
      <c r="AC165" s="116"/>
      <c r="AD165" s="116"/>
      <c r="AE165" s="116"/>
      <c r="AF165" s="116"/>
      <c r="AG165" s="116"/>
      <c r="AH165" s="116"/>
    </row>
    <row r="166" spans="1:34">
      <c r="A166" s="119">
        <v>4</v>
      </c>
      <c r="B166" s="119"/>
      <c r="C166" s="127">
        <f>+E166-E165</f>
        <v>148.56090999999998</v>
      </c>
      <c r="D166" s="119">
        <f>+G166-G165</f>
        <v>131.19532799999996</v>
      </c>
      <c r="E166" s="119">
        <v>594.66890999999998</v>
      </c>
      <c r="F166" s="116"/>
      <c r="G166" s="119">
        <v>526.50132799999994</v>
      </c>
      <c r="H166" s="116"/>
      <c r="I166" s="128">
        <v>119</v>
      </c>
      <c r="J166" s="116">
        <v>4</v>
      </c>
      <c r="K166" s="116"/>
      <c r="L166" s="125">
        <v>16682</v>
      </c>
      <c r="M166" s="124">
        <v>525.60000000000014</v>
      </c>
      <c r="N166" s="124">
        <f t="shared" si="4"/>
        <v>592.73546218487411</v>
      </c>
      <c r="O166" s="125">
        <v>10233</v>
      </c>
      <c r="P166" s="124">
        <v>826</v>
      </c>
      <c r="Q166" s="124">
        <f t="shared" si="2"/>
        <v>931.50588235294117</v>
      </c>
      <c r="R166" s="125">
        <v>9520</v>
      </c>
      <c r="S166" s="124">
        <v>144.09999999999997</v>
      </c>
      <c r="T166" s="124">
        <f t="shared" si="3"/>
        <v>162.50605042016801</v>
      </c>
      <c r="U166" s="116"/>
      <c r="V166" s="116"/>
      <c r="W166" s="116"/>
      <c r="X166" s="116"/>
      <c r="Y166" s="116"/>
      <c r="Z166" s="116"/>
      <c r="AA166" s="116"/>
      <c r="AB166" s="116"/>
      <c r="AC166" s="116"/>
      <c r="AD166" s="116"/>
      <c r="AE166" s="116"/>
      <c r="AF166" s="116"/>
      <c r="AG166" s="116"/>
      <c r="AH166" s="116"/>
    </row>
    <row r="167" spans="1:34">
      <c r="A167" s="119">
        <v>1</v>
      </c>
      <c r="B167" s="119">
        <v>2007</v>
      </c>
      <c r="C167" s="127">
        <f>+E167</f>
        <v>158.09976</v>
      </c>
      <c r="D167" s="119">
        <f>+G167</f>
        <v>141.08400800000001</v>
      </c>
      <c r="E167" s="119">
        <v>158.09976</v>
      </c>
      <c r="F167" s="116"/>
      <c r="G167" s="119">
        <v>141.08400800000001</v>
      </c>
      <c r="H167" s="116"/>
      <c r="I167" s="128">
        <v>117.5</v>
      </c>
      <c r="J167" s="116">
        <v>1</v>
      </c>
      <c r="K167" s="116">
        <v>2007</v>
      </c>
      <c r="L167" s="125">
        <v>18623</v>
      </c>
      <c r="M167" s="124">
        <v>649.6</v>
      </c>
      <c r="N167" s="124">
        <f t="shared" si="4"/>
        <v>741.92612765957438</v>
      </c>
      <c r="O167" s="125">
        <v>7737</v>
      </c>
      <c r="P167" s="124">
        <v>1092.1999999999998</v>
      </c>
      <c r="Q167" s="124">
        <f t="shared" si="2"/>
        <v>1247.4318297872337</v>
      </c>
      <c r="R167" s="125">
        <v>8112</v>
      </c>
      <c r="S167" s="124">
        <v>167.4</v>
      </c>
      <c r="T167" s="124">
        <f t="shared" si="3"/>
        <v>191.19217021276594</v>
      </c>
      <c r="U167" s="116"/>
      <c r="V167" s="116"/>
      <c r="W167" s="116"/>
      <c r="X167" s="116"/>
      <c r="Y167" s="116"/>
      <c r="Z167" s="116"/>
      <c r="AA167" s="116"/>
      <c r="AB167" s="116"/>
      <c r="AC167" s="116"/>
      <c r="AD167" s="116"/>
      <c r="AE167" s="116"/>
      <c r="AF167" s="116"/>
      <c r="AG167" s="116"/>
      <c r="AH167" s="116"/>
    </row>
    <row r="168" spans="1:34">
      <c r="A168" s="119">
        <v>2</v>
      </c>
      <c r="B168" s="119"/>
      <c r="C168" s="127">
        <f>+E168-E167</f>
        <v>161.61276000000004</v>
      </c>
      <c r="D168" s="119">
        <f>+G168-G167</f>
        <v>142.897008</v>
      </c>
      <c r="E168" s="119">
        <v>319.71252000000004</v>
      </c>
      <c r="F168" s="116"/>
      <c r="G168" s="119">
        <v>283.98101600000001</v>
      </c>
      <c r="H168" s="116"/>
      <c r="I168" s="128">
        <v>118.3</v>
      </c>
      <c r="J168" s="116">
        <v>2</v>
      </c>
      <c r="K168" s="116"/>
      <c r="L168" s="125">
        <v>15831</v>
      </c>
      <c r="M168" s="124">
        <v>514.19999999999993</v>
      </c>
      <c r="N168" s="124">
        <f t="shared" si="4"/>
        <v>583.31056635672019</v>
      </c>
      <c r="O168" s="125">
        <v>5067</v>
      </c>
      <c r="P168" s="124">
        <v>1041.6999999999998</v>
      </c>
      <c r="Q168" s="124">
        <f t="shared" ref="Q168:Q189" si="5">P168/I168*$I$69</f>
        <v>1181.7087066779372</v>
      </c>
      <c r="R168" s="125">
        <v>10608</v>
      </c>
      <c r="S168" s="124">
        <v>160.99999999999997</v>
      </c>
      <c r="T168" s="124">
        <f t="shared" ref="T168:T189" si="6">S168/I168*$I$69</f>
        <v>182.63905325443784</v>
      </c>
      <c r="U168" s="116"/>
      <c r="V168" s="116"/>
      <c r="W168" s="116"/>
      <c r="X168" s="116"/>
      <c r="Y168" s="116"/>
      <c r="Z168" s="116"/>
      <c r="AA168" s="116"/>
      <c r="AB168" s="116"/>
      <c r="AC168" s="116"/>
      <c r="AD168" s="116"/>
      <c r="AE168" s="116"/>
      <c r="AF168" s="116"/>
      <c r="AG168" s="116"/>
      <c r="AH168" s="116"/>
    </row>
    <row r="169" spans="1:34">
      <c r="A169" s="119">
        <v>3</v>
      </c>
      <c r="B169" s="119"/>
      <c r="C169" s="127">
        <f>+E169-E168</f>
        <v>135.82058024999998</v>
      </c>
      <c r="D169" s="119">
        <f>+G169-G168</f>
        <v>119.75308425000003</v>
      </c>
      <c r="E169" s="119">
        <v>455.53310025000002</v>
      </c>
      <c r="F169" s="116"/>
      <c r="G169" s="119">
        <v>403.73410025000004</v>
      </c>
      <c r="H169" s="116"/>
      <c r="I169" s="128">
        <v>117.8</v>
      </c>
      <c r="J169" s="116">
        <v>3</v>
      </c>
      <c r="K169" s="116"/>
      <c r="L169" s="125">
        <v>18428</v>
      </c>
      <c r="M169" s="124">
        <v>654.20000000000027</v>
      </c>
      <c r="N169" s="124">
        <f t="shared" si="4"/>
        <v>745.27707979626518</v>
      </c>
      <c r="O169" s="125">
        <v>6417</v>
      </c>
      <c r="P169" s="124">
        <v>679.60000000000036</v>
      </c>
      <c r="Q169" s="124">
        <f t="shared" si="5"/>
        <v>774.21324278438067</v>
      </c>
      <c r="R169" s="125">
        <v>10319</v>
      </c>
      <c r="S169" s="124">
        <v>152.89999999999998</v>
      </c>
      <c r="T169" s="124">
        <f t="shared" si="6"/>
        <v>174.18658743633273</v>
      </c>
      <c r="U169" s="116"/>
      <c r="V169" s="116"/>
      <c r="W169" s="116"/>
      <c r="X169" s="116"/>
      <c r="Y169" s="116"/>
      <c r="Z169" s="116"/>
      <c r="AA169" s="116"/>
      <c r="AB169" s="116"/>
      <c r="AC169" s="116"/>
      <c r="AD169" s="116"/>
      <c r="AE169" s="116"/>
      <c r="AF169" s="116"/>
      <c r="AG169" s="116"/>
      <c r="AH169" s="116"/>
    </row>
    <row r="170" spans="1:34">
      <c r="A170" s="119">
        <v>4</v>
      </c>
      <c r="B170" s="119"/>
      <c r="C170" s="127">
        <f>+E170-E169</f>
        <v>149.79139924999998</v>
      </c>
      <c r="D170" s="119">
        <f>+G170-G169</f>
        <v>133.49839924999998</v>
      </c>
      <c r="E170" s="119">
        <v>605.3244995</v>
      </c>
      <c r="F170" s="116"/>
      <c r="G170" s="119">
        <v>537.23249950000002</v>
      </c>
      <c r="H170" s="116"/>
      <c r="I170" s="128">
        <v>120.8</v>
      </c>
      <c r="J170" s="116">
        <v>4</v>
      </c>
      <c r="K170" s="116"/>
      <c r="L170" s="125">
        <v>15870</v>
      </c>
      <c r="M170" s="124">
        <v>567.19999999999959</v>
      </c>
      <c r="N170" s="124">
        <f t="shared" si="4"/>
        <v>630.11788079470159</v>
      </c>
      <c r="O170" s="125">
        <v>5114</v>
      </c>
      <c r="P170" s="124">
        <v>911.69999999999982</v>
      </c>
      <c r="Q170" s="124">
        <f t="shared" si="5"/>
        <v>1012.8322847682117</v>
      </c>
      <c r="R170" s="125">
        <v>8645</v>
      </c>
      <c r="S170" s="124">
        <v>142.80000000000007</v>
      </c>
      <c r="T170" s="124">
        <f t="shared" si="6"/>
        <v>158.64039735099345</v>
      </c>
      <c r="U170" s="116"/>
      <c r="V170" s="116"/>
      <c r="W170" s="116"/>
      <c r="X170" s="116"/>
      <c r="Y170" s="116"/>
      <c r="Z170" s="116"/>
      <c r="AA170" s="116"/>
      <c r="AB170" s="116"/>
      <c r="AC170" s="116"/>
      <c r="AD170" s="116"/>
      <c r="AE170" s="116"/>
      <c r="AF170" s="116"/>
      <c r="AG170" s="116"/>
      <c r="AH170" s="116"/>
    </row>
    <row r="171" spans="1:34">
      <c r="A171" s="119">
        <v>1</v>
      </c>
      <c r="B171" s="119">
        <v>2008</v>
      </c>
      <c r="C171" s="127">
        <f>+E171</f>
        <v>164.64169099999998</v>
      </c>
      <c r="D171" s="119">
        <f>+G171</f>
        <v>148.61369099999999</v>
      </c>
      <c r="E171" s="119">
        <v>164.64169099999998</v>
      </c>
      <c r="F171" s="116"/>
      <c r="G171" s="119">
        <v>148.61369099999999</v>
      </c>
      <c r="H171" s="116"/>
      <c r="I171" s="128">
        <v>121.9</v>
      </c>
      <c r="J171" s="116">
        <v>1</v>
      </c>
      <c r="K171" s="116">
        <v>2008</v>
      </c>
      <c r="L171" s="125">
        <v>17004</v>
      </c>
      <c r="M171" s="124">
        <v>591.9</v>
      </c>
      <c r="N171" s="124">
        <f t="shared" si="4"/>
        <v>651.62411812961432</v>
      </c>
      <c r="O171" s="125">
        <v>6274</v>
      </c>
      <c r="P171" s="124">
        <v>963.6</v>
      </c>
      <c r="Q171" s="124">
        <f t="shared" si="5"/>
        <v>1060.8295324036094</v>
      </c>
      <c r="R171" s="125">
        <v>7939</v>
      </c>
      <c r="S171" s="124">
        <v>160.1</v>
      </c>
      <c r="T171" s="124">
        <f t="shared" si="6"/>
        <v>176.25447087776863</v>
      </c>
      <c r="U171" s="116"/>
      <c r="V171" s="116"/>
      <c r="W171" s="116"/>
      <c r="X171" s="116"/>
      <c r="Y171" s="116"/>
      <c r="Z171" s="116"/>
      <c r="AA171" s="116"/>
      <c r="AB171" s="116"/>
      <c r="AC171" s="116"/>
      <c r="AD171" s="116"/>
      <c r="AE171" s="116"/>
      <c r="AF171" s="116"/>
      <c r="AG171" s="116"/>
      <c r="AH171" s="116"/>
    </row>
    <row r="172" spans="1:34">
      <c r="A172" s="119">
        <v>2</v>
      </c>
      <c r="B172" s="119"/>
      <c r="C172" s="127">
        <f>+E172-E171</f>
        <v>197.28657850000002</v>
      </c>
      <c r="D172" s="119">
        <f>+G172-G171</f>
        <v>175.71357850000001</v>
      </c>
      <c r="E172" s="119">
        <v>361.9282695</v>
      </c>
      <c r="F172" s="116"/>
      <c r="G172" s="119">
        <v>324.3272695</v>
      </c>
      <c r="H172" s="116"/>
      <c r="I172" s="128">
        <v>122</v>
      </c>
      <c r="J172" s="116">
        <v>2</v>
      </c>
      <c r="K172" s="116"/>
      <c r="L172" s="125">
        <v>14987</v>
      </c>
      <c r="M172" s="124">
        <v>548.4</v>
      </c>
      <c r="N172" s="124">
        <f t="shared" ref="N172:N181" si="7">M172/I172*$I$69</f>
        <v>603.24</v>
      </c>
      <c r="O172" s="125">
        <v>5831</v>
      </c>
      <c r="P172" s="124">
        <v>1153.8000000000002</v>
      </c>
      <c r="Q172" s="124">
        <f t="shared" si="5"/>
        <v>1269.1800000000003</v>
      </c>
      <c r="R172" s="125">
        <v>10207</v>
      </c>
      <c r="S172" s="124">
        <v>188.4</v>
      </c>
      <c r="T172" s="124">
        <f t="shared" si="6"/>
        <v>207.24</v>
      </c>
      <c r="U172" s="116"/>
      <c r="V172" s="116"/>
      <c r="W172" s="116"/>
      <c r="X172" s="116"/>
      <c r="Y172" s="116"/>
      <c r="Z172" s="116"/>
      <c r="AA172" s="116"/>
      <c r="AB172" s="116"/>
      <c r="AC172" s="116"/>
      <c r="AD172" s="116"/>
      <c r="AE172" s="116"/>
      <c r="AF172" s="116"/>
      <c r="AG172" s="116"/>
      <c r="AH172" s="116"/>
    </row>
    <row r="173" spans="1:34">
      <c r="A173" s="119">
        <v>3</v>
      </c>
      <c r="B173" s="119"/>
      <c r="C173" s="127">
        <f>+E173-E172</f>
        <v>159.71767174999997</v>
      </c>
      <c r="D173" s="119">
        <f>+G173-G172</f>
        <v>141.40667174999999</v>
      </c>
      <c r="E173" s="119">
        <v>521.64594124999996</v>
      </c>
      <c r="F173" s="116"/>
      <c r="G173" s="119">
        <v>465.73394124999999</v>
      </c>
      <c r="H173" s="116"/>
      <c r="I173" s="128">
        <v>123.1</v>
      </c>
      <c r="J173" s="116">
        <v>3</v>
      </c>
      <c r="K173" s="116"/>
      <c r="L173" s="125">
        <v>19290</v>
      </c>
      <c r="M173" s="124">
        <v>722.70000000000027</v>
      </c>
      <c r="N173" s="124">
        <f t="shared" si="7"/>
        <v>787.86628757108076</v>
      </c>
      <c r="O173" s="125">
        <v>12252</v>
      </c>
      <c r="P173" s="124">
        <v>1486.4999999999995</v>
      </c>
      <c r="Q173" s="124">
        <f t="shared" si="5"/>
        <v>1620.5385865150279</v>
      </c>
      <c r="R173" s="125">
        <v>11007</v>
      </c>
      <c r="S173" s="124">
        <v>186.29999999999995</v>
      </c>
      <c r="T173" s="124">
        <f t="shared" si="6"/>
        <v>203.09878147847272</v>
      </c>
      <c r="U173" s="116"/>
      <c r="V173" s="116"/>
      <c r="W173" s="116"/>
      <c r="X173" s="116"/>
      <c r="Y173" s="116"/>
      <c r="Z173" s="116"/>
      <c r="AA173" s="116"/>
      <c r="AB173" s="116"/>
      <c r="AC173" s="116"/>
      <c r="AD173" s="116"/>
      <c r="AE173" s="116"/>
      <c r="AF173" s="116"/>
      <c r="AG173" s="116"/>
      <c r="AH173" s="116"/>
    </row>
    <row r="174" spans="1:34">
      <c r="A174" s="119">
        <v>4</v>
      </c>
      <c r="B174" s="119"/>
      <c r="C174" s="127">
        <f>+E174-E173</f>
        <v>170.05706974999998</v>
      </c>
      <c r="D174" s="119">
        <f>+G174-G173</f>
        <v>152.54014889999991</v>
      </c>
      <c r="E174" s="119">
        <v>691.70301099999995</v>
      </c>
      <c r="F174" s="116"/>
      <c r="G174" s="119">
        <v>618.27409014999989</v>
      </c>
      <c r="H174" s="116"/>
      <c r="I174" s="124">
        <v>124.7</v>
      </c>
      <c r="J174" s="116">
        <v>4</v>
      </c>
      <c r="K174" s="116"/>
      <c r="L174" s="125">
        <v>16976</v>
      </c>
      <c r="M174" s="124">
        <v>703.10000000000014</v>
      </c>
      <c r="N174" s="124">
        <f t="shared" si="7"/>
        <v>756.66415396952698</v>
      </c>
      <c r="O174" s="125">
        <v>7247</v>
      </c>
      <c r="P174" s="124">
        <v>1160</v>
      </c>
      <c r="Q174" s="124">
        <f t="shared" si="5"/>
        <v>1248.3720930232557</v>
      </c>
      <c r="R174" s="125">
        <v>10145</v>
      </c>
      <c r="S174" s="124">
        <v>269.60000000000014</v>
      </c>
      <c r="T174" s="124">
        <f t="shared" si="6"/>
        <v>290.1388933440258</v>
      </c>
      <c r="U174" s="116"/>
      <c r="V174" s="116"/>
      <c r="W174" s="116"/>
      <c r="X174" s="116"/>
      <c r="Y174" s="116"/>
      <c r="Z174" s="116"/>
      <c r="AA174" s="116"/>
      <c r="AB174" s="116"/>
      <c r="AC174" s="116"/>
      <c r="AD174" s="116"/>
      <c r="AE174" s="116"/>
      <c r="AF174" s="116"/>
      <c r="AG174" s="116"/>
      <c r="AH174" s="116"/>
    </row>
    <row r="175" spans="1:34">
      <c r="A175" s="119">
        <v>1</v>
      </c>
      <c r="B175" s="119">
        <v>2009</v>
      </c>
      <c r="C175" s="127">
        <f>+E175</f>
        <v>191.37959499999999</v>
      </c>
      <c r="D175" s="119">
        <f>+G175</f>
        <v>172.55938714999999</v>
      </c>
      <c r="E175" s="119">
        <v>191.37959499999999</v>
      </c>
      <c r="F175" s="116"/>
      <c r="G175" s="119">
        <v>172.55938714999999</v>
      </c>
      <c r="H175" s="116"/>
      <c r="I175" s="124">
        <v>125</v>
      </c>
      <c r="J175" s="116">
        <v>1</v>
      </c>
      <c r="K175" s="116">
        <v>2009</v>
      </c>
      <c r="L175" s="125">
        <v>18865</v>
      </c>
      <c r="M175" s="124">
        <v>739.59999999999991</v>
      </c>
      <c r="N175" s="124">
        <f t="shared" si="7"/>
        <v>794.03455999999983</v>
      </c>
      <c r="O175" s="125">
        <v>6194</v>
      </c>
      <c r="P175" s="124">
        <v>1049.9000000000001</v>
      </c>
      <c r="Q175" s="124">
        <f t="shared" si="5"/>
        <v>1127.17264</v>
      </c>
      <c r="R175" s="125">
        <v>8619</v>
      </c>
      <c r="S175" s="124">
        <v>213.2</v>
      </c>
      <c r="T175" s="124">
        <f t="shared" si="6"/>
        <v>228.89151999999999</v>
      </c>
      <c r="U175" s="116"/>
      <c r="V175" s="116"/>
      <c r="W175" s="116"/>
      <c r="X175" s="116"/>
      <c r="Y175" s="116"/>
      <c r="Z175" s="116"/>
      <c r="AA175" s="116"/>
      <c r="AB175" s="116"/>
      <c r="AC175" s="116"/>
      <c r="AD175" s="116"/>
      <c r="AE175" s="116"/>
      <c r="AF175" s="116"/>
      <c r="AG175" s="116"/>
      <c r="AH175" s="116"/>
    </row>
    <row r="176" spans="1:34">
      <c r="A176" s="119">
        <v>2</v>
      </c>
      <c r="B176" s="119"/>
      <c r="C176" s="127">
        <f>+E176-E175</f>
        <v>178.90604250000001</v>
      </c>
      <c r="D176" s="119">
        <f>+G176-G175</f>
        <v>160.765232725</v>
      </c>
      <c r="E176" s="119">
        <v>370.28563750000001</v>
      </c>
      <c r="F176" s="116"/>
      <c r="G176" s="119">
        <v>333.324619875</v>
      </c>
      <c r="H176" s="116"/>
      <c r="I176" s="124">
        <v>125.7</v>
      </c>
      <c r="J176" s="116">
        <v>2</v>
      </c>
      <c r="K176" s="116"/>
      <c r="L176" s="125">
        <v>14610</v>
      </c>
      <c r="M176" s="124">
        <v>603.80000000000018</v>
      </c>
      <c r="N176" s="124">
        <f t="shared" si="7"/>
        <v>644.62975338106605</v>
      </c>
      <c r="O176" s="125">
        <v>5486</v>
      </c>
      <c r="P176" s="124">
        <v>1077.9000000000001</v>
      </c>
      <c r="Q176" s="124">
        <f t="shared" si="5"/>
        <v>1150.7890214797135</v>
      </c>
      <c r="R176" s="125">
        <v>11296</v>
      </c>
      <c r="S176" s="124">
        <v>235.3</v>
      </c>
      <c r="T176" s="124">
        <f t="shared" si="6"/>
        <v>251.2112967382657</v>
      </c>
      <c r="U176" s="116"/>
      <c r="V176" s="116"/>
      <c r="W176" s="116"/>
      <c r="X176" s="116"/>
      <c r="Y176" s="116"/>
      <c r="Z176" s="116"/>
      <c r="AA176" s="116"/>
      <c r="AB176" s="116"/>
      <c r="AC176" s="116"/>
      <c r="AD176" s="116"/>
      <c r="AE176" s="116"/>
      <c r="AF176" s="116"/>
      <c r="AG176" s="116"/>
      <c r="AH176" s="116"/>
    </row>
    <row r="177" spans="1:34">
      <c r="A177" s="119">
        <v>3</v>
      </c>
      <c r="B177" s="119"/>
      <c r="C177" s="127">
        <f>+E177-E176</f>
        <v>160.23377500000004</v>
      </c>
      <c r="D177" s="119">
        <f>+G177-G176</f>
        <v>142.31202375000004</v>
      </c>
      <c r="E177" s="119">
        <v>530.51941250000004</v>
      </c>
      <c r="F177" s="116"/>
      <c r="G177" s="119">
        <v>475.63664362500003</v>
      </c>
      <c r="H177" s="116"/>
      <c r="I177" s="124">
        <v>125.4</v>
      </c>
      <c r="J177" s="116">
        <v>3</v>
      </c>
      <c r="K177" s="116"/>
      <c r="L177" s="125">
        <v>19220</v>
      </c>
      <c r="M177" s="124">
        <v>795.69999999999982</v>
      </c>
      <c r="N177" s="124">
        <f t="shared" si="7"/>
        <v>851.53859649122774</v>
      </c>
      <c r="O177" s="125">
        <v>13278</v>
      </c>
      <c r="P177" s="124">
        <v>1278.0999999999999</v>
      </c>
      <c r="Q177" s="124">
        <f t="shared" si="5"/>
        <v>1367.7912280701751</v>
      </c>
      <c r="R177" s="125">
        <v>11383</v>
      </c>
      <c r="S177" s="124">
        <v>231.79999999999995</v>
      </c>
      <c r="T177" s="124">
        <f t="shared" si="6"/>
        <v>248.06666666666658</v>
      </c>
      <c r="U177" s="116"/>
      <c r="V177" s="116"/>
      <c r="W177" s="116"/>
      <c r="X177" s="116"/>
      <c r="Y177" s="116"/>
      <c r="Z177" s="116"/>
      <c r="AA177" s="116"/>
      <c r="AB177" s="116"/>
      <c r="AC177" s="116"/>
      <c r="AD177" s="116"/>
      <c r="AE177" s="116"/>
      <c r="AF177" s="116"/>
      <c r="AG177" s="116"/>
      <c r="AH177" s="116"/>
    </row>
    <row r="178" spans="1:34">
      <c r="A178" s="119">
        <v>4</v>
      </c>
      <c r="B178" s="119"/>
      <c r="C178" s="127">
        <f>+E178-E177</f>
        <v>179.8571388695641</v>
      </c>
      <c r="D178" s="119">
        <f>+G178-G177</f>
        <v>163.53199924456408</v>
      </c>
      <c r="E178" s="119">
        <v>710.37655136956414</v>
      </c>
      <c r="F178" s="116"/>
      <c r="G178" s="119">
        <v>639.16864286956411</v>
      </c>
      <c r="H178" s="116"/>
      <c r="I178" s="124">
        <v>126.6</v>
      </c>
      <c r="J178" s="116">
        <v>4</v>
      </c>
      <c r="K178" s="116"/>
      <c r="L178" s="125">
        <v>16838</v>
      </c>
      <c r="M178" s="124">
        <v>759.30000000000018</v>
      </c>
      <c r="N178" s="124">
        <f t="shared" si="7"/>
        <v>804.88199052132722</v>
      </c>
      <c r="O178" s="125">
        <v>6227</v>
      </c>
      <c r="P178" s="124">
        <v>1192.2000000000003</v>
      </c>
      <c r="Q178" s="124">
        <f t="shared" si="5"/>
        <v>1263.7696682464459</v>
      </c>
      <c r="R178" s="125">
        <v>10409</v>
      </c>
      <c r="S178" s="124">
        <v>276.40000000000009</v>
      </c>
      <c r="T178" s="124">
        <f t="shared" si="6"/>
        <v>292.99273301737765</v>
      </c>
      <c r="U178" s="116"/>
      <c r="V178" s="116"/>
      <c r="W178" s="116"/>
      <c r="X178" s="116"/>
      <c r="Y178" s="116"/>
      <c r="Z178" s="116"/>
      <c r="AA178" s="116"/>
      <c r="AB178" s="116"/>
      <c r="AC178" s="116"/>
      <c r="AD178" s="116"/>
      <c r="AE178" s="116"/>
      <c r="AF178" s="116"/>
      <c r="AG178" s="116"/>
      <c r="AH178" s="116"/>
    </row>
    <row r="179" spans="1:34">
      <c r="A179" s="119">
        <v>1</v>
      </c>
      <c r="B179" s="119">
        <v>2010</v>
      </c>
      <c r="C179" s="127">
        <f>+E179</f>
        <v>204.63648875000001</v>
      </c>
      <c r="D179" s="119">
        <f>+G179</f>
        <v>186.506571025</v>
      </c>
      <c r="E179" s="119">
        <v>204.63648875000001</v>
      </c>
      <c r="F179" s="116"/>
      <c r="G179" s="119">
        <v>186.506571025</v>
      </c>
      <c r="H179" s="116"/>
      <c r="I179" s="124">
        <v>128.69999999999999</v>
      </c>
      <c r="J179" s="116">
        <v>1</v>
      </c>
      <c r="K179" s="116">
        <v>2010</v>
      </c>
      <c r="L179" s="125">
        <v>40484.70904761905</v>
      </c>
      <c r="M179" s="124">
        <v>1693.2251146266974</v>
      </c>
      <c r="N179" s="124">
        <f t="shared" si="7"/>
        <v>1765.5851622603168</v>
      </c>
      <c r="O179" s="125">
        <v>6690</v>
      </c>
      <c r="P179" s="124">
        <v>1648.5</v>
      </c>
      <c r="Q179" s="124">
        <f t="shared" si="5"/>
        <v>1718.948717948718</v>
      </c>
      <c r="R179" s="125">
        <v>7227</v>
      </c>
      <c r="S179" s="124">
        <v>243.10000000000002</v>
      </c>
      <c r="T179" s="124">
        <f t="shared" si="6"/>
        <v>253.48888888888891</v>
      </c>
      <c r="U179" s="116"/>
      <c r="V179" s="116"/>
      <c r="W179" s="116"/>
      <c r="X179" s="116"/>
      <c r="Y179" s="116"/>
      <c r="Z179" s="116"/>
      <c r="AA179" s="116"/>
      <c r="AB179" s="116"/>
      <c r="AC179" s="116"/>
      <c r="AD179" s="116"/>
      <c r="AE179" s="116"/>
      <c r="AF179" s="116"/>
      <c r="AG179" s="116"/>
      <c r="AH179" s="116"/>
    </row>
    <row r="180" spans="1:34">
      <c r="A180" s="119">
        <v>2</v>
      </c>
      <c r="B180" s="119"/>
      <c r="C180" s="127">
        <f>+E180-E179</f>
        <v>188.95691625000001</v>
      </c>
      <c r="D180" s="119">
        <f>+G180-G179</f>
        <v>170.46253197500002</v>
      </c>
      <c r="E180" s="119">
        <v>393.59340500000002</v>
      </c>
      <c r="F180" s="116"/>
      <c r="G180" s="119">
        <v>356.96910300000002</v>
      </c>
      <c r="H180" s="116"/>
      <c r="I180" s="124">
        <v>128.9</v>
      </c>
      <c r="J180" s="116">
        <v>2</v>
      </c>
      <c r="K180" s="116"/>
      <c r="L180" s="125">
        <v>20633.79583333333</v>
      </c>
      <c r="M180" s="124">
        <v>864.97098885712671</v>
      </c>
      <c r="N180" s="124">
        <f t="shared" si="7"/>
        <v>900.53612649050729</v>
      </c>
      <c r="O180" s="125">
        <v>5716</v>
      </c>
      <c r="P180" s="124">
        <v>1381.6999999999998</v>
      </c>
      <c r="Q180" s="124">
        <f t="shared" si="5"/>
        <v>1438.5115593483317</v>
      </c>
      <c r="R180" s="125">
        <v>10696</v>
      </c>
      <c r="S180" s="124">
        <v>201.60000000000002</v>
      </c>
      <c r="T180" s="124">
        <f t="shared" si="6"/>
        <v>209.88921644685803</v>
      </c>
      <c r="U180" s="116"/>
      <c r="V180" s="116"/>
      <c r="W180" s="116"/>
      <c r="X180" s="116"/>
      <c r="Y180" s="116"/>
      <c r="Z180" s="116"/>
      <c r="AA180" s="116"/>
      <c r="AB180" s="116"/>
      <c r="AC180" s="116"/>
      <c r="AD180" s="116"/>
      <c r="AE180" s="116"/>
      <c r="AF180" s="116"/>
      <c r="AG180" s="116"/>
      <c r="AH180" s="116"/>
    </row>
    <row r="181" spans="1:34">
      <c r="A181" s="119">
        <v>3</v>
      </c>
      <c r="B181" s="119"/>
      <c r="C181" s="127">
        <f>+E181-E180</f>
        <v>172.07737875000004</v>
      </c>
      <c r="D181" s="119">
        <f>+G181-G180</f>
        <v>154.15607493749997</v>
      </c>
      <c r="E181" s="119">
        <v>565.67078375000006</v>
      </c>
      <c r="F181" s="116"/>
      <c r="G181" s="119">
        <v>511.12517793749998</v>
      </c>
      <c r="H181" s="116"/>
      <c r="I181" s="124">
        <v>127.8</v>
      </c>
      <c r="J181" s="116">
        <v>3</v>
      </c>
      <c r="K181" s="116"/>
      <c r="L181" s="125">
        <v>19149.335833333338</v>
      </c>
      <c r="M181" s="124">
        <v>861.71516601647909</v>
      </c>
      <c r="N181" s="124">
        <f t="shared" si="7"/>
        <v>904.86835116910402</v>
      </c>
      <c r="O181" s="125">
        <v>9089</v>
      </c>
      <c r="P181" s="124">
        <v>1286.1999999999998</v>
      </c>
      <c r="Q181" s="124">
        <f t="shared" si="5"/>
        <v>1350.6106416275429</v>
      </c>
      <c r="R181" s="125">
        <v>11532</v>
      </c>
      <c r="S181" s="124">
        <v>200.69999999999993</v>
      </c>
      <c r="T181" s="124">
        <f t="shared" si="6"/>
        <v>210.75070422535202</v>
      </c>
      <c r="U181" s="116"/>
      <c r="V181" s="116"/>
      <c r="W181" s="116"/>
      <c r="X181" s="116"/>
      <c r="Y181" s="116"/>
      <c r="Z181" s="116"/>
      <c r="AA181" s="116"/>
      <c r="AB181" s="116"/>
      <c r="AC181" s="116"/>
      <c r="AD181" s="116"/>
      <c r="AE181" s="116"/>
      <c r="AF181" s="116"/>
      <c r="AG181" s="116"/>
      <c r="AH181" s="116"/>
    </row>
    <row r="182" spans="1:34">
      <c r="A182" s="119">
        <v>4</v>
      </c>
      <c r="B182" s="119"/>
      <c r="C182" s="127">
        <f>+E182-E181</f>
        <v>192.96143124999992</v>
      </c>
      <c r="D182" s="119">
        <f>+G182-G181</f>
        <v>174.39946771249993</v>
      </c>
      <c r="E182" s="119">
        <v>758.63221499999997</v>
      </c>
      <c r="F182" s="116"/>
      <c r="G182" s="119">
        <v>685.52464564999991</v>
      </c>
      <c r="H182" s="116"/>
      <c r="I182" s="124">
        <v>129</v>
      </c>
      <c r="J182" s="116">
        <v>4</v>
      </c>
      <c r="K182" s="116"/>
      <c r="L182" s="125">
        <v>22322.361666666664</v>
      </c>
      <c r="M182" s="124">
        <v>889.84894905372039</v>
      </c>
      <c r="N182" s="124">
        <f t="shared" ref="N182" si="8">M182/I182*$I$69</f>
        <v>925.71882917061441</v>
      </c>
      <c r="O182" s="125">
        <v>5858</v>
      </c>
      <c r="P182" s="124">
        <v>1310.8000000000011</v>
      </c>
      <c r="Q182" s="124">
        <f t="shared" si="5"/>
        <v>1363.638449612404</v>
      </c>
      <c r="R182" s="125">
        <v>9548</v>
      </c>
      <c r="S182" s="124">
        <v>205</v>
      </c>
      <c r="T182" s="124">
        <f t="shared" si="6"/>
        <v>213.26356589147284</v>
      </c>
      <c r="U182" s="116"/>
      <c r="V182" s="116"/>
      <c r="W182" s="116"/>
      <c r="X182" s="116"/>
      <c r="Y182" s="116"/>
      <c r="Z182" s="116"/>
      <c r="AA182" s="116"/>
      <c r="AB182" s="116"/>
      <c r="AC182" s="116"/>
      <c r="AD182" s="116"/>
      <c r="AE182" s="116"/>
      <c r="AF182" s="116"/>
      <c r="AG182" s="116"/>
      <c r="AH182" s="116"/>
    </row>
    <row r="183" spans="1:34">
      <c r="A183" s="119">
        <v>1</v>
      </c>
      <c r="B183" s="119">
        <v>2011</v>
      </c>
      <c r="C183" s="127">
        <f>+E183</f>
        <v>204.00503875000001</v>
      </c>
      <c r="D183" s="119">
        <f>+G183</f>
        <v>184.8599929625</v>
      </c>
      <c r="E183" s="119">
        <v>204.00503875000001</v>
      </c>
      <c r="F183" s="116"/>
      <c r="G183" s="119">
        <v>184.8599929625</v>
      </c>
      <c r="H183" s="116"/>
      <c r="I183" s="124">
        <v>130.19999999999999</v>
      </c>
      <c r="J183" s="116">
        <v>1</v>
      </c>
      <c r="K183" s="116">
        <v>2011</v>
      </c>
      <c r="L183" s="125">
        <v>26141.662648809524</v>
      </c>
      <c r="M183" s="124">
        <v>1061.4209517567813</v>
      </c>
      <c r="N183" s="124">
        <f t="shared" ref="N183:N186" si="9">M183/I183*$I$69</f>
        <v>1094.0298903668206</v>
      </c>
      <c r="O183" s="125">
        <v>5959</v>
      </c>
      <c r="P183" s="124">
        <v>1698.7</v>
      </c>
      <c r="Q183" s="124">
        <f t="shared" si="5"/>
        <v>1750.8874039938555</v>
      </c>
      <c r="R183" s="125">
        <v>6732</v>
      </c>
      <c r="S183" s="124">
        <v>156.5</v>
      </c>
      <c r="T183" s="124">
        <f t="shared" si="6"/>
        <v>161.30798771121351</v>
      </c>
      <c r="U183" s="116"/>
      <c r="V183" s="116"/>
      <c r="W183" s="116"/>
      <c r="X183" s="116"/>
      <c r="Y183" s="116"/>
      <c r="Z183" s="116"/>
      <c r="AA183" s="116"/>
      <c r="AB183" s="116"/>
      <c r="AC183" s="116"/>
      <c r="AD183" s="116"/>
      <c r="AE183" s="116"/>
      <c r="AF183" s="116"/>
      <c r="AG183" s="116"/>
      <c r="AH183" s="116"/>
    </row>
    <row r="184" spans="1:34">
      <c r="A184" s="119">
        <v>2</v>
      </c>
      <c r="B184" s="119"/>
      <c r="C184" s="127">
        <f>+E184-E183</f>
        <v>188.74104374999999</v>
      </c>
      <c r="D184" s="119">
        <f>+G184-G183</f>
        <v>171.33320521249996</v>
      </c>
      <c r="E184" s="116">
        <v>392.7460825</v>
      </c>
      <c r="F184" s="116"/>
      <c r="G184" s="116">
        <v>356.19319817499996</v>
      </c>
      <c r="H184" s="116"/>
      <c r="I184" s="124">
        <v>131</v>
      </c>
      <c r="J184" s="116">
        <v>2</v>
      </c>
      <c r="K184" s="116"/>
      <c r="L184" s="133">
        <v>18851.951101190472</v>
      </c>
      <c r="M184" s="134">
        <v>776.58308820124375</v>
      </c>
      <c r="N184" s="124">
        <f t="shared" si="9"/>
        <v>795.55305676799162</v>
      </c>
      <c r="O184" s="125">
        <v>7524</v>
      </c>
      <c r="P184" s="124">
        <v>1533.4000000000003</v>
      </c>
      <c r="Q184" s="124">
        <f t="shared" si="5"/>
        <v>1570.8570992366413</v>
      </c>
      <c r="R184" s="125">
        <v>10017</v>
      </c>
      <c r="S184" s="124">
        <v>197.79999999999995</v>
      </c>
      <c r="T184" s="124">
        <f t="shared" si="6"/>
        <v>202.63175572519077</v>
      </c>
      <c r="U184" s="116"/>
      <c r="V184" s="116"/>
      <c r="W184" s="116"/>
      <c r="X184" s="116"/>
      <c r="Y184" s="116"/>
      <c r="Z184" s="116"/>
      <c r="AA184" s="116"/>
      <c r="AB184" s="116"/>
      <c r="AC184" s="116"/>
      <c r="AD184" s="116"/>
      <c r="AE184" s="116"/>
      <c r="AF184" s="116"/>
      <c r="AG184" s="116"/>
      <c r="AH184" s="116"/>
    </row>
    <row r="185" spans="1:34">
      <c r="A185" s="119">
        <v>3</v>
      </c>
      <c r="B185" s="116"/>
      <c r="C185" s="127">
        <f>+E185-E184</f>
        <v>169.93391749999995</v>
      </c>
      <c r="D185" s="119">
        <f>+G185-G184</f>
        <v>151.69380182500004</v>
      </c>
      <c r="E185" s="116">
        <v>562.67999999999995</v>
      </c>
      <c r="F185" s="116"/>
      <c r="G185" s="116">
        <v>507.887</v>
      </c>
      <c r="H185" s="116"/>
      <c r="I185" s="124">
        <v>129.4</v>
      </c>
      <c r="J185" s="116">
        <v>3</v>
      </c>
      <c r="K185" s="116"/>
      <c r="L185" s="133">
        <v>24107.386250000007</v>
      </c>
      <c r="M185" s="134">
        <v>914.64669811090494</v>
      </c>
      <c r="N185" s="124">
        <f t="shared" si="9"/>
        <v>948.57486001919176</v>
      </c>
      <c r="O185" s="125">
        <v>10171</v>
      </c>
      <c r="P185" s="124">
        <v>1285.3999999999996</v>
      </c>
      <c r="Q185" s="124">
        <f t="shared" si="5"/>
        <v>1333.0809891808342</v>
      </c>
      <c r="R185" s="125">
        <v>10339</v>
      </c>
      <c r="S185" s="124">
        <v>167.29999999999995</v>
      </c>
      <c r="T185" s="124">
        <f t="shared" si="6"/>
        <v>173.50587326120549</v>
      </c>
      <c r="U185" s="116"/>
      <c r="V185" s="116"/>
      <c r="W185" s="116"/>
      <c r="X185" s="116"/>
      <c r="Y185" s="116"/>
      <c r="Z185" s="116"/>
      <c r="AA185" s="116"/>
      <c r="AB185" s="116"/>
      <c r="AC185" s="116"/>
      <c r="AD185" s="116"/>
      <c r="AE185" s="116"/>
      <c r="AF185" s="116"/>
      <c r="AG185" s="116"/>
      <c r="AH185" s="116"/>
    </row>
    <row r="186" spans="1:34">
      <c r="A186" s="116">
        <v>4</v>
      </c>
      <c r="B186" s="116"/>
      <c r="C186" s="127">
        <f>+E186-E185</f>
        <v>202.17554500000006</v>
      </c>
      <c r="D186" s="119">
        <f>+G186-G185</f>
        <v>178.91908595000001</v>
      </c>
      <c r="E186" s="116">
        <v>764.85554500000001</v>
      </c>
      <c r="F186" s="116"/>
      <c r="G186" s="116">
        <v>686.80608595000001</v>
      </c>
      <c r="H186" s="116"/>
      <c r="I186" s="116">
        <v>130.5</v>
      </c>
      <c r="J186" s="116">
        <v>4</v>
      </c>
      <c r="K186" s="116"/>
      <c r="L186" s="133">
        <v>18022.572976190484</v>
      </c>
      <c r="M186" s="124">
        <v>777.38419736292576</v>
      </c>
      <c r="N186" s="124">
        <f t="shared" si="9"/>
        <v>799.42497537244935</v>
      </c>
      <c r="O186" s="133">
        <v>8775.7956028314002</v>
      </c>
      <c r="P186" s="124">
        <v>1286.8626975018997</v>
      </c>
      <c r="Q186" s="124">
        <f t="shared" si="5"/>
        <v>1323.3484598065511</v>
      </c>
      <c r="R186" s="133">
        <v>9645.4866500746648</v>
      </c>
      <c r="S186" s="124">
        <v>181.103452008619</v>
      </c>
      <c r="T186" s="124">
        <f t="shared" si="6"/>
        <v>186.23818589698598</v>
      </c>
      <c r="U186" s="116"/>
      <c r="V186" s="116"/>
      <c r="W186" s="116"/>
      <c r="X186" s="116"/>
      <c r="Y186" s="116"/>
      <c r="Z186" s="116"/>
      <c r="AA186" s="116"/>
      <c r="AB186" s="116"/>
      <c r="AC186" s="116"/>
      <c r="AD186" s="116"/>
      <c r="AE186" s="116"/>
      <c r="AF186" s="116"/>
      <c r="AG186" s="116"/>
      <c r="AH186" s="116"/>
    </row>
    <row r="187" spans="1:34">
      <c r="A187" s="116">
        <v>1</v>
      </c>
      <c r="B187" s="116">
        <v>2012</v>
      </c>
      <c r="C187" s="127">
        <f>+E187</f>
        <v>195.82938625</v>
      </c>
      <c r="D187" s="119">
        <f>+G187</f>
        <v>177.0717714875</v>
      </c>
      <c r="E187" s="116">
        <v>195.82938625</v>
      </c>
      <c r="F187" s="116"/>
      <c r="G187" s="116">
        <v>177.0717714875</v>
      </c>
      <c r="H187" s="116"/>
      <c r="I187" s="116">
        <v>131.69999999999999</v>
      </c>
      <c r="J187" s="116">
        <v>1</v>
      </c>
      <c r="K187" s="116">
        <v>2012</v>
      </c>
      <c r="L187" s="133">
        <v>18517.39324404762</v>
      </c>
      <c r="M187" s="124">
        <v>869.15461769403078</v>
      </c>
      <c r="N187" s="124">
        <f t="shared" ref="N187:N193" si="10">M187/I187*$I$69</f>
        <v>885.65337657204964</v>
      </c>
      <c r="O187" s="125">
        <v>6822.44890070785</v>
      </c>
      <c r="P187" s="124">
        <v>1150.314057295883</v>
      </c>
      <c r="Q187" s="124">
        <f t="shared" si="5"/>
        <v>1172.1499353766703</v>
      </c>
      <c r="R187" s="125">
        <v>7564.3716625186662</v>
      </c>
      <c r="S187" s="124">
        <v>175.73767321176348</v>
      </c>
      <c r="T187" s="124">
        <f t="shared" si="6"/>
        <v>179.07361993180456</v>
      </c>
      <c r="U187" s="116"/>
      <c r="V187" s="116"/>
      <c r="W187" s="116"/>
      <c r="X187" s="116"/>
      <c r="Y187" s="116"/>
      <c r="Z187" s="116"/>
      <c r="AA187" s="116"/>
      <c r="AB187" s="116"/>
      <c r="AC187" s="116"/>
      <c r="AD187" s="116"/>
      <c r="AE187" s="116"/>
      <c r="AF187" s="116"/>
      <c r="AG187" s="116"/>
      <c r="AH187" s="116"/>
    </row>
    <row r="188" spans="1:34">
      <c r="A188" s="116">
        <v>2</v>
      </c>
      <c r="B188" s="116"/>
      <c r="C188" s="127">
        <f>+E188-E187</f>
        <v>182.75061374999999</v>
      </c>
      <c r="D188" s="119">
        <f>+G188-G187</f>
        <v>165.12822851249999</v>
      </c>
      <c r="E188" s="135">
        <v>378.58</v>
      </c>
      <c r="F188" s="116"/>
      <c r="G188" s="135">
        <v>342.2</v>
      </c>
      <c r="H188" s="116"/>
      <c r="I188" s="116">
        <v>131.69999999999999</v>
      </c>
      <c r="J188" s="116">
        <v>2</v>
      </c>
      <c r="K188" s="116"/>
      <c r="L188" s="133">
        <v>14087.60675595238</v>
      </c>
      <c r="M188" s="124">
        <v>635.43152402028181</v>
      </c>
      <c r="N188" s="124">
        <f t="shared" si="10"/>
        <v>647.49362584299035</v>
      </c>
      <c r="O188" s="125">
        <v>4838.55109929215</v>
      </c>
      <c r="P188" s="124">
        <v>1037.7970664905204</v>
      </c>
      <c r="Q188" s="124">
        <f t="shared" si="5"/>
        <v>1057.4970867352151</v>
      </c>
      <c r="R188" s="125">
        <v>10002.628337481334</v>
      </c>
      <c r="S188" s="124">
        <v>184.20744441885319</v>
      </c>
      <c r="T188" s="124">
        <f t="shared" si="6"/>
        <v>187.70416887631055</v>
      </c>
      <c r="U188" s="116"/>
      <c r="V188" s="116"/>
      <c r="W188" s="116"/>
      <c r="X188" s="116"/>
      <c r="Y188" s="116"/>
      <c r="Z188" s="116"/>
      <c r="AA188" s="116"/>
      <c r="AB188" s="116"/>
      <c r="AC188" s="116"/>
      <c r="AD188" s="116"/>
      <c r="AE188" s="116"/>
      <c r="AF188" s="116"/>
      <c r="AG188" s="116"/>
      <c r="AH188" s="116"/>
    </row>
    <row r="189" spans="1:34">
      <c r="A189" s="119">
        <v>3</v>
      </c>
      <c r="B189" s="116"/>
      <c r="C189" s="127">
        <f>+E189-E188</f>
        <v>165.72960875000007</v>
      </c>
      <c r="D189" s="119">
        <f>+G189-G188</f>
        <v>148.24155396250001</v>
      </c>
      <c r="E189" s="116">
        <v>544.30960875000005</v>
      </c>
      <c r="F189" s="116"/>
      <c r="G189" s="116">
        <v>490.4415539625</v>
      </c>
      <c r="H189" s="116"/>
      <c r="I189" s="116">
        <v>130</v>
      </c>
      <c r="J189" s="116">
        <v>3</v>
      </c>
      <c r="K189" s="116"/>
      <c r="L189" s="136">
        <v>20999.460714285713</v>
      </c>
      <c r="M189" s="137">
        <v>864.77367174435972</v>
      </c>
      <c r="N189" s="124">
        <f t="shared" si="10"/>
        <v>892.71251344686971</v>
      </c>
      <c r="O189" s="136">
        <v>6828.0536397386386</v>
      </c>
      <c r="P189" s="137">
        <v>1132.0609213635664</v>
      </c>
      <c r="Q189" s="124">
        <f t="shared" si="5"/>
        <v>1168.6351972845432</v>
      </c>
      <c r="R189" s="136">
        <v>10877.781177428844</v>
      </c>
      <c r="S189" s="137">
        <v>190.02859425457928</v>
      </c>
      <c r="T189" s="124">
        <f t="shared" si="6"/>
        <v>196.16797960741951</v>
      </c>
      <c r="U189" s="116"/>
      <c r="V189" s="116"/>
      <c r="W189" s="116"/>
      <c r="X189" s="116"/>
      <c r="Y189" s="116"/>
      <c r="Z189" s="116"/>
      <c r="AA189" s="116"/>
      <c r="AB189" s="116"/>
      <c r="AC189" s="116"/>
      <c r="AD189" s="116"/>
      <c r="AE189" s="116"/>
      <c r="AF189" s="116"/>
      <c r="AG189" s="116"/>
      <c r="AH189" s="116"/>
    </row>
    <row r="190" spans="1:34">
      <c r="A190" s="119">
        <v>4</v>
      </c>
      <c r="B190" s="116"/>
      <c r="C190" s="127">
        <f>+E190-E189</f>
        <v>166.80539124999996</v>
      </c>
      <c r="D190" s="119">
        <f>+G190-G189</f>
        <v>151.72844603749996</v>
      </c>
      <c r="E190" s="116">
        <v>711.11500000000001</v>
      </c>
      <c r="F190" s="116"/>
      <c r="G190" s="116">
        <v>642.16999999999996</v>
      </c>
      <c r="H190" s="116"/>
      <c r="I190" s="116">
        <v>132</v>
      </c>
      <c r="J190" s="116">
        <v>4</v>
      </c>
      <c r="K190" s="116"/>
      <c r="L190" s="136">
        <v>17946.539285714287</v>
      </c>
      <c r="M190" s="137">
        <v>826.79347775776318</v>
      </c>
      <c r="N190" s="124">
        <f t="shared" si="10"/>
        <v>840.57336905372574</v>
      </c>
      <c r="O190" s="136">
        <v>5621.9463602613596</v>
      </c>
      <c r="P190" s="137">
        <v>1071.0118577206574</v>
      </c>
      <c r="Q190" s="124">
        <f t="shared" ref="Q190:Q194" si="11">P190/I190*$I$69</f>
        <v>1088.8620553493349</v>
      </c>
      <c r="R190" s="136">
        <v>8525.2188225711561</v>
      </c>
      <c r="S190" s="137">
        <v>190.41732478586363</v>
      </c>
      <c r="T190" s="124">
        <f t="shared" ref="T190:T194" si="12">S190/I190*$I$69</f>
        <v>193.59094686562798</v>
      </c>
      <c r="U190" s="116"/>
      <c r="V190" s="116"/>
      <c r="W190" s="116"/>
      <c r="X190" s="116"/>
      <c r="Y190" s="116"/>
      <c r="Z190" s="116"/>
      <c r="AA190" s="116"/>
      <c r="AB190" s="116"/>
      <c r="AC190" s="116"/>
      <c r="AD190" s="116"/>
      <c r="AE190" s="116"/>
      <c r="AF190" s="116"/>
      <c r="AG190" s="116"/>
      <c r="AH190" s="116"/>
    </row>
    <row r="191" spans="1:34">
      <c r="A191" s="116">
        <v>1</v>
      </c>
      <c r="B191" s="116">
        <v>2013</v>
      </c>
      <c r="C191" s="127">
        <f>+E191</f>
        <v>199.180995</v>
      </c>
      <c r="D191" s="119">
        <f>+G191</f>
        <v>183.65288545000001</v>
      </c>
      <c r="E191" s="116">
        <v>199.180995</v>
      </c>
      <c r="F191" s="116"/>
      <c r="G191" s="116">
        <v>183.65288545000001</v>
      </c>
      <c r="H191" s="116"/>
      <c r="I191" s="116">
        <v>133</v>
      </c>
      <c r="J191" s="116">
        <v>1</v>
      </c>
      <c r="K191" s="116">
        <v>2013</v>
      </c>
      <c r="L191" s="136">
        <v>21974.571815476189</v>
      </c>
      <c r="M191" s="137">
        <v>1023.0812127444322</v>
      </c>
      <c r="N191" s="124">
        <f t="shared" si="10"/>
        <v>1032.3120206789683</v>
      </c>
      <c r="O191" s="136">
        <v>5520.4451678348678</v>
      </c>
      <c r="P191" s="137">
        <v>1148.1840804128565</v>
      </c>
      <c r="Q191" s="124">
        <f t="shared" si="11"/>
        <v>1158.543636025604</v>
      </c>
      <c r="R191" s="136">
        <v>5958.3970505452735</v>
      </c>
      <c r="S191" s="137">
        <v>167.84779905693762</v>
      </c>
      <c r="T191" s="124">
        <f t="shared" si="12"/>
        <v>169.36221528903027</v>
      </c>
      <c r="U191" s="116"/>
      <c r="V191" s="116"/>
      <c r="W191" s="116"/>
      <c r="X191" s="116"/>
      <c r="Y191" s="116"/>
      <c r="Z191" s="116"/>
      <c r="AA191" s="116"/>
      <c r="AB191" s="116"/>
      <c r="AC191" s="116"/>
      <c r="AD191" s="116"/>
      <c r="AE191" s="116"/>
      <c r="AF191" s="116"/>
      <c r="AG191" s="116"/>
      <c r="AH191" s="116"/>
    </row>
    <row r="192" spans="1:34">
      <c r="A192" s="116">
        <v>2</v>
      </c>
      <c r="B192" s="116"/>
      <c r="C192" s="127">
        <f>+E192-E191</f>
        <v>205.01500500000003</v>
      </c>
      <c r="D192" s="119">
        <f>+G192-G191</f>
        <v>185.63411454999996</v>
      </c>
      <c r="E192" s="116">
        <v>404.19600000000003</v>
      </c>
      <c r="F192" s="116"/>
      <c r="G192" s="116">
        <v>369.28699999999998</v>
      </c>
      <c r="H192" s="116"/>
      <c r="I192" s="116">
        <v>134.30000000000001</v>
      </c>
      <c r="J192" s="116">
        <v>2</v>
      </c>
      <c r="K192" s="116"/>
      <c r="L192" s="136">
        <v>23960.428184523811</v>
      </c>
      <c r="M192" s="137">
        <v>1011.581560458749</v>
      </c>
      <c r="N192" s="124">
        <f t="shared" si="10"/>
        <v>1010.8283351717356</v>
      </c>
      <c r="O192" s="136">
        <v>6388.5548321651322</v>
      </c>
      <c r="P192" s="137">
        <v>1133.7065185307133</v>
      </c>
      <c r="Q192" s="124">
        <f t="shared" si="11"/>
        <v>1132.8623587998636</v>
      </c>
      <c r="R192" s="136">
        <v>10154.602949454726</v>
      </c>
      <c r="S192" s="137">
        <v>176.1673175310234</v>
      </c>
      <c r="T192" s="124">
        <f t="shared" si="12"/>
        <v>176.03614305780593</v>
      </c>
      <c r="U192" s="116"/>
      <c r="V192" s="116"/>
      <c r="W192" s="116"/>
      <c r="X192" s="116"/>
      <c r="Y192" s="116"/>
      <c r="Z192" s="116"/>
      <c r="AA192" s="116"/>
      <c r="AB192" s="116"/>
      <c r="AC192" s="116"/>
      <c r="AD192" s="116"/>
      <c r="AE192" s="116"/>
      <c r="AF192" s="116"/>
      <c r="AG192" s="116"/>
      <c r="AH192" s="116"/>
    </row>
    <row r="193" spans="1:34">
      <c r="A193" s="116">
        <v>3</v>
      </c>
      <c r="B193" s="116"/>
      <c r="C193" s="127">
        <f>+E193-E192</f>
        <v>172.04383408071794</v>
      </c>
      <c r="D193" s="119">
        <f>+G193-G192</f>
        <v>153.21019910313902</v>
      </c>
      <c r="E193" s="116">
        <v>576.23983408071797</v>
      </c>
      <c r="F193" s="116"/>
      <c r="G193" s="116">
        <v>522.497199103139</v>
      </c>
      <c r="H193" s="116"/>
      <c r="I193" s="116">
        <v>134.19999999999999</v>
      </c>
      <c r="J193" s="116">
        <v>3</v>
      </c>
      <c r="K193" s="116"/>
      <c r="L193" s="136">
        <v>18388.581422924897</v>
      </c>
      <c r="M193" s="137">
        <v>735.52528494140915</v>
      </c>
      <c r="N193" s="124">
        <f t="shared" si="10"/>
        <v>735.52528494140915</v>
      </c>
      <c r="O193" s="136">
        <v>11492.955434782609</v>
      </c>
      <c r="P193" s="137">
        <v>1323.3889549928699</v>
      </c>
      <c r="Q193" s="124">
        <f t="shared" si="11"/>
        <v>1323.3889549928699</v>
      </c>
      <c r="R193" s="136">
        <v>11786.02326086957</v>
      </c>
      <c r="S193" s="137">
        <v>172.41802435151402</v>
      </c>
      <c r="T193" s="124">
        <f t="shared" si="12"/>
        <v>172.41802435151402</v>
      </c>
      <c r="U193" s="116"/>
      <c r="V193" s="116"/>
      <c r="W193" s="116"/>
      <c r="X193" s="116"/>
      <c r="Y193" s="116"/>
      <c r="Z193" s="116"/>
      <c r="AA193" s="116"/>
      <c r="AB193" s="116"/>
      <c r="AC193" s="116"/>
      <c r="AD193" s="116"/>
      <c r="AE193" s="116"/>
      <c r="AF193" s="116"/>
      <c r="AG193" s="116"/>
      <c r="AH193" s="116"/>
    </row>
    <row r="194" spans="1:34">
      <c r="A194" s="119">
        <v>4</v>
      </c>
      <c r="B194" s="116"/>
      <c r="C194" s="127">
        <f>+E194-E193</f>
        <v>204.099832585949</v>
      </c>
      <c r="D194" s="119">
        <f>+G194-G193</f>
        <v>188.07946756352794</v>
      </c>
      <c r="E194" s="116">
        <v>780.33966666666697</v>
      </c>
      <c r="F194" s="116"/>
      <c r="G194" s="116">
        <v>710.57666666666694</v>
      </c>
      <c r="H194" s="116"/>
      <c r="I194" s="116">
        <v>135.30000000000001</v>
      </c>
      <c r="J194" s="116">
        <v>4</v>
      </c>
      <c r="K194" s="116"/>
      <c r="L194" s="136">
        <f>L196-SUM(L191:L193)</f>
        <v>18420.418577075106</v>
      </c>
      <c r="M194" s="136">
        <f>M196-SUM(M191:M193)</f>
        <v>895.71090498583999</v>
      </c>
      <c r="N194" s="124">
        <f>M194/I194*$I$69</f>
        <v>888.42870250628016</v>
      </c>
      <c r="O194" s="136">
        <f>O196-SUM(O191:O193)</f>
        <v>7745.0445652173912</v>
      </c>
      <c r="P194" s="136">
        <f>P196-SUM(P191:P193)</f>
        <v>1212.6630411771803</v>
      </c>
      <c r="Q194" s="124">
        <f t="shared" si="11"/>
        <v>1202.8039920619185</v>
      </c>
      <c r="R194" s="136">
        <f>R196-SUM(R191:R193)</f>
        <v>11621.97673913043</v>
      </c>
      <c r="S194" s="136">
        <f>S196-SUM(S191:S193)</f>
        <v>180.100371437175</v>
      </c>
      <c r="T194" s="124">
        <f t="shared" si="12"/>
        <v>178.63614077508413</v>
      </c>
      <c r="U194" s="116"/>
      <c r="V194" s="116"/>
      <c r="W194" s="116"/>
      <c r="X194" s="116"/>
      <c r="Y194" s="116"/>
      <c r="Z194" s="116"/>
      <c r="AA194" s="116"/>
      <c r="AB194" s="116"/>
      <c r="AC194" s="116"/>
      <c r="AD194" s="116"/>
      <c r="AE194" s="116"/>
      <c r="AF194" s="116"/>
      <c r="AG194" s="116"/>
      <c r="AH194" s="116"/>
    </row>
    <row r="195" spans="1:34">
      <c r="A195" s="116"/>
      <c r="B195" s="116"/>
      <c r="C195" s="116"/>
      <c r="D195" s="116"/>
      <c r="E195" s="120" t="s">
        <v>110</v>
      </c>
      <c r="F195" s="116"/>
      <c r="G195" s="116"/>
      <c r="H195" s="116"/>
      <c r="I195" s="116"/>
      <c r="J195" s="138"/>
      <c r="K195" s="139" t="s">
        <v>161</v>
      </c>
      <c r="L195" s="140">
        <f>L197-L191-L192</f>
        <v>-45935</v>
      </c>
      <c r="M195" s="140">
        <f>M197-M191-M192</f>
        <v>-2034.6627732031811</v>
      </c>
      <c r="N195" s="141" t="s">
        <v>175</v>
      </c>
      <c r="O195" s="140">
        <f>O197-O191-O192</f>
        <v>-11909</v>
      </c>
      <c r="P195" s="140">
        <f>P197-P191-P192</f>
        <v>-2281.8905989435698</v>
      </c>
      <c r="Q195" s="141" t="s">
        <v>175</v>
      </c>
      <c r="R195" s="140">
        <f>R197-R191-R192</f>
        <v>-16113</v>
      </c>
      <c r="S195" s="140">
        <f>S197-S191-S192</f>
        <v>-344.01511658796102</v>
      </c>
      <c r="T195" s="142" t="s">
        <v>175</v>
      </c>
      <c r="U195" s="116"/>
      <c r="V195" s="116"/>
      <c r="W195" s="116"/>
      <c r="X195" s="116"/>
      <c r="Y195" s="116"/>
      <c r="Z195" s="116"/>
      <c r="AA195" s="116"/>
      <c r="AB195" s="116"/>
      <c r="AC195" s="116"/>
      <c r="AD195" s="116"/>
      <c r="AE195" s="116"/>
      <c r="AF195" s="116"/>
      <c r="AG195" s="116"/>
      <c r="AH195" s="116"/>
    </row>
    <row r="196" spans="1:34">
      <c r="A196" s="116"/>
      <c r="B196" s="116"/>
      <c r="C196" s="116"/>
      <c r="D196" s="116"/>
      <c r="E196" s="135">
        <f>IF('Tab5'!E8="",'Tab5'!E7,'Tab5'!E8)/1000</f>
        <v>780.33966666666697</v>
      </c>
      <c r="F196" s="116"/>
      <c r="G196" s="135">
        <f>IF('Tab5'!E10="",'Tab5'!E9,'Tab5'!E10)/1000</f>
        <v>710.57666666666694</v>
      </c>
      <c r="H196" s="116"/>
      <c r="I196" s="116"/>
      <c r="J196" s="116"/>
      <c r="K196" s="122" t="s">
        <v>189</v>
      </c>
      <c r="L196" s="125">
        <f>SUM('Tab7'!E11,'Tab11'!E11)</f>
        <v>82744</v>
      </c>
      <c r="M196" s="124">
        <f>SUM('Tab7'!E39,'Tab11'!E39)</f>
        <v>3665.8989631304303</v>
      </c>
      <c r="N196" s="143" t="s">
        <v>174</v>
      </c>
      <c r="O196" s="125">
        <f>SUM('Tab7'!E9,'Tab11'!E9)</f>
        <v>31147</v>
      </c>
      <c r="P196" s="124">
        <f>SUM('Tab7'!E37,'Tab11'!E37)</f>
        <v>4817.94259511362</v>
      </c>
      <c r="Q196" s="143" t="s">
        <v>174</v>
      </c>
      <c r="R196" s="125">
        <f>SUM('Tab7'!E13,'Tab11'!E13)</f>
        <v>39521</v>
      </c>
      <c r="S196" s="124">
        <f>SUM('Tab7'!E41,'Tab11'!E41)</f>
        <v>696.53351237665004</v>
      </c>
      <c r="T196" s="143" t="s">
        <v>174</v>
      </c>
      <c r="U196" s="116"/>
      <c r="V196" s="116"/>
      <c r="W196" s="116"/>
      <c r="X196" s="116"/>
      <c r="Y196" s="116"/>
      <c r="Z196" s="116"/>
      <c r="AA196" s="116"/>
      <c r="AB196" s="116"/>
      <c r="AC196" s="116"/>
      <c r="AD196" s="116"/>
      <c r="AE196" s="116"/>
      <c r="AF196" s="116"/>
      <c r="AG196" s="116"/>
      <c r="AH196" s="116"/>
    </row>
    <row r="197" spans="1:34">
      <c r="A197" s="116"/>
      <c r="B197" s="116"/>
      <c r="C197" s="116"/>
      <c r="D197" s="116"/>
      <c r="E197" s="116"/>
      <c r="F197" s="116"/>
      <c r="G197" s="116"/>
      <c r="H197" s="116"/>
      <c r="I197" s="116"/>
      <c r="J197" s="116"/>
      <c r="K197" s="122" t="s">
        <v>188</v>
      </c>
      <c r="L197" s="125">
        <f>SUM('Tab7'!E12,'Tab11'!E12)</f>
        <v>0</v>
      </c>
      <c r="M197" s="124">
        <f>SUM('Tab7'!E40,'Tab11'!E40)</f>
        <v>0</v>
      </c>
      <c r="N197" s="143" t="s">
        <v>174</v>
      </c>
      <c r="O197" s="125">
        <f>SUM('Tab7'!E10,'Tab11'!E10)</f>
        <v>0</v>
      </c>
      <c r="P197" s="124">
        <f>SUM('Tab7'!E38,'Tab11'!E38)</f>
        <v>0</v>
      </c>
      <c r="Q197" s="143" t="s">
        <v>174</v>
      </c>
      <c r="R197" s="125">
        <f>SUM('Tab7'!E14,'Tab11'!E14)</f>
        <v>0</v>
      </c>
      <c r="S197" s="124">
        <f>SUM('Tab7'!E42,'Tab11'!E42)</f>
        <v>0</v>
      </c>
      <c r="T197" s="143" t="s">
        <v>174</v>
      </c>
      <c r="U197" s="116"/>
      <c r="V197" s="116"/>
      <c r="W197" s="116"/>
      <c r="X197" s="116"/>
      <c r="Y197" s="116"/>
      <c r="Z197" s="116"/>
      <c r="AA197" s="116"/>
      <c r="AB197" s="116"/>
      <c r="AC197" s="116"/>
      <c r="AD197" s="116"/>
      <c r="AE197" s="116"/>
      <c r="AF197" s="116"/>
      <c r="AG197" s="116"/>
      <c r="AH197" s="116"/>
    </row>
    <row r="198" spans="1:34">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116"/>
    </row>
    <row r="199" spans="1:34">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116"/>
    </row>
    <row r="200" spans="1:34">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116"/>
    </row>
    <row r="201" spans="1:34">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116"/>
    </row>
    <row r="202" spans="1:34">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116"/>
    </row>
    <row r="203" spans="1:34">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116"/>
    </row>
    <row r="204" spans="1:34">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116"/>
    </row>
    <row r="205" spans="1:34">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116"/>
    </row>
    <row r="206" spans="1:34">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116"/>
    </row>
    <row r="207" spans="1:34">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116"/>
    </row>
    <row r="208" spans="1:34">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116"/>
    </row>
    <row r="209" spans="1:34">
      <c r="A209" s="116"/>
      <c r="B209" s="116"/>
      <c r="C209" s="116"/>
      <c r="D209" s="116"/>
      <c r="E209" s="116"/>
      <c r="F209" s="116"/>
      <c r="G209" s="116"/>
      <c r="H209" s="116"/>
      <c r="I209" s="116"/>
      <c r="J209" s="116"/>
      <c r="K209" s="116"/>
      <c r="L209" s="116"/>
      <c r="M209" s="116"/>
      <c r="N209" s="116"/>
      <c r="O209" s="116"/>
      <c r="P209" s="116"/>
      <c r="Q209" s="116"/>
      <c r="R209" s="116"/>
      <c r="S209" s="116"/>
      <c r="T209" s="116"/>
      <c r="U209" s="116"/>
      <c r="V209" s="116"/>
      <c r="W209" s="116"/>
      <c r="X209" s="116"/>
      <c r="Y209" s="116"/>
      <c r="Z209" s="116"/>
      <c r="AA209" s="116"/>
      <c r="AB209" s="116"/>
      <c r="AC209" s="116"/>
      <c r="AD209" s="116"/>
      <c r="AE209" s="116"/>
      <c r="AF209" s="116"/>
      <c r="AG209" s="116"/>
      <c r="AH209" s="116"/>
    </row>
  </sheetData>
  <mergeCells count="6">
    <mergeCell ref="AD61:AD62"/>
    <mergeCell ref="AC61:AC62"/>
    <mergeCell ref="A4:A5"/>
    <mergeCell ref="A61:A62"/>
    <mergeCell ref="O61:O62"/>
    <mergeCell ref="P61:P62"/>
  </mergeCells>
  <phoneticPr fontId="0" type="noConversion"/>
  <hyperlinks>
    <hyperlink ref="A2" location="Innhold!A1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145</v>
      </c>
      <c r="B4" s="5"/>
      <c r="C4" s="5"/>
      <c r="D4" s="5"/>
      <c r="E4" s="5"/>
      <c r="F4" s="5"/>
      <c r="G4" s="5"/>
      <c r="H4" s="6"/>
    </row>
    <row r="5" spans="1:8">
      <c r="A5" s="7"/>
      <c r="B5" s="8"/>
      <c r="C5" s="9"/>
      <c r="D5" s="8"/>
      <c r="E5" s="10"/>
      <c r="F5" s="11"/>
      <c r="G5" s="150" t="s">
        <v>1</v>
      </c>
      <c r="H5" s="151"/>
    </row>
    <row r="6" spans="1:8">
      <c r="A6" s="12"/>
      <c r="B6" s="13"/>
      <c r="C6" s="14" t="s">
        <v>195</v>
      </c>
      <c r="D6" s="15" t="s">
        <v>196</v>
      </c>
      <c r="E6" s="15" t="s">
        <v>197</v>
      </c>
      <c r="F6" s="16"/>
      <c r="G6" s="17" t="s">
        <v>198</v>
      </c>
      <c r="H6" s="18" t="s">
        <v>199</v>
      </c>
    </row>
    <row r="7" spans="1:8">
      <c r="A7" s="152" t="s">
        <v>2</v>
      </c>
      <c r="B7" s="19" t="s">
        <v>3</v>
      </c>
      <c r="C7" s="20">
        <v>1471717.3398779801</v>
      </c>
      <c r="D7" s="20">
        <v>1482594</v>
      </c>
      <c r="E7" s="79">
        <v>1617600.70686132</v>
      </c>
      <c r="F7" s="22" t="s">
        <v>200</v>
      </c>
      <c r="G7" s="23">
        <v>9.9124582574691402</v>
      </c>
      <c r="H7" s="24">
        <v>9.1061144764729818</v>
      </c>
    </row>
    <row r="8" spans="1:8">
      <c r="A8" s="153"/>
      <c r="B8" s="25" t="s">
        <v>200</v>
      </c>
      <c r="C8" s="26" t="s">
        <v>200</v>
      </c>
      <c r="D8" s="26" t="s">
        <v>200</v>
      </c>
      <c r="E8" s="26" t="s">
        <v>200</v>
      </c>
      <c r="F8" s="27"/>
      <c r="G8" s="28" t="s">
        <v>200</v>
      </c>
      <c r="H8" s="29" t="s">
        <v>200</v>
      </c>
    </row>
    <row r="9" spans="1:8">
      <c r="A9" s="30" t="s">
        <v>4</v>
      </c>
      <c r="B9" s="31" t="s">
        <v>3</v>
      </c>
      <c r="C9" s="20">
        <v>695200.58140000002</v>
      </c>
      <c r="D9" s="20">
        <v>650088</v>
      </c>
      <c r="E9" s="20">
        <v>718538.66666666698</v>
      </c>
      <c r="F9" s="22" t="s">
        <v>200</v>
      </c>
      <c r="G9" s="32">
        <v>3.357029020267575</v>
      </c>
      <c r="H9" s="33">
        <v>10.529446269838388</v>
      </c>
    </row>
    <row r="10" spans="1:8">
      <c r="A10" s="34"/>
      <c r="B10" s="25" t="s">
        <v>200</v>
      </c>
      <c r="C10" s="26" t="s">
        <v>200</v>
      </c>
      <c r="D10" s="26" t="s">
        <v>200</v>
      </c>
      <c r="E10" s="26" t="s">
        <v>200</v>
      </c>
      <c r="F10" s="27"/>
      <c r="G10" s="28" t="s">
        <v>200</v>
      </c>
      <c r="H10" s="29" t="s">
        <v>200</v>
      </c>
    </row>
    <row r="11" spans="1:8">
      <c r="A11" s="30" t="s">
        <v>5</v>
      </c>
      <c r="B11" s="31" t="s">
        <v>3</v>
      </c>
      <c r="C11" s="20">
        <v>69654.963600000003</v>
      </c>
      <c r="D11" s="20">
        <v>61027</v>
      </c>
      <c r="E11" s="20">
        <v>61801</v>
      </c>
      <c r="F11" s="22" t="s">
        <v>200</v>
      </c>
      <c r="G11" s="37">
        <v>-11.275526099047454</v>
      </c>
      <c r="H11" s="33">
        <v>1.2682910842741819</v>
      </c>
    </row>
    <row r="12" spans="1:8">
      <c r="A12" s="34"/>
      <c r="B12" s="25" t="s">
        <v>200</v>
      </c>
      <c r="C12" s="26" t="s">
        <v>200</v>
      </c>
      <c r="D12" s="26" t="s">
        <v>200</v>
      </c>
      <c r="E12" s="26" t="s">
        <v>200</v>
      </c>
      <c r="F12" s="27"/>
      <c r="G12" s="28" t="s">
        <v>200</v>
      </c>
      <c r="H12" s="29" t="s">
        <v>200</v>
      </c>
    </row>
    <row r="13" spans="1:8">
      <c r="A13" s="30" t="s">
        <v>6</v>
      </c>
      <c r="B13" s="31" t="s">
        <v>3</v>
      </c>
      <c r="C13" s="20">
        <v>263217.77142857102</v>
      </c>
      <c r="D13" s="20">
        <v>243389</v>
      </c>
      <c r="E13" s="20">
        <v>279819</v>
      </c>
      <c r="F13" s="22" t="s">
        <v>200</v>
      </c>
      <c r="G13" s="23">
        <v>6.3070318091854318</v>
      </c>
      <c r="H13" s="24">
        <v>14.967808734166297</v>
      </c>
    </row>
    <row r="14" spans="1:8">
      <c r="A14" s="34"/>
      <c r="B14" s="25" t="s">
        <v>200</v>
      </c>
      <c r="C14" s="26" t="s">
        <v>200</v>
      </c>
      <c r="D14" s="26" t="s">
        <v>200</v>
      </c>
      <c r="E14" s="26" t="s">
        <v>200</v>
      </c>
      <c r="F14" s="27"/>
      <c r="G14" s="38" t="s">
        <v>200</v>
      </c>
      <c r="H14" s="24" t="s">
        <v>200</v>
      </c>
    </row>
    <row r="15" spans="1:8">
      <c r="A15" s="30" t="s">
        <v>169</v>
      </c>
      <c r="B15" s="31" t="s">
        <v>3</v>
      </c>
      <c r="C15" s="20">
        <v>49158.0462438424</v>
      </c>
      <c r="D15" s="20">
        <v>38994</v>
      </c>
      <c r="E15" s="20">
        <v>42880</v>
      </c>
      <c r="F15" s="22" t="s">
        <v>200</v>
      </c>
      <c r="G15" s="37">
        <v>-12.771146787854278</v>
      </c>
      <c r="H15" s="33">
        <v>9.9656357388316223</v>
      </c>
    </row>
    <row r="16" spans="1:8">
      <c r="A16" s="34"/>
      <c r="B16" s="25" t="s">
        <v>200</v>
      </c>
      <c r="C16" s="26" t="s">
        <v>200</v>
      </c>
      <c r="D16" s="26" t="s">
        <v>200</v>
      </c>
      <c r="E16" s="26" t="s">
        <v>200</v>
      </c>
      <c r="F16" s="27"/>
      <c r="G16" s="28" t="s">
        <v>200</v>
      </c>
      <c r="H16" s="29" t="s">
        <v>200</v>
      </c>
    </row>
    <row r="17" spans="1:8">
      <c r="A17" s="30" t="s">
        <v>7</v>
      </c>
      <c r="B17" s="31" t="s">
        <v>3</v>
      </c>
      <c r="C17" s="20">
        <v>8831.7474299107107</v>
      </c>
      <c r="D17" s="20">
        <v>8926</v>
      </c>
      <c r="E17" s="20">
        <v>9389</v>
      </c>
      <c r="F17" s="22" t="s">
        <v>200</v>
      </c>
      <c r="G17" s="23">
        <v>6.3096524726469028</v>
      </c>
      <c r="H17" s="24">
        <v>5.1870938830383011</v>
      </c>
    </row>
    <row r="18" spans="1:8">
      <c r="A18" s="30"/>
      <c r="B18" s="25" t="s">
        <v>200</v>
      </c>
      <c r="C18" s="26" t="s">
        <v>200</v>
      </c>
      <c r="D18" s="26" t="s">
        <v>200</v>
      </c>
      <c r="E18" s="26" t="s">
        <v>200</v>
      </c>
      <c r="F18" s="27"/>
      <c r="G18" s="38" t="s">
        <v>200</v>
      </c>
      <c r="H18" s="24" t="s">
        <v>200</v>
      </c>
    </row>
    <row r="19" spans="1:8">
      <c r="A19" s="39" t="s">
        <v>8</v>
      </c>
      <c r="B19" s="31" t="s">
        <v>3</v>
      </c>
      <c r="C19" s="20">
        <v>4563.4662578571397</v>
      </c>
      <c r="D19" s="20">
        <v>4526</v>
      </c>
      <c r="E19" s="20">
        <v>4064</v>
      </c>
      <c r="F19" s="22" t="s">
        <v>200</v>
      </c>
      <c r="G19" s="37">
        <v>-10.944887715498822</v>
      </c>
      <c r="H19" s="33">
        <v>-10.207688908528496</v>
      </c>
    </row>
    <row r="20" spans="1:8">
      <c r="A20" s="34"/>
      <c r="B20" s="25" t="s">
        <v>200</v>
      </c>
      <c r="C20" s="26" t="s">
        <v>200</v>
      </c>
      <c r="D20" s="26" t="s">
        <v>200</v>
      </c>
      <c r="E20" s="26" t="s">
        <v>200</v>
      </c>
      <c r="F20" s="27"/>
      <c r="G20" s="28" t="s">
        <v>200</v>
      </c>
      <c r="H20" s="29" t="s">
        <v>200</v>
      </c>
    </row>
    <row r="21" spans="1:8">
      <c r="A21" s="39" t="s">
        <v>9</v>
      </c>
      <c r="B21" s="31" t="s">
        <v>3</v>
      </c>
      <c r="C21" s="20">
        <v>14876.9826586621</v>
      </c>
      <c r="D21" s="20">
        <v>16278</v>
      </c>
      <c r="E21" s="20">
        <v>18904</v>
      </c>
      <c r="F21" s="22" t="s">
        <v>200</v>
      </c>
      <c r="G21" s="23">
        <v>27.068777545379305</v>
      </c>
      <c r="H21" s="24">
        <v>16.132202973338238</v>
      </c>
    </row>
    <row r="22" spans="1:8">
      <c r="A22" s="34"/>
      <c r="B22" s="25" t="s">
        <v>200</v>
      </c>
      <c r="C22" s="26" t="s">
        <v>200</v>
      </c>
      <c r="D22" s="26" t="s">
        <v>200</v>
      </c>
      <c r="E22" s="26" t="s">
        <v>200</v>
      </c>
      <c r="F22" s="27"/>
      <c r="G22" s="38" t="s">
        <v>200</v>
      </c>
      <c r="H22" s="24" t="s">
        <v>200</v>
      </c>
    </row>
    <row r="23" spans="1:8">
      <c r="A23" s="30" t="s">
        <v>10</v>
      </c>
      <c r="B23" s="31" t="s">
        <v>3</v>
      </c>
      <c r="C23" s="20">
        <v>271585.66666666698</v>
      </c>
      <c r="D23" s="20">
        <v>299510</v>
      </c>
      <c r="E23" s="20">
        <v>317630</v>
      </c>
      <c r="F23" s="22" t="s">
        <v>200</v>
      </c>
      <c r="G23" s="37">
        <v>16.953889319146569</v>
      </c>
      <c r="H23" s="33">
        <v>6.0498814730726878</v>
      </c>
    </row>
    <row r="24" spans="1:8">
      <c r="A24" s="30"/>
      <c r="B24" s="25" t="s">
        <v>200</v>
      </c>
      <c r="C24" s="26" t="s">
        <v>200</v>
      </c>
      <c r="D24" s="26" t="s">
        <v>200</v>
      </c>
      <c r="E24" s="26" t="s">
        <v>200</v>
      </c>
      <c r="F24" s="27"/>
      <c r="G24" s="28" t="s">
        <v>200</v>
      </c>
      <c r="H24" s="29" t="s">
        <v>200</v>
      </c>
    </row>
    <row r="25" spans="1:8">
      <c r="A25" s="39" t="s">
        <v>11</v>
      </c>
      <c r="B25" s="31" t="s">
        <v>3</v>
      </c>
      <c r="C25" s="20">
        <v>9746.9906759906808</v>
      </c>
      <c r="D25" s="20">
        <v>8915</v>
      </c>
      <c r="E25" s="20">
        <v>9251</v>
      </c>
      <c r="F25" s="22" t="s">
        <v>200</v>
      </c>
      <c r="G25" s="23">
        <v>-5.0886544624735564</v>
      </c>
      <c r="H25" s="24">
        <v>3.7689287717330302</v>
      </c>
    </row>
    <row r="26" spans="1:8">
      <c r="A26" s="34"/>
      <c r="B26" s="25" t="s">
        <v>200</v>
      </c>
      <c r="C26" s="26" t="s">
        <v>200</v>
      </c>
      <c r="D26" s="26" t="s">
        <v>200</v>
      </c>
      <c r="E26" s="26" t="s">
        <v>200</v>
      </c>
      <c r="F26" s="27"/>
      <c r="G26" s="38" t="s">
        <v>200</v>
      </c>
      <c r="H26" s="24" t="s">
        <v>200</v>
      </c>
    </row>
    <row r="27" spans="1:8">
      <c r="A27" s="30" t="s">
        <v>12</v>
      </c>
      <c r="B27" s="31" t="s">
        <v>3</v>
      </c>
      <c r="C27" s="20">
        <v>7847.1235164835198</v>
      </c>
      <c r="D27" s="20">
        <v>6707</v>
      </c>
      <c r="E27" s="20">
        <v>7206</v>
      </c>
      <c r="F27" s="22" t="s">
        <v>200</v>
      </c>
      <c r="G27" s="37">
        <v>-8.1701723585309765</v>
      </c>
      <c r="H27" s="33">
        <v>7.4399880721634162</v>
      </c>
    </row>
    <row r="28" spans="1:8">
      <c r="A28" s="30"/>
      <c r="B28" s="25" t="s">
        <v>200</v>
      </c>
      <c r="C28" s="26" t="s">
        <v>200</v>
      </c>
      <c r="D28" s="26" t="s">
        <v>200</v>
      </c>
      <c r="E28" s="26" t="s">
        <v>200</v>
      </c>
      <c r="F28" s="27"/>
      <c r="G28" s="28" t="s">
        <v>200</v>
      </c>
      <c r="H28" s="29" t="s">
        <v>200</v>
      </c>
    </row>
    <row r="29" spans="1:8">
      <c r="A29" s="39" t="s">
        <v>13</v>
      </c>
      <c r="B29" s="31" t="s">
        <v>3</v>
      </c>
      <c r="C29" s="20">
        <v>145</v>
      </c>
      <c r="D29" s="20">
        <v>110</v>
      </c>
      <c r="E29" s="20">
        <v>131</v>
      </c>
      <c r="F29" s="22" t="s">
        <v>200</v>
      </c>
      <c r="G29" s="23">
        <v>-9.6551724137930961</v>
      </c>
      <c r="H29" s="24">
        <v>19.090909090909093</v>
      </c>
    </row>
    <row r="30" spans="1:8">
      <c r="A30" s="34"/>
      <c r="B30" s="25" t="s">
        <v>200</v>
      </c>
      <c r="C30" s="26" t="s">
        <v>200</v>
      </c>
      <c r="D30" s="26" t="s">
        <v>200</v>
      </c>
      <c r="E30" s="26" t="s">
        <v>200</v>
      </c>
      <c r="F30" s="27"/>
      <c r="G30" s="28" t="s">
        <v>200</v>
      </c>
      <c r="H30" s="29" t="s">
        <v>200</v>
      </c>
    </row>
    <row r="31" spans="1:8">
      <c r="A31" s="30" t="s">
        <v>14</v>
      </c>
      <c r="B31" s="31" t="s">
        <v>3</v>
      </c>
      <c r="C31" s="40">
        <v>76889</v>
      </c>
      <c r="D31" s="40">
        <v>144124</v>
      </c>
      <c r="E31" s="20">
        <v>147987.040194656</v>
      </c>
      <c r="F31" s="22" t="s">
        <v>200</v>
      </c>
      <c r="G31" s="23">
        <v>92.468415761235036</v>
      </c>
      <c r="H31" s="24">
        <v>2.6803587151730426</v>
      </c>
    </row>
    <row r="32" spans="1:8" ht="13.5" thickBot="1">
      <c r="A32" s="41"/>
      <c r="B32" s="42" t="s">
        <v>200</v>
      </c>
      <c r="C32" s="43" t="s">
        <v>200</v>
      </c>
      <c r="D32" s="43" t="s">
        <v>200</v>
      </c>
      <c r="E32" s="43" t="s">
        <v>200</v>
      </c>
      <c r="F32" s="44"/>
      <c r="G32" s="45" t="s">
        <v>200</v>
      </c>
      <c r="H32" s="46" t="s">
        <v>200</v>
      </c>
    </row>
    <row r="33" spans="1:8">
      <c r="A33" s="47"/>
      <c r="B33" s="48"/>
      <c r="C33" s="49"/>
      <c r="D33" s="49"/>
      <c r="E33" s="49"/>
      <c r="F33" s="49"/>
      <c r="G33" s="50"/>
      <c r="H33" s="51"/>
    </row>
    <row r="34" spans="1:8">
      <c r="A34" s="47"/>
      <c r="B34" s="48"/>
      <c r="C34" s="49"/>
      <c r="D34" s="49"/>
      <c r="E34" s="49"/>
      <c r="F34" s="49"/>
      <c r="G34" s="50"/>
      <c r="H34" s="51"/>
    </row>
    <row r="35" spans="1:8">
      <c r="A35" s="47"/>
      <c r="B35" s="48"/>
      <c r="C35" s="49"/>
      <c r="D35" s="49"/>
      <c r="E35" s="49"/>
      <c r="F35" s="49"/>
      <c r="G35" s="50"/>
      <c r="H35" s="51"/>
    </row>
    <row r="36" spans="1:8">
      <c r="A36" s="47"/>
      <c r="B36" s="48"/>
      <c r="C36" s="49"/>
      <c r="D36" s="49"/>
      <c r="E36" s="49"/>
      <c r="F36" s="49"/>
      <c r="G36" s="50"/>
      <c r="H36" s="51"/>
    </row>
    <row r="37" spans="1:8">
      <c r="A37" s="47"/>
      <c r="B37" s="48"/>
      <c r="C37" s="49"/>
      <c r="D37" s="49"/>
      <c r="E37" s="49"/>
      <c r="F37" s="49"/>
      <c r="G37" s="50"/>
      <c r="H37" s="51"/>
    </row>
    <row r="38" spans="1:8">
      <c r="A38" s="47"/>
      <c r="B38" s="48"/>
      <c r="C38" s="49"/>
      <c r="D38" s="49"/>
      <c r="E38" s="49"/>
      <c r="F38" s="49"/>
      <c r="G38" s="50"/>
      <c r="H38" s="51"/>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8">
      <c r="A49" s="47"/>
      <c r="B49" s="48"/>
      <c r="C49" s="49"/>
      <c r="D49" s="49"/>
      <c r="E49" s="98"/>
      <c r="F49" s="49"/>
      <c r="G49" s="50"/>
      <c r="H49" s="51"/>
    </row>
    <row r="50" spans="1:8">
      <c r="A50" s="47"/>
      <c r="B50" s="48"/>
      <c r="C50" s="49"/>
      <c r="D50" s="49"/>
      <c r="E50" s="49"/>
      <c r="F50" s="49"/>
      <c r="G50" s="50"/>
      <c r="H50" s="51"/>
    </row>
    <row r="51" spans="1:8">
      <c r="A51" s="47"/>
      <c r="B51" s="48"/>
      <c r="C51" s="49"/>
      <c r="D51" s="49"/>
      <c r="E51" s="49"/>
      <c r="F51" s="49"/>
      <c r="G51" s="50"/>
      <c r="H51" s="51"/>
    </row>
    <row r="52" spans="1:8">
      <c r="A52" s="47"/>
      <c r="B52" s="48"/>
      <c r="C52" s="49"/>
      <c r="D52" s="49"/>
      <c r="E52" s="49"/>
      <c r="F52" s="49"/>
      <c r="G52" s="50"/>
      <c r="H52" s="51"/>
    </row>
    <row r="53" spans="1:8">
      <c r="A53" s="47"/>
      <c r="B53" s="48"/>
      <c r="C53" s="49"/>
      <c r="D53" s="49"/>
      <c r="E53" s="49"/>
      <c r="F53" s="49"/>
      <c r="G53" s="50"/>
      <c r="H53" s="51"/>
    </row>
    <row r="54" spans="1:8">
      <c r="A54" s="47"/>
      <c r="B54" s="48"/>
      <c r="C54" s="49"/>
      <c r="D54" s="49"/>
      <c r="E54" s="49"/>
      <c r="F54" s="49"/>
      <c r="G54" s="50"/>
      <c r="H54" s="51"/>
    </row>
    <row r="55" spans="1:8">
      <c r="A55" s="47"/>
      <c r="B55" s="48"/>
      <c r="C55" s="49"/>
      <c r="D55" s="49"/>
      <c r="E55" s="49"/>
      <c r="F55" s="49"/>
      <c r="G55" s="50"/>
      <c r="H55" s="51"/>
    </row>
    <row r="56" spans="1:8">
      <c r="A56" s="47"/>
      <c r="B56" s="48"/>
      <c r="C56" s="49"/>
      <c r="D56" s="49"/>
      <c r="E56" s="49"/>
      <c r="F56" s="49"/>
      <c r="G56" s="50"/>
      <c r="H56" s="51"/>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201</v>
      </c>
      <c r="G61" s="53"/>
      <c r="H61" s="155">
        <v>9</v>
      </c>
    </row>
    <row r="62" spans="1:8" ht="12.75" customHeight="1">
      <c r="A62" s="54" t="s">
        <v>202</v>
      </c>
      <c r="G62" s="53"/>
      <c r="H62" s="146"/>
    </row>
    <row r="63" spans="1:8">
      <c r="H63" s="87"/>
    </row>
    <row r="64" spans="1:8">
      <c r="A64" s="154"/>
      <c r="H64" s="53"/>
    </row>
    <row r="65" spans="1:8">
      <c r="A65" s="154"/>
      <c r="H65" s="53"/>
    </row>
    <row r="67" spans="1:8" ht="12.75" customHeight="1"/>
    <row r="68" spans="1:8" ht="12.75" customHeight="1"/>
  </sheetData>
  <mergeCells count="4">
    <mergeCell ref="G5:H5"/>
    <mergeCell ref="A7:A8"/>
    <mergeCell ref="A64:A65"/>
    <mergeCell ref="H61:H62"/>
  </mergeCells>
  <phoneticPr fontId="0" type="noConversion"/>
  <hyperlinks>
    <hyperlink ref="A2" location="Innhold!A2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J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10" ht="5.25" customHeight="1"/>
    <row r="2" spans="1:10">
      <c r="A2" s="92" t="s">
        <v>0</v>
      </c>
      <c r="B2" s="2"/>
      <c r="C2" s="2"/>
      <c r="D2" s="2"/>
      <c r="E2" s="2"/>
      <c r="F2" s="2"/>
      <c r="G2" s="2"/>
    </row>
    <row r="3" spans="1:10" ht="6" customHeight="1">
      <c r="A3" s="3"/>
      <c r="B3" s="2"/>
      <c r="C3" s="2"/>
      <c r="D3" s="2"/>
      <c r="E3" s="2"/>
      <c r="F3" s="2"/>
      <c r="G3" s="2"/>
    </row>
    <row r="4" spans="1:10" ht="16.5" thickBot="1">
      <c r="A4" s="4" t="s">
        <v>15</v>
      </c>
      <c r="B4" s="5"/>
      <c r="C4" s="5"/>
      <c r="D4" s="5"/>
      <c r="E4" s="5"/>
      <c r="F4" s="5"/>
      <c r="G4" s="5"/>
      <c r="H4" s="6"/>
    </row>
    <row r="5" spans="1:10">
      <c r="A5" s="7"/>
      <c r="B5" s="8"/>
      <c r="C5" s="156" t="s">
        <v>16</v>
      </c>
      <c r="D5" s="150"/>
      <c r="E5" s="150"/>
      <c r="F5" s="157"/>
      <c r="G5" s="150" t="s">
        <v>1</v>
      </c>
      <c r="H5" s="151"/>
    </row>
    <row r="6" spans="1:10">
      <c r="A6" s="12"/>
      <c r="B6" s="13"/>
      <c r="C6" s="14" t="s">
        <v>195</v>
      </c>
      <c r="D6" s="15" t="s">
        <v>196</v>
      </c>
      <c r="E6" s="15" t="s">
        <v>197</v>
      </c>
      <c r="F6" s="16"/>
      <c r="G6" s="17" t="s">
        <v>198</v>
      </c>
      <c r="H6" s="18" t="s">
        <v>199</v>
      </c>
    </row>
    <row r="7" spans="1:10">
      <c r="A7" s="152" t="s">
        <v>2</v>
      </c>
      <c r="B7" s="19" t="s">
        <v>3</v>
      </c>
      <c r="C7" s="80">
        <v>32184.097303893799</v>
      </c>
      <c r="D7" s="80">
        <v>31102.230901673</v>
      </c>
      <c r="E7" s="81">
        <v>32822.1176976766</v>
      </c>
      <c r="F7" s="22" t="s">
        <v>200</v>
      </c>
      <c r="G7" s="23">
        <v>1.9824088516709963</v>
      </c>
      <c r="H7" s="24">
        <v>5.5297859547145407</v>
      </c>
    </row>
    <row r="8" spans="1:10">
      <c r="A8" s="153"/>
      <c r="B8" s="25" t="s">
        <v>200</v>
      </c>
      <c r="C8" s="82" t="s">
        <v>200</v>
      </c>
      <c r="D8" s="82" t="s">
        <v>200</v>
      </c>
      <c r="E8" s="82" t="s">
        <v>200</v>
      </c>
      <c r="F8" s="27"/>
      <c r="G8" s="28" t="s">
        <v>200</v>
      </c>
      <c r="H8" s="29" t="s">
        <v>200</v>
      </c>
      <c r="J8" s="95"/>
    </row>
    <row r="9" spans="1:10">
      <c r="A9" s="30" t="s">
        <v>4</v>
      </c>
      <c r="B9" s="31" t="s">
        <v>3</v>
      </c>
      <c r="C9" s="80">
        <v>9922.5396924779197</v>
      </c>
      <c r="D9" s="80">
        <v>10224.979813554501</v>
      </c>
      <c r="E9" s="80">
        <v>10758.906293755599</v>
      </c>
      <c r="F9" s="22" t="s">
        <v>200</v>
      </c>
      <c r="G9" s="32">
        <v>8.4289569726963407</v>
      </c>
      <c r="H9" s="33">
        <v>5.2217851764686287</v>
      </c>
    </row>
    <row r="10" spans="1:10">
      <c r="A10" s="34"/>
      <c r="B10" s="25" t="s">
        <v>200</v>
      </c>
      <c r="C10" s="82" t="s">
        <v>200</v>
      </c>
      <c r="D10" s="82" t="s">
        <v>200</v>
      </c>
      <c r="E10" s="82" t="s">
        <v>200</v>
      </c>
      <c r="F10" s="27"/>
      <c r="G10" s="35" t="s">
        <v>200</v>
      </c>
      <c r="H10" s="29" t="s">
        <v>200</v>
      </c>
    </row>
    <row r="11" spans="1:10">
      <c r="A11" s="30" t="s">
        <v>5</v>
      </c>
      <c r="B11" s="31" t="s">
        <v>3</v>
      </c>
      <c r="C11" s="80">
        <v>1909.34378102451</v>
      </c>
      <c r="D11" s="80">
        <v>1807.8335063847701</v>
      </c>
      <c r="E11" s="80">
        <v>1821.6393880452299</v>
      </c>
      <c r="F11" s="22" t="s">
        <v>200</v>
      </c>
      <c r="G11" s="37">
        <v>-4.5934312013848029</v>
      </c>
      <c r="H11" s="33">
        <v>0.76366997357339983</v>
      </c>
    </row>
    <row r="12" spans="1:10">
      <c r="A12" s="34"/>
      <c r="B12" s="25" t="s">
        <v>200</v>
      </c>
      <c r="C12" s="82" t="s">
        <v>200</v>
      </c>
      <c r="D12" s="82" t="s">
        <v>200</v>
      </c>
      <c r="E12" s="82" t="s">
        <v>200</v>
      </c>
      <c r="F12" s="27"/>
      <c r="G12" s="28" t="s">
        <v>200</v>
      </c>
      <c r="H12" s="29" t="s">
        <v>200</v>
      </c>
    </row>
    <row r="13" spans="1:10">
      <c r="A13" s="30" t="s">
        <v>6</v>
      </c>
      <c r="B13" s="31" t="s">
        <v>3</v>
      </c>
      <c r="C13" s="80">
        <v>6670.83506606633</v>
      </c>
      <c r="D13" s="80">
        <v>5933.1488251145902</v>
      </c>
      <c r="E13" s="80">
        <v>6543.1428776511902</v>
      </c>
      <c r="F13" s="22" t="s">
        <v>200</v>
      </c>
      <c r="G13" s="23">
        <v>-1.9141859624845665</v>
      </c>
      <c r="H13" s="24">
        <v>10.281118349071903</v>
      </c>
    </row>
    <row r="14" spans="1:10">
      <c r="A14" s="34"/>
      <c r="B14" s="25" t="s">
        <v>200</v>
      </c>
      <c r="C14" s="82" t="s">
        <v>200</v>
      </c>
      <c r="D14" s="82" t="s">
        <v>200</v>
      </c>
      <c r="E14" s="82" t="s">
        <v>200</v>
      </c>
      <c r="F14" s="27"/>
      <c r="G14" s="38" t="s">
        <v>200</v>
      </c>
      <c r="H14" s="24" t="s">
        <v>200</v>
      </c>
    </row>
    <row r="15" spans="1:10">
      <c r="A15" s="30" t="s">
        <v>169</v>
      </c>
      <c r="B15" s="31" t="s">
        <v>3</v>
      </c>
      <c r="C15" s="80">
        <v>5773.1851242653302</v>
      </c>
      <c r="D15" s="80">
        <v>4591.2209991155596</v>
      </c>
      <c r="E15" s="80">
        <v>4901.7139453122199</v>
      </c>
      <c r="F15" s="22" t="s">
        <v>200</v>
      </c>
      <c r="G15" s="37">
        <v>-15.095153891570561</v>
      </c>
      <c r="H15" s="33">
        <v>6.7627532252634524</v>
      </c>
    </row>
    <row r="16" spans="1:10">
      <c r="A16" s="34"/>
      <c r="B16" s="25" t="s">
        <v>200</v>
      </c>
      <c r="C16" s="82" t="s">
        <v>200</v>
      </c>
      <c r="D16" s="82" t="s">
        <v>200</v>
      </c>
      <c r="E16" s="82" t="s">
        <v>200</v>
      </c>
      <c r="F16" s="27"/>
      <c r="G16" s="28" t="s">
        <v>200</v>
      </c>
      <c r="H16" s="29" t="s">
        <v>200</v>
      </c>
    </row>
    <row r="17" spans="1:8">
      <c r="A17" s="30" t="s">
        <v>7</v>
      </c>
      <c r="B17" s="31" t="s">
        <v>3</v>
      </c>
      <c r="C17" s="80">
        <v>2295.1505355760801</v>
      </c>
      <c r="D17" s="80">
        <v>2320.4183533923601</v>
      </c>
      <c r="E17" s="80">
        <v>2573.20470325621</v>
      </c>
      <c r="F17" s="22" t="s">
        <v>200</v>
      </c>
      <c r="G17" s="23">
        <v>12.114855360035818</v>
      </c>
      <c r="H17" s="24">
        <v>10.893998898702307</v>
      </c>
    </row>
    <row r="18" spans="1:8">
      <c r="A18" s="30"/>
      <c r="B18" s="25" t="s">
        <v>200</v>
      </c>
      <c r="C18" s="82" t="s">
        <v>200</v>
      </c>
      <c r="D18" s="82" t="s">
        <v>200</v>
      </c>
      <c r="E18" s="82" t="s">
        <v>200</v>
      </c>
      <c r="F18" s="27"/>
      <c r="G18" s="38" t="s">
        <v>200</v>
      </c>
      <c r="H18" s="24" t="s">
        <v>200</v>
      </c>
    </row>
    <row r="19" spans="1:8">
      <c r="A19" s="39" t="s">
        <v>8</v>
      </c>
      <c r="B19" s="31" t="s">
        <v>3</v>
      </c>
      <c r="C19" s="80">
        <v>1427.55647975631</v>
      </c>
      <c r="D19" s="80">
        <v>1570.8861755238199</v>
      </c>
      <c r="E19" s="80">
        <v>1695.5254231061699</v>
      </c>
      <c r="F19" s="22" t="s">
        <v>200</v>
      </c>
      <c r="G19" s="37">
        <v>18.771162272725178</v>
      </c>
      <c r="H19" s="33">
        <v>7.9343271030307676</v>
      </c>
    </row>
    <row r="20" spans="1:8">
      <c r="A20" s="34"/>
      <c r="B20" s="25" t="s">
        <v>200</v>
      </c>
      <c r="C20" s="82" t="s">
        <v>200</v>
      </c>
      <c r="D20" s="82" t="s">
        <v>200</v>
      </c>
      <c r="E20" s="82" t="s">
        <v>200</v>
      </c>
      <c r="F20" s="27"/>
      <c r="G20" s="28" t="s">
        <v>200</v>
      </c>
      <c r="H20" s="29" t="s">
        <v>200</v>
      </c>
    </row>
    <row r="21" spans="1:8">
      <c r="A21" s="39" t="s">
        <v>9</v>
      </c>
      <c r="B21" s="31" t="s">
        <v>3</v>
      </c>
      <c r="C21" s="80">
        <v>625.02091863863996</v>
      </c>
      <c r="D21" s="80">
        <v>613.82802342537798</v>
      </c>
      <c r="E21" s="80">
        <v>625.94929511716498</v>
      </c>
      <c r="F21" s="22" t="s">
        <v>200</v>
      </c>
      <c r="G21" s="23">
        <v>0.14853526511512882</v>
      </c>
      <c r="H21" s="24">
        <v>1.9747015823986089</v>
      </c>
    </row>
    <row r="22" spans="1:8">
      <c r="A22" s="34"/>
      <c r="B22" s="25" t="s">
        <v>200</v>
      </c>
      <c r="C22" s="82" t="s">
        <v>200</v>
      </c>
      <c r="D22" s="82" t="s">
        <v>200</v>
      </c>
      <c r="E22" s="82" t="s">
        <v>200</v>
      </c>
      <c r="F22" s="27"/>
      <c r="G22" s="38" t="s">
        <v>200</v>
      </c>
      <c r="H22" s="24" t="s">
        <v>200</v>
      </c>
    </row>
    <row r="23" spans="1:8">
      <c r="A23" s="30" t="s">
        <v>10</v>
      </c>
      <c r="B23" s="31" t="s">
        <v>3</v>
      </c>
      <c r="C23" s="80">
        <v>1522.1364975195499</v>
      </c>
      <c r="D23" s="80">
        <v>1684.93698043927</v>
      </c>
      <c r="E23" s="80">
        <v>1801.5142984868201</v>
      </c>
      <c r="F23" s="22" t="s">
        <v>200</v>
      </c>
      <c r="G23" s="37">
        <v>18.354319827593628</v>
      </c>
      <c r="H23" s="33">
        <v>6.9187939608968492</v>
      </c>
    </row>
    <row r="24" spans="1:8">
      <c r="A24" s="30"/>
      <c r="B24" s="25" t="s">
        <v>200</v>
      </c>
      <c r="C24" s="82" t="s">
        <v>200</v>
      </c>
      <c r="D24" s="82" t="s">
        <v>200</v>
      </c>
      <c r="E24" s="82" t="s">
        <v>200</v>
      </c>
      <c r="F24" s="27"/>
      <c r="G24" s="28" t="s">
        <v>200</v>
      </c>
      <c r="H24" s="29" t="s">
        <v>200</v>
      </c>
    </row>
    <row r="25" spans="1:8">
      <c r="A25" s="39" t="s">
        <v>11</v>
      </c>
      <c r="B25" s="31" t="s">
        <v>3</v>
      </c>
      <c r="C25" s="80">
        <v>443.46113981184601</v>
      </c>
      <c r="D25" s="80">
        <v>394.80414792680301</v>
      </c>
      <c r="E25" s="80">
        <v>404.534367515675</v>
      </c>
      <c r="F25" s="22" t="s">
        <v>200</v>
      </c>
      <c r="G25" s="23">
        <v>-8.777944401777134</v>
      </c>
      <c r="H25" s="24">
        <v>2.464568733628397</v>
      </c>
    </row>
    <row r="26" spans="1:8">
      <c r="A26" s="34"/>
      <c r="B26" s="25" t="s">
        <v>200</v>
      </c>
      <c r="C26" s="82" t="s">
        <v>200</v>
      </c>
      <c r="D26" s="82" t="s">
        <v>200</v>
      </c>
      <c r="E26" s="82" t="s">
        <v>200</v>
      </c>
      <c r="F26" s="27"/>
      <c r="G26" s="38" t="s">
        <v>200</v>
      </c>
      <c r="H26" s="24" t="s">
        <v>200</v>
      </c>
    </row>
    <row r="27" spans="1:8">
      <c r="A27" s="30" t="s">
        <v>12</v>
      </c>
      <c r="B27" s="31" t="s">
        <v>3</v>
      </c>
      <c r="C27" s="80">
        <v>780.30053224084395</v>
      </c>
      <c r="D27" s="80">
        <v>924.24003950207202</v>
      </c>
      <c r="E27" s="80">
        <v>849.16776182496903</v>
      </c>
      <c r="F27" s="22" t="s">
        <v>200</v>
      </c>
      <c r="G27" s="37">
        <v>8.8257314635367834</v>
      </c>
      <c r="H27" s="33">
        <v>-8.1225952640558177</v>
      </c>
    </row>
    <row r="28" spans="1:8">
      <c r="A28" s="30"/>
      <c r="B28" s="25" t="s">
        <v>200</v>
      </c>
      <c r="C28" s="82" t="s">
        <v>200</v>
      </c>
      <c r="D28" s="82" t="s">
        <v>200</v>
      </c>
      <c r="E28" s="82" t="s">
        <v>200</v>
      </c>
      <c r="F28" s="27"/>
      <c r="G28" s="28" t="s">
        <v>200</v>
      </c>
      <c r="H28" s="29" t="s">
        <v>200</v>
      </c>
    </row>
    <row r="29" spans="1:8">
      <c r="A29" s="39" t="s">
        <v>13</v>
      </c>
      <c r="B29" s="31" t="s">
        <v>3</v>
      </c>
      <c r="C29" s="80">
        <v>109.483957619469</v>
      </c>
      <c r="D29" s="80">
        <v>99.056529776607604</v>
      </c>
      <c r="E29" s="80">
        <v>134.622702513626</v>
      </c>
      <c r="F29" s="22" t="s">
        <v>200</v>
      </c>
      <c r="G29" s="23">
        <v>22.961121830771944</v>
      </c>
      <c r="H29" s="24">
        <v>35.904925013249766</v>
      </c>
    </row>
    <row r="30" spans="1:8">
      <c r="A30" s="34"/>
      <c r="B30" s="25" t="s">
        <v>200</v>
      </c>
      <c r="C30" s="82" t="s">
        <v>200</v>
      </c>
      <c r="D30" s="82" t="s">
        <v>200</v>
      </c>
      <c r="E30" s="82" t="s">
        <v>200</v>
      </c>
      <c r="F30" s="27"/>
      <c r="G30" s="28" t="s">
        <v>200</v>
      </c>
      <c r="H30" s="29" t="s">
        <v>200</v>
      </c>
    </row>
    <row r="31" spans="1:8">
      <c r="A31" s="30" t="s">
        <v>14</v>
      </c>
      <c r="B31" s="31" t="s">
        <v>3</v>
      </c>
      <c r="C31" s="85">
        <v>705.083578896988</v>
      </c>
      <c r="D31" s="85">
        <v>936.8775075172324</v>
      </c>
      <c r="E31" s="83">
        <v>712.19664109170401</v>
      </c>
      <c r="F31" s="22" t="s">
        <v>200</v>
      </c>
      <c r="G31" s="23">
        <v>1.0088253942665233</v>
      </c>
      <c r="H31" s="24">
        <v>-23.98188286331505</v>
      </c>
    </row>
    <row r="32" spans="1:8" ht="13.5" thickBot="1">
      <c r="A32" s="41"/>
      <c r="B32" s="42" t="s">
        <v>200</v>
      </c>
      <c r="C32" s="86" t="s">
        <v>200</v>
      </c>
      <c r="D32" s="86" t="s">
        <v>200</v>
      </c>
      <c r="E32" s="86" t="s">
        <v>200</v>
      </c>
      <c r="F32" s="44"/>
      <c r="G32" s="45" t="s">
        <v>200</v>
      </c>
      <c r="H32" s="46" t="s">
        <v>200</v>
      </c>
    </row>
    <row r="33" spans="1:8">
      <c r="A33" s="47"/>
      <c r="B33" s="48"/>
      <c r="C33" s="49"/>
      <c r="D33" s="49"/>
      <c r="E33" s="49"/>
      <c r="F33" s="49"/>
      <c r="G33" s="50"/>
      <c r="H33" s="51"/>
    </row>
    <row r="34" spans="1:8">
      <c r="A34" s="47"/>
      <c r="B34" s="48"/>
      <c r="C34" s="49"/>
      <c r="D34" s="49"/>
      <c r="E34" s="49"/>
      <c r="F34" s="49"/>
      <c r="G34" s="50"/>
      <c r="H34" s="51"/>
    </row>
    <row r="35" spans="1:8">
      <c r="A35" s="47"/>
      <c r="B35" s="48"/>
      <c r="C35" s="49"/>
      <c r="D35" s="49"/>
      <c r="E35" s="49"/>
      <c r="F35" s="49"/>
      <c r="G35" s="50"/>
      <c r="H35" s="51"/>
    </row>
    <row r="36" spans="1:8">
      <c r="A36" s="47"/>
      <c r="B36" s="48"/>
      <c r="C36" s="49"/>
      <c r="D36" s="49"/>
      <c r="E36" s="49"/>
      <c r="F36" s="49"/>
      <c r="G36" s="50"/>
      <c r="H36" s="51"/>
    </row>
    <row r="37" spans="1:8">
      <c r="A37" s="47"/>
      <c r="B37" s="48"/>
      <c r="C37" s="49"/>
      <c r="D37" s="49"/>
      <c r="E37" s="49"/>
      <c r="F37" s="49"/>
      <c r="G37" s="50"/>
      <c r="H37" s="51"/>
    </row>
    <row r="38" spans="1:8">
      <c r="A38" s="47"/>
      <c r="B38" s="48"/>
      <c r="C38" s="49"/>
      <c r="D38" s="49"/>
      <c r="E38" s="49"/>
      <c r="F38" s="49"/>
      <c r="G38" s="50"/>
      <c r="H38" s="51"/>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8">
      <c r="A49" s="47"/>
      <c r="B49" s="48"/>
      <c r="C49" s="49"/>
      <c r="D49" s="49"/>
      <c r="E49" s="98"/>
      <c r="F49" s="49"/>
      <c r="G49" s="50"/>
      <c r="H49" s="51"/>
    </row>
    <row r="50" spans="1:8">
      <c r="A50" s="47"/>
      <c r="B50" s="48"/>
      <c r="C50" s="49"/>
      <c r="D50" s="49"/>
      <c r="E50" s="49"/>
      <c r="F50" s="49"/>
      <c r="G50" s="50"/>
      <c r="H50" s="51"/>
    </row>
    <row r="51" spans="1:8">
      <c r="A51" s="47"/>
      <c r="B51" s="48"/>
      <c r="C51" s="49"/>
      <c r="D51" s="49"/>
      <c r="E51" s="49"/>
      <c r="F51" s="49"/>
      <c r="G51" s="50"/>
      <c r="H51" s="51"/>
    </row>
    <row r="52" spans="1:8">
      <c r="A52" s="47"/>
      <c r="B52" s="48"/>
      <c r="C52" s="49"/>
      <c r="D52" s="49"/>
      <c r="E52" s="49"/>
      <c r="F52" s="49"/>
      <c r="G52" s="50"/>
      <c r="H52" s="51"/>
    </row>
    <row r="53" spans="1:8">
      <c r="A53" s="47"/>
      <c r="B53" s="48"/>
      <c r="C53" s="49"/>
      <c r="D53" s="49"/>
      <c r="E53" s="49"/>
      <c r="F53" s="49"/>
      <c r="G53" s="50"/>
      <c r="H53" s="51"/>
    </row>
    <row r="54" spans="1:8">
      <c r="A54" s="47"/>
      <c r="B54" s="48"/>
      <c r="C54" s="49"/>
      <c r="D54" s="49"/>
      <c r="E54" s="49"/>
      <c r="F54" s="49"/>
      <c r="G54" s="50"/>
      <c r="H54" s="51"/>
    </row>
    <row r="55" spans="1:8">
      <c r="A55" s="47"/>
      <c r="B55" s="48"/>
      <c r="C55" s="49"/>
      <c r="D55" s="49"/>
      <c r="E55" s="49"/>
      <c r="F55" s="49"/>
      <c r="G55" s="50"/>
      <c r="H55" s="51"/>
    </row>
    <row r="56" spans="1:8">
      <c r="A56" s="47"/>
      <c r="B56" s="48"/>
      <c r="C56" s="49"/>
      <c r="D56" s="49"/>
      <c r="E56" s="49"/>
      <c r="F56" s="49"/>
      <c r="G56" s="50"/>
      <c r="H56" s="51"/>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147">
        <v>10</v>
      </c>
      <c r="H61" s="53" t="s">
        <v>201</v>
      </c>
    </row>
    <row r="62" spans="1:8" ht="12.75" customHeight="1">
      <c r="A62" s="148"/>
      <c r="H62" s="53" t="s">
        <v>202</v>
      </c>
    </row>
    <row r="67" ht="12.75" customHeight="1"/>
    <row r="68" ht="12.75" customHeight="1"/>
  </sheetData>
  <mergeCells count="4">
    <mergeCell ref="G5:H5"/>
    <mergeCell ref="A7:A8"/>
    <mergeCell ref="C5:F5"/>
    <mergeCell ref="A61:A62"/>
  </mergeCells>
  <phoneticPr fontId="0" type="noConversion"/>
  <hyperlinks>
    <hyperlink ref="A2" location="Innhold!A24"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146</v>
      </c>
      <c r="B4" s="5"/>
      <c r="C4" s="5"/>
      <c r="D4" s="5"/>
      <c r="E4" s="5"/>
      <c r="F4" s="5"/>
      <c r="G4" s="5"/>
      <c r="H4" s="6"/>
    </row>
    <row r="5" spans="1:8">
      <c r="A5" s="7"/>
      <c r="B5" s="8"/>
      <c r="C5" s="9"/>
      <c r="D5" s="8"/>
      <c r="E5" s="10"/>
      <c r="F5" s="11"/>
      <c r="G5" s="150" t="s">
        <v>1</v>
      </c>
      <c r="H5" s="151"/>
    </row>
    <row r="6" spans="1:8">
      <c r="A6" s="12"/>
      <c r="B6" s="13"/>
      <c r="C6" s="14" t="s">
        <v>195</v>
      </c>
      <c r="D6" s="15" t="s">
        <v>196</v>
      </c>
      <c r="E6" s="15" t="s">
        <v>197</v>
      </c>
      <c r="F6" s="16"/>
      <c r="G6" s="17" t="s">
        <v>198</v>
      </c>
      <c r="H6" s="18" t="s">
        <v>199</v>
      </c>
    </row>
    <row r="7" spans="1:8">
      <c r="A7" s="152" t="s">
        <v>26</v>
      </c>
      <c r="B7" s="19" t="s">
        <v>3</v>
      </c>
      <c r="C7" s="20">
        <v>764855.54500000004</v>
      </c>
      <c r="D7" s="20">
        <v>711115</v>
      </c>
      <c r="E7" s="21">
        <v>780339.66666666698</v>
      </c>
      <c r="F7" s="22" t="s">
        <v>200</v>
      </c>
      <c r="G7" s="23">
        <v>2.0244504688355249</v>
      </c>
      <c r="H7" s="24">
        <v>9.7346655135480233</v>
      </c>
    </row>
    <row r="8" spans="1:8">
      <c r="A8" s="153"/>
      <c r="B8" s="25" t="s">
        <v>200</v>
      </c>
      <c r="C8" s="26" t="s">
        <v>200</v>
      </c>
      <c r="D8" s="26" t="s">
        <v>200</v>
      </c>
      <c r="E8" s="26" t="s">
        <v>200</v>
      </c>
      <c r="F8" s="27"/>
      <c r="G8" s="28" t="s">
        <v>200</v>
      </c>
      <c r="H8" s="29" t="s">
        <v>200</v>
      </c>
    </row>
    <row r="9" spans="1:8">
      <c r="A9" s="30" t="s">
        <v>28</v>
      </c>
      <c r="B9" s="31" t="s">
        <v>3</v>
      </c>
      <c r="C9" s="20">
        <v>686806.08594999998</v>
      </c>
      <c r="D9" s="20">
        <v>642170</v>
      </c>
      <c r="E9" s="21">
        <v>710576.66666666698</v>
      </c>
      <c r="F9" s="22" t="s">
        <v>200</v>
      </c>
      <c r="G9" s="32">
        <v>3.4610323354644237</v>
      </c>
      <c r="H9" s="33">
        <v>10.652423293935726</v>
      </c>
    </row>
    <row r="10" spans="1:8">
      <c r="A10" s="34"/>
      <c r="B10" s="25" t="s">
        <v>200</v>
      </c>
      <c r="C10" s="26" t="s">
        <v>200</v>
      </c>
      <c r="D10" s="26" t="s">
        <v>200</v>
      </c>
      <c r="E10" s="26" t="s">
        <v>200</v>
      </c>
      <c r="F10" s="27"/>
      <c r="G10" s="35" t="s">
        <v>200</v>
      </c>
      <c r="H10" s="29" t="s">
        <v>200</v>
      </c>
    </row>
    <row r="11" spans="1:8">
      <c r="A11" s="30" t="s">
        <v>29</v>
      </c>
      <c r="B11" s="31" t="s">
        <v>3</v>
      </c>
      <c r="C11" s="20">
        <v>37670.477250000004</v>
      </c>
      <c r="D11" s="20">
        <v>30282</v>
      </c>
      <c r="E11" s="21">
        <v>33931</v>
      </c>
      <c r="F11" s="22" t="s">
        <v>200</v>
      </c>
      <c r="G11" s="37">
        <v>-9.9268114528599511</v>
      </c>
      <c r="H11" s="33">
        <v>12.050062743544004</v>
      </c>
    </row>
    <row r="12" spans="1:8">
      <c r="A12" s="34"/>
      <c r="B12" s="25" t="s">
        <v>200</v>
      </c>
      <c r="C12" s="26" t="s">
        <v>200</v>
      </c>
      <c r="D12" s="26" t="s">
        <v>200</v>
      </c>
      <c r="E12" s="26" t="s">
        <v>200</v>
      </c>
      <c r="F12" s="27"/>
      <c r="G12" s="28" t="s">
        <v>200</v>
      </c>
      <c r="H12" s="29" t="s">
        <v>200</v>
      </c>
    </row>
    <row r="13" spans="1:8">
      <c r="A13" s="30" t="s">
        <v>27</v>
      </c>
      <c r="B13" s="31" t="s">
        <v>3</v>
      </c>
      <c r="C13" s="20">
        <v>8394.4954500000003</v>
      </c>
      <c r="D13" s="20">
        <v>7918</v>
      </c>
      <c r="E13" s="21">
        <v>7962</v>
      </c>
      <c r="F13" s="22" t="s">
        <v>200</v>
      </c>
      <c r="G13" s="23">
        <v>-5.1521315673594188</v>
      </c>
      <c r="H13" s="24">
        <v>0.55569588279868753</v>
      </c>
    </row>
    <row r="14" spans="1:8">
      <c r="A14" s="34"/>
      <c r="B14" s="25" t="s">
        <v>200</v>
      </c>
      <c r="C14" s="26" t="s">
        <v>200</v>
      </c>
      <c r="D14" s="26" t="s">
        <v>200</v>
      </c>
      <c r="E14" s="26" t="s">
        <v>200</v>
      </c>
      <c r="F14" s="27"/>
      <c r="G14" s="38" t="s">
        <v>200</v>
      </c>
      <c r="H14" s="24" t="s">
        <v>200</v>
      </c>
    </row>
    <row r="15" spans="1:8">
      <c r="A15" s="30" t="s">
        <v>30</v>
      </c>
      <c r="B15" s="31" t="s">
        <v>3</v>
      </c>
      <c r="C15" s="20">
        <v>12492.990900000001</v>
      </c>
      <c r="D15" s="20">
        <v>10934</v>
      </c>
      <c r="E15" s="21">
        <v>11327</v>
      </c>
      <c r="F15" s="22" t="s">
        <v>200</v>
      </c>
      <c r="G15" s="37">
        <v>-9.3331605644569891</v>
      </c>
      <c r="H15" s="33">
        <v>3.5942930309127377</v>
      </c>
    </row>
    <row r="16" spans="1:8">
      <c r="A16" s="34"/>
      <c r="B16" s="25" t="s">
        <v>200</v>
      </c>
      <c r="C16" s="26" t="s">
        <v>200</v>
      </c>
      <c r="D16" s="26" t="s">
        <v>200</v>
      </c>
      <c r="E16" s="26" t="s">
        <v>200</v>
      </c>
      <c r="F16" s="27"/>
      <c r="G16" s="28" t="s">
        <v>200</v>
      </c>
      <c r="H16" s="29" t="s">
        <v>200</v>
      </c>
    </row>
    <row r="17" spans="1:9">
      <c r="A17" s="30" t="s">
        <v>31</v>
      </c>
      <c r="B17" s="31" t="s">
        <v>3</v>
      </c>
      <c r="C17" s="20">
        <v>19491.495449999999</v>
      </c>
      <c r="D17" s="20">
        <v>19811</v>
      </c>
      <c r="E17" s="21">
        <v>16543</v>
      </c>
      <c r="F17" s="22" t="s">
        <v>200</v>
      </c>
      <c r="G17" s="37">
        <v>-15.127086875214587</v>
      </c>
      <c r="H17" s="33">
        <v>-16.495886123870577</v>
      </c>
    </row>
    <row r="18" spans="1:9" ht="13.5" thickBot="1">
      <c r="A18" s="56"/>
      <c r="B18" s="42" t="s">
        <v>200</v>
      </c>
      <c r="C18" s="43" t="s">
        <v>200</v>
      </c>
      <c r="D18" s="43" t="s">
        <v>200</v>
      </c>
      <c r="E18" s="43" t="s">
        <v>200</v>
      </c>
      <c r="F18" s="44"/>
      <c r="G18" s="57" t="s">
        <v>200</v>
      </c>
      <c r="H18" s="46" t="s">
        <v>200</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32</v>
      </c>
      <c r="B32" s="5"/>
      <c r="C32" s="5"/>
      <c r="D32" s="5"/>
      <c r="E32" s="5"/>
      <c r="F32" s="5"/>
      <c r="G32" s="5"/>
      <c r="H32" s="6"/>
    </row>
    <row r="33" spans="1:9">
      <c r="A33" s="7"/>
      <c r="B33" s="8"/>
      <c r="C33" s="156" t="s">
        <v>16</v>
      </c>
      <c r="D33" s="150"/>
      <c r="E33" s="150"/>
      <c r="F33" s="157"/>
      <c r="G33" s="150" t="s">
        <v>1</v>
      </c>
      <c r="H33" s="151"/>
    </row>
    <row r="34" spans="1:9">
      <c r="A34" s="12"/>
      <c r="B34" s="13"/>
      <c r="C34" s="14" t="s">
        <v>195</v>
      </c>
      <c r="D34" s="15" t="s">
        <v>196</v>
      </c>
      <c r="E34" s="15" t="s">
        <v>197</v>
      </c>
      <c r="F34" s="16"/>
      <c r="G34" s="17" t="s">
        <v>198</v>
      </c>
      <c r="H34" s="18" t="s">
        <v>199</v>
      </c>
    </row>
    <row r="35" spans="1:9" ht="12.75" customHeight="1">
      <c r="A35" s="152" t="s">
        <v>26</v>
      </c>
      <c r="B35" s="19" t="s">
        <v>3</v>
      </c>
      <c r="C35" s="80">
        <v>11831.883473502399</v>
      </c>
      <c r="D35" s="80">
        <v>12032.8133199393</v>
      </c>
      <c r="E35" s="83">
        <v>12580.545681800801</v>
      </c>
      <c r="F35" s="22" t="s">
        <v>200</v>
      </c>
      <c r="G35" s="23">
        <v>6.3274981534008106</v>
      </c>
      <c r="H35" s="24">
        <v>4.5519891923683815</v>
      </c>
    </row>
    <row r="36" spans="1:9" ht="12.75" customHeight="1">
      <c r="A36" s="153"/>
      <c r="B36" s="25" t="s">
        <v>200</v>
      </c>
      <c r="C36" s="82" t="s">
        <v>200</v>
      </c>
      <c r="D36" s="82" t="s">
        <v>200</v>
      </c>
      <c r="E36" s="82" t="s">
        <v>200</v>
      </c>
      <c r="F36" s="27"/>
      <c r="G36" s="28" t="s">
        <v>200</v>
      </c>
      <c r="H36" s="29" t="s">
        <v>200</v>
      </c>
    </row>
    <row r="37" spans="1:9">
      <c r="A37" s="30" t="s">
        <v>28</v>
      </c>
      <c r="B37" s="31" t="s">
        <v>3</v>
      </c>
      <c r="C37" s="80">
        <v>9675.0900412940791</v>
      </c>
      <c r="D37" s="80">
        <v>9966.4660662625192</v>
      </c>
      <c r="E37" s="83">
        <v>10498.3473764797</v>
      </c>
      <c r="F37" s="22" t="s">
        <v>200</v>
      </c>
      <c r="G37" s="32">
        <v>8.5090405533373854</v>
      </c>
      <c r="H37" s="33">
        <v>5.3367091873984549</v>
      </c>
    </row>
    <row r="38" spans="1:9">
      <c r="A38" s="34"/>
      <c r="B38" s="25" t="s">
        <v>200</v>
      </c>
      <c r="C38" s="82" t="s">
        <v>200</v>
      </c>
      <c r="D38" s="82" t="s">
        <v>200</v>
      </c>
      <c r="E38" s="82" t="s">
        <v>200</v>
      </c>
      <c r="F38" s="27"/>
      <c r="G38" s="35" t="s">
        <v>200</v>
      </c>
      <c r="H38" s="29" t="s">
        <v>200</v>
      </c>
    </row>
    <row r="39" spans="1:9">
      <c r="A39" s="30" t="s">
        <v>29</v>
      </c>
      <c r="B39" s="31" t="s">
        <v>3</v>
      </c>
      <c r="C39" s="80">
        <v>890.03864773087298</v>
      </c>
      <c r="D39" s="80">
        <v>928.47641463711204</v>
      </c>
      <c r="E39" s="83">
        <v>920.63171517397996</v>
      </c>
      <c r="F39" s="22" t="s">
        <v>200</v>
      </c>
      <c r="G39" s="37">
        <v>3.4372740465937142</v>
      </c>
      <c r="H39" s="33">
        <v>-0.84490024080989201</v>
      </c>
    </row>
    <row r="40" spans="1:9">
      <c r="A40" s="34"/>
      <c r="B40" s="25" t="s">
        <v>200</v>
      </c>
      <c r="C40" s="82" t="s">
        <v>200</v>
      </c>
      <c r="D40" s="82" t="s">
        <v>200</v>
      </c>
      <c r="E40" s="82" t="s">
        <v>200</v>
      </c>
      <c r="F40" s="27"/>
      <c r="G40" s="28" t="s">
        <v>200</v>
      </c>
      <c r="H40" s="29" t="s">
        <v>200</v>
      </c>
    </row>
    <row r="41" spans="1:9">
      <c r="A41" s="30" t="s">
        <v>27</v>
      </c>
      <c r="B41" s="31" t="s">
        <v>3</v>
      </c>
      <c r="C41" s="80">
        <v>247.449651183843</v>
      </c>
      <c r="D41" s="80">
        <v>258.51374729202701</v>
      </c>
      <c r="E41" s="83">
        <v>260.558917275878</v>
      </c>
      <c r="F41" s="22" t="s">
        <v>200</v>
      </c>
      <c r="G41" s="23">
        <v>5.2977508876322759</v>
      </c>
      <c r="H41" s="24">
        <v>0.79112619938956641</v>
      </c>
    </row>
    <row r="42" spans="1:9">
      <c r="A42" s="34"/>
      <c r="B42" s="25" t="s">
        <v>200</v>
      </c>
      <c r="C42" s="82" t="s">
        <v>200</v>
      </c>
      <c r="D42" s="82" t="s">
        <v>200</v>
      </c>
      <c r="E42" s="82" t="s">
        <v>200</v>
      </c>
      <c r="F42" s="27"/>
      <c r="G42" s="38" t="s">
        <v>200</v>
      </c>
      <c r="H42" s="24" t="s">
        <v>200</v>
      </c>
    </row>
    <row r="43" spans="1:9">
      <c r="A43" s="30" t="s">
        <v>30</v>
      </c>
      <c r="B43" s="31" t="s">
        <v>3</v>
      </c>
      <c r="C43" s="80">
        <v>478.789720262304</v>
      </c>
      <c r="D43" s="80">
        <v>485.22651254703999</v>
      </c>
      <c r="E43" s="83">
        <v>526.75807716358202</v>
      </c>
      <c r="F43" s="22" t="s">
        <v>200</v>
      </c>
      <c r="G43" s="37">
        <v>10.018668921086828</v>
      </c>
      <c r="H43" s="33">
        <v>8.5592117377377974</v>
      </c>
    </row>
    <row r="44" spans="1:9">
      <c r="A44" s="34"/>
      <c r="B44" s="25" t="s">
        <v>200</v>
      </c>
      <c r="C44" s="82" t="s">
        <v>200</v>
      </c>
      <c r="D44" s="82" t="s">
        <v>200</v>
      </c>
      <c r="E44" s="82" t="s">
        <v>200</v>
      </c>
      <c r="F44" s="27"/>
      <c r="G44" s="28" t="s">
        <v>200</v>
      </c>
      <c r="H44" s="29" t="s">
        <v>200</v>
      </c>
    </row>
    <row r="45" spans="1:9">
      <c r="A45" s="30" t="s">
        <v>31</v>
      </c>
      <c r="B45" s="31" t="s">
        <v>3</v>
      </c>
      <c r="C45" s="80">
        <v>540.51541303133104</v>
      </c>
      <c r="D45" s="80">
        <v>394.13057920062101</v>
      </c>
      <c r="E45" s="83">
        <v>374.24959570766703</v>
      </c>
      <c r="F45" s="22" t="s">
        <v>200</v>
      </c>
      <c r="G45" s="37">
        <v>-30.760606139093838</v>
      </c>
      <c r="H45" s="33">
        <v>-5.0442631305788979</v>
      </c>
    </row>
    <row r="46" spans="1:9" ht="13.5" thickBot="1">
      <c r="A46" s="56"/>
      <c r="B46" s="42" t="s">
        <v>200</v>
      </c>
      <c r="C46" s="86" t="s">
        <v>200</v>
      </c>
      <c r="D46" s="86" t="s">
        <v>200</v>
      </c>
      <c r="E46" s="86" t="s">
        <v>200</v>
      </c>
      <c r="F46" s="44"/>
      <c r="G46" s="57" t="s">
        <v>200</v>
      </c>
      <c r="H46" s="46" t="s">
        <v>200</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58"/>
      <c r="B58" s="58"/>
      <c r="C58" s="64"/>
      <c r="D58" s="64"/>
      <c r="E58" s="21"/>
      <c r="F58" s="59"/>
      <c r="G58" s="38"/>
      <c r="H58" s="60"/>
      <c r="I58" s="61"/>
    </row>
    <row r="59" spans="1:9">
      <c r="A59" s="65"/>
      <c r="B59" s="62"/>
      <c r="C59" s="21"/>
      <c r="D59" s="21"/>
      <c r="E59" s="21"/>
      <c r="F59" s="63"/>
      <c r="G59" s="38"/>
      <c r="H59" s="60"/>
      <c r="I59" s="61"/>
    </row>
    <row r="60" spans="1:9">
      <c r="A60" s="52"/>
      <c r="B60" s="52"/>
      <c r="C60" s="52"/>
      <c r="D60" s="52"/>
      <c r="E60" s="52"/>
      <c r="F60" s="52"/>
      <c r="G60" s="52"/>
      <c r="H60" s="52"/>
    </row>
    <row r="61" spans="1:9" ht="12.75" customHeight="1">
      <c r="A61" s="54" t="s">
        <v>201</v>
      </c>
      <c r="G61" s="53"/>
      <c r="H61" s="155">
        <v>11</v>
      </c>
    </row>
    <row r="62" spans="1:9" ht="12.75" customHeight="1">
      <c r="A62" s="54" t="s">
        <v>202</v>
      </c>
      <c r="G62" s="53"/>
      <c r="H62" s="146"/>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2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147</v>
      </c>
      <c r="B4" s="5"/>
      <c r="C4" s="5"/>
      <c r="D4" s="5"/>
      <c r="E4" s="5"/>
      <c r="F4" s="5"/>
      <c r="G4" s="5"/>
      <c r="H4" s="6"/>
    </row>
    <row r="5" spans="1:8">
      <c r="A5" s="7"/>
      <c r="B5" s="8"/>
      <c r="C5" s="9"/>
      <c r="D5" s="8"/>
      <c r="E5" s="10"/>
      <c r="F5" s="11"/>
      <c r="G5" s="150" t="s">
        <v>1</v>
      </c>
      <c r="H5" s="151"/>
    </row>
    <row r="6" spans="1:8">
      <c r="A6" s="12"/>
      <c r="B6" s="13"/>
      <c r="C6" s="14" t="s">
        <v>195</v>
      </c>
      <c r="D6" s="15" t="s">
        <v>196</v>
      </c>
      <c r="E6" s="15" t="s">
        <v>197</v>
      </c>
      <c r="F6" s="16"/>
      <c r="G6" s="17" t="s">
        <v>198</v>
      </c>
      <c r="H6" s="18" t="s">
        <v>199</v>
      </c>
    </row>
    <row r="7" spans="1:8" ht="12.75" customHeight="1">
      <c r="A7" s="152" t="s">
        <v>26</v>
      </c>
      <c r="B7" s="19" t="s">
        <v>3</v>
      </c>
      <c r="C7" s="20">
        <v>764855.54500000004</v>
      </c>
      <c r="D7" s="20">
        <v>711115</v>
      </c>
      <c r="E7" s="21">
        <v>780339.66666666698</v>
      </c>
      <c r="F7" s="22" t="s">
        <v>200</v>
      </c>
      <c r="G7" s="23">
        <v>2.0244504688355249</v>
      </c>
      <c r="H7" s="24">
        <v>9.7346655135480233</v>
      </c>
    </row>
    <row r="8" spans="1:8" ht="12.75" customHeight="1">
      <c r="A8" s="153"/>
      <c r="B8" s="25" t="s">
        <v>200</v>
      </c>
      <c r="C8" s="26" t="s">
        <v>200</v>
      </c>
      <c r="D8" s="26" t="s">
        <v>200</v>
      </c>
      <c r="E8" s="26" t="s">
        <v>200</v>
      </c>
      <c r="F8" s="27"/>
      <c r="G8" s="28" t="s">
        <v>200</v>
      </c>
      <c r="H8" s="29" t="s">
        <v>200</v>
      </c>
    </row>
    <row r="9" spans="1:8">
      <c r="A9" s="30" t="s">
        <v>34</v>
      </c>
      <c r="B9" s="31" t="s">
        <v>3</v>
      </c>
      <c r="C9" s="20">
        <v>11406.390293333299</v>
      </c>
      <c r="D9" s="20">
        <v>10918</v>
      </c>
      <c r="E9" s="21">
        <v>12019.333333333299</v>
      </c>
      <c r="F9" s="22" t="s">
        <v>200</v>
      </c>
      <c r="G9" s="32">
        <v>5.3736811053909577</v>
      </c>
      <c r="H9" s="33">
        <v>10.08731757953197</v>
      </c>
    </row>
    <row r="10" spans="1:8">
      <c r="A10" s="34"/>
      <c r="B10" s="25" t="s">
        <v>200</v>
      </c>
      <c r="C10" s="26" t="s">
        <v>200</v>
      </c>
      <c r="D10" s="26" t="s">
        <v>200</v>
      </c>
      <c r="E10" s="26" t="s">
        <v>200</v>
      </c>
      <c r="F10" s="27"/>
      <c r="G10" s="35" t="s">
        <v>200</v>
      </c>
      <c r="H10" s="29" t="s">
        <v>200</v>
      </c>
    </row>
    <row r="11" spans="1:8">
      <c r="A11" s="30" t="s">
        <v>35</v>
      </c>
      <c r="B11" s="31" t="s">
        <v>3</v>
      </c>
      <c r="C11" s="20">
        <v>3921.3368754716998</v>
      </c>
      <c r="D11" s="20">
        <v>3927</v>
      </c>
      <c r="E11" s="21">
        <v>4716.3333333333303</v>
      </c>
      <c r="F11" s="22" t="s">
        <v>200</v>
      </c>
      <c r="G11" s="37">
        <v>20.273607779897773</v>
      </c>
      <c r="H11" s="33">
        <v>20.100161276631795</v>
      </c>
    </row>
    <row r="12" spans="1:8">
      <c r="A12" s="34"/>
      <c r="B12" s="25" t="s">
        <v>200</v>
      </c>
      <c r="C12" s="26" t="s">
        <v>200</v>
      </c>
      <c r="D12" s="26" t="s">
        <v>200</v>
      </c>
      <c r="E12" s="26" t="s">
        <v>200</v>
      </c>
      <c r="F12" s="27"/>
      <c r="G12" s="28" t="s">
        <v>200</v>
      </c>
      <c r="H12" s="29" t="s">
        <v>200</v>
      </c>
    </row>
    <row r="13" spans="1:8">
      <c r="A13" s="30" t="s">
        <v>36</v>
      </c>
      <c r="B13" s="31" t="s">
        <v>3</v>
      </c>
      <c r="C13" s="20">
        <v>162160.10196923101</v>
      </c>
      <c r="D13" s="20">
        <v>145881</v>
      </c>
      <c r="E13" s="21">
        <v>156918.66666666701</v>
      </c>
      <c r="F13" s="22" t="s">
        <v>200</v>
      </c>
      <c r="G13" s="23">
        <v>-3.2322595008965465</v>
      </c>
      <c r="H13" s="24">
        <v>7.5662126436389912</v>
      </c>
    </row>
    <row r="14" spans="1:8">
      <c r="A14" s="34"/>
      <c r="B14" s="25" t="s">
        <v>200</v>
      </c>
      <c r="C14" s="26" t="s">
        <v>200</v>
      </c>
      <c r="D14" s="26" t="s">
        <v>200</v>
      </c>
      <c r="E14" s="26" t="s">
        <v>200</v>
      </c>
      <c r="F14" s="27"/>
      <c r="G14" s="38" t="s">
        <v>200</v>
      </c>
      <c r="H14" s="24" t="s">
        <v>200</v>
      </c>
    </row>
    <row r="15" spans="1:8">
      <c r="A15" s="30" t="s">
        <v>18</v>
      </c>
      <c r="B15" s="31" t="s">
        <v>3</v>
      </c>
      <c r="C15" s="20">
        <v>3889.7170879999999</v>
      </c>
      <c r="D15" s="20">
        <v>3192</v>
      </c>
      <c r="E15" s="21">
        <v>3390</v>
      </c>
      <c r="F15" s="22" t="s">
        <v>200</v>
      </c>
      <c r="G15" s="37">
        <v>-12.847131981440398</v>
      </c>
      <c r="H15" s="33">
        <v>6.2030075187969942</v>
      </c>
    </row>
    <row r="16" spans="1:8">
      <c r="A16" s="34"/>
      <c r="B16" s="25" t="s">
        <v>200</v>
      </c>
      <c r="C16" s="26" t="s">
        <v>200</v>
      </c>
      <c r="D16" s="26" t="s">
        <v>200</v>
      </c>
      <c r="E16" s="26" t="s">
        <v>200</v>
      </c>
      <c r="F16" s="27"/>
      <c r="G16" s="28" t="s">
        <v>200</v>
      </c>
      <c r="H16" s="29" t="s">
        <v>200</v>
      </c>
    </row>
    <row r="17" spans="1:9">
      <c r="A17" s="30" t="s">
        <v>37</v>
      </c>
      <c r="B17" s="31" t="s">
        <v>3</v>
      </c>
      <c r="C17" s="20">
        <v>6556.7927200000004</v>
      </c>
      <c r="D17" s="20">
        <v>5687</v>
      </c>
      <c r="E17" s="21">
        <v>5424.6666666666697</v>
      </c>
      <c r="F17" s="22" t="s">
        <v>200</v>
      </c>
      <c r="G17" s="37">
        <v>-17.26646093112015</v>
      </c>
      <c r="H17" s="33">
        <v>-4.6128597385850298</v>
      </c>
    </row>
    <row r="18" spans="1:9">
      <c r="A18" s="34"/>
      <c r="B18" s="25" t="s">
        <v>200</v>
      </c>
      <c r="C18" s="26" t="s">
        <v>200</v>
      </c>
      <c r="D18" s="26" t="s">
        <v>200</v>
      </c>
      <c r="E18" s="26" t="s">
        <v>200</v>
      </c>
      <c r="F18" s="27"/>
      <c r="G18" s="28" t="s">
        <v>200</v>
      </c>
      <c r="H18" s="29" t="s">
        <v>200</v>
      </c>
    </row>
    <row r="19" spans="1:9">
      <c r="A19" s="30" t="s">
        <v>38</v>
      </c>
      <c r="B19" s="31" t="s">
        <v>3</v>
      </c>
      <c r="C19" s="20">
        <v>8686.7927199999995</v>
      </c>
      <c r="D19" s="20">
        <v>7114</v>
      </c>
      <c r="E19" s="21">
        <v>7115</v>
      </c>
      <c r="F19" s="22" t="s">
        <v>200</v>
      </c>
      <c r="G19" s="23">
        <v>-18.094051172433183</v>
      </c>
      <c r="H19" s="24">
        <v>1.4056789429290006E-2</v>
      </c>
    </row>
    <row r="20" spans="1:9">
      <c r="A20" s="30"/>
      <c r="B20" s="25" t="s">
        <v>200</v>
      </c>
      <c r="C20" s="26" t="s">
        <v>200</v>
      </c>
      <c r="D20" s="26" t="s">
        <v>200</v>
      </c>
      <c r="E20" s="26" t="s">
        <v>200</v>
      </c>
      <c r="F20" s="27"/>
      <c r="G20" s="38" t="s">
        <v>200</v>
      </c>
      <c r="H20" s="24" t="s">
        <v>200</v>
      </c>
    </row>
    <row r="21" spans="1:9">
      <c r="A21" s="39" t="s">
        <v>39</v>
      </c>
      <c r="B21" s="31" t="s">
        <v>3</v>
      </c>
      <c r="C21" s="20">
        <v>215246.22008888901</v>
      </c>
      <c r="D21" s="20">
        <v>225336</v>
      </c>
      <c r="E21" s="21">
        <v>244711.66666666701</v>
      </c>
      <c r="F21" s="22" t="s">
        <v>200</v>
      </c>
      <c r="G21" s="37">
        <v>13.689181889284654</v>
      </c>
      <c r="H21" s="33">
        <v>8.5985668808654623</v>
      </c>
    </row>
    <row r="22" spans="1:9">
      <c r="A22" s="34"/>
      <c r="B22" s="25" t="s">
        <v>200</v>
      </c>
      <c r="C22" s="26" t="s">
        <v>200</v>
      </c>
      <c r="D22" s="26" t="s">
        <v>200</v>
      </c>
      <c r="E22" s="26" t="s">
        <v>200</v>
      </c>
      <c r="F22" s="27"/>
      <c r="G22" s="28" t="s">
        <v>200</v>
      </c>
      <c r="H22" s="29" t="s">
        <v>200</v>
      </c>
    </row>
    <row r="23" spans="1:9">
      <c r="A23" s="39" t="s">
        <v>40</v>
      </c>
      <c r="B23" s="31" t="s">
        <v>3</v>
      </c>
      <c r="C23" s="20">
        <v>156499.91680000001</v>
      </c>
      <c r="D23" s="20">
        <v>140757</v>
      </c>
      <c r="E23" s="21">
        <v>157045</v>
      </c>
      <c r="F23" s="22" t="s">
        <v>200</v>
      </c>
      <c r="G23" s="23">
        <v>0.34829615960536842</v>
      </c>
      <c r="H23" s="24">
        <v>11.571715793885915</v>
      </c>
    </row>
    <row r="24" spans="1:9">
      <c r="A24" s="34"/>
      <c r="B24" s="25" t="s">
        <v>200</v>
      </c>
      <c r="C24" s="26" t="s">
        <v>200</v>
      </c>
      <c r="D24" s="26" t="s">
        <v>200</v>
      </c>
      <c r="E24" s="26" t="s">
        <v>200</v>
      </c>
      <c r="F24" s="27"/>
      <c r="G24" s="38" t="s">
        <v>200</v>
      </c>
      <c r="H24" s="24" t="s">
        <v>200</v>
      </c>
    </row>
    <row r="25" spans="1:9">
      <c r="A25" s="30" t="s">
        <v>41</v>
      </c>
      <c r="B25" s="31" t="s">
        <v>3</v>
      </c>
      <c r="C25" s="20">
        <v>250548.34075</v>
      </c>
      <c r="D25" s="20">
        <v>228871</v>
      </c>
      <c r="E25" s="21">
        <v>262497.66666666698</v>
      </c>
      <c r="F25" s="22" t="s">
        <v>200</v>
      </c>
      <c r="G25" s="37">
        <v>4.7692696271296313</v>
      </c>
      <c r="H25" s="33">
        <v>14.692410426251882</v>
      </c>
    </row>
    <row r="26" spans="1:9">
      <c r="A26" s="34"/>
      <c r="B26" s="25" t="s">
        <v>200</v>
      </c>
      <c r="C26" s="26" t="s">
        <v>200</v>
      </c>
      <c r="D26" s="26" t="s">
        <v>200</v>
      </c>
      <c r="E26" s="26" t="s">
        <v>200</v>
      </c>
      <c r="F26" s="27"/>
      <c r="G26" s="28" t="s">
        <v>200</v>
      </c>
      <c r="H26" s="29" t="s">
        <v>200</v>
      </c>
    </row>
    <row r="27" spans="1:9">
      <c r="A27" s="30" t="s">
        <v>24</v>
      </c>
      <c r="B27" s="31" t="s">
        <v>3</v>
      </c>
      <c r="C27" s="20">
        <v>159666.68351999999</v>
      </c>
      <c r="D27" s="20">
        <v>159968</v>
      </c>
      <c r="E27" s="21">
        <v>164501.33333333299</v>
      </c>
      <c r="F27" s="22" t="s">
        <v>200</v>
      </c>
      <c r="G27" s="23">
        <v>3.0279640728727344</v>
      </c>
      <c r="H27" s="24">
        <v>2.8339001133558099</v>
      </c>
    </row>
    <row r="28" spans="1:9" ht="13.5" thickBot="1">
      <c r="A28" s="56"/>
      <c r="B28" s="42" t="s">
        <v>200</v>
      </c>
      <c r="C28" s="43" t="s">
        <v>200</v>
      </c>
      <c r="D28" s="43" t="s">
        <v>200</v>
      </c>
      <c r="E28" s="43" t="s">
        <v>200</v>
      </c>
      <c r="F28" s="44"/>
      <c r="G28" s="57" t="s">
        <v>200</v>
      </c>
      <c r="H28" s="46" t="s">
        <v>200</v>
      </c>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33</v>
      </c>
      <c r="B32" s="5"/>
      <c r="C32" s="5"/>
      <c r="D32" s="5"/>
      <c r="E32" s="5"/>
      <c r="F32" s="5"/>
      <c r="G32" s="5"/>
      <c r="H32" s="6"/>
    </row>
    <row r="33" spans="1:8">
      <c r="A33" s="7"/>
      <c r="B33" s="8"/>
      <c r="C33" s="156" t="s">
        <v>16</v>
      </c>
      <c r="D33" s="150"/>
      <c r="E33" s="150"/>
      <c r="F33" s="157"/>
      <c r="G33" s="150" t="s">
        <v>1</v>
      </c>
      <c r="H33" s="151"/>
    </row>
    <row r="34" spans="1:8">
      <c r="A34" s="12"/>
      <c r="B34" s="13"/>
      <c r="C34" s="14" t="s">
        <v>195</v>
      </c>
      <c r="D34" s="15" t="s">
        <v>196</v>
      </c>
      <c r="E34" s="15" t="s">
        <v>197</v>
      </c>
      <c r="F34" s="16"/>
      <c r="G34" s="17" t="s">
        <v>198</v>
      </c>
      <c r="H34" s="18" t="s">
        <v>199</v>
      </c>
    </row>
    <row r="35" spans="1:8" ht="12.75" customHeight="1">
      <c r="A35" s="152" t="s">
        <v>26</v>
      </c>
      <c r="B35" s="19" t="s">
        <v>3</v>
      </c>
      <c r="C35" s="80">
        <v>11831.883473502399</v>
      </c>
      <c r="D35" s="80">
        <v>12032.8133199393</v>
      </c>
      <c r="E35" s="83">
        <v>12580.545681800801</v>
      </c>
      <c r="F35" s="22" t="s">
        <v>200</v>
      </c>
      <c r="G35" s="23">
        <v>6.3274981534008106</v>
      </c>
      <c r="H35" s="24">
        <v>4.5519891923683815</v>
      </c>
    </row>
    <row r="36" spans="1:8" ht="12.75" customHeight="1">
      <c r="A36" s="153"/>
      <c r="B36" s="25" t="s">
        <v>200</v>
      </c>
      <c r="C36" s="82" t="s">
        <v>200</v>
      </c>
      <c r="D36" s="82" t="s">
        <v>200</v>
      </c>
      <c r="E36" s="82" t="s">
        <v>200</v>
      </c>
      <c r="F36" s="27"/>
      <c r="G36" s="28" t="s">
        <v>200</v>
      </c>
      <c r="H36" s="29" t="s">
        <v>200</v>
      </c>
    </row>
    <row r="37" spans="1:8">
      <c r="A37" s="30" t="s">
        <v>34</v>
      </c>
      <c r="B37" s="31" t="s">
        <v>3</v>
      </c>
      <c r="C37" s="84">
        <v>1837.1777580989001</v>
      </c>
      <c r="D37" s="84">
        <v>1889.2195069936399</v>
      </c>
      <c r="E37" s="83">
        <v>1950.4467712952301</v>
      </c>
      <c r="F37" s="22" t="s">
        <v>200</v>
      </c>
      <c r="G37" s="32">
        <v>6.1653812592168578</v>
      </c>
      <c r="H37" s="33">
        <v>3.2408761435574434</v>
      </c>
    </row>
    <row r="38" spans="1:8">
      <c r="A38" s="34"/>
      <c r="B38" s="25" t="s">
        <v>200</v>
      </c>
      <c r="C38" s="82" t="s">
        <v>200</v>
      </c>
      <c r="D38" s="82" t="s">
        <v>200</v>
      </c>
      <c r="E38" s="82" t="s">
        <v>200</v>
      </c>
      <c r="F38" s="27"/>
      <c r="G38" s="35" t="s">
        <v>200</v>
      </c>
      <c r="H38" s="29" t="s">
        <v>200</v>
      </c>
    </row>
    <row r="39" spans="1:8">
      <c r="A39" s="30" t="s">
        <v>35</v>
      </c>
      <c r="B39" s="31" t="s">
        <v>3</v>
      </c>
      <c r="C39" s="84">
        <v>72.064238875401699</v>
      </c>
      <c r="D39" s="84">
        <v>69.721654683047007</v>
      </c>
      <c r="E39" s="83">
        <v>68.983003011565003</v>
      </c>
      <c r="F39" s="22" t="s">
        <v>200</v>
      </c>
      <c r="G39" s="37">
        <v>-4.275679465877829</v>
      </c>
      <c r="H39" s="33">
        <v>-1.0594293477971632</v>
      </c>
    </row>
    <row r="40" spans="1:8">
      <c r="A40" s="34"/>
      <c r="B40" s="25" t="s">
        <v>200</v>
      </c>
      <c r="C40" s="82" t="s">
        <v>200</v>
      </c>
      <c r="D40" s="82" t="s">
        <v>200</v>
      </c>
      <c r="E40" s="82" t="s">
        <v>200</v>
      </c>
      <c r="F40" s="27"/>
      <c r="G40" s="28" t="s">
        <v>200</v>
      </c>
      <c r="H40" s="29" t="s">
        <v>200</v>
      </c>
    </row>
    <row r="41" spans="1:8">
      <c r="A41" s="30" t="s">
        <v>36</v>
      </c>
      <c r="B41" s="31" t="s">
        <v>3</v>
      </c>
      <c r="C41" s="84">
        <v>2507.6058830962302</v>
      </c>
      <c r="D41" s="84">
        <v>2382.88863794278</v>
      </c>
      <c r="E41" s="83">
        <v>2509.44296733584</v>
      </c>
      <c r="F41" s="22" t="s">
        <v>200</v>
      </c>
      <c r="G41" s="23">
        <v>7.326048530967455E-2</v>
      </c>
      <c r="H41" s="24">
        <v>5.3109628111835718</v>
      </c>
    </row>
    <row r="42" spans="1:8">
      <c r="A42" s="34"/>
      <c r="B42" s="25" t="s">
        <v>200</v>
      </c>
      <c r="C42" s="82" t="s">
        <v>200</v>
      </c>
      <c r="D42" s="82" t="s">
        <v>200</v>
      </c>
      <c r="E42" s="82" t="s">
        <v>200</v>
      </c>
      <c r="F42" s="27"/>
      <c r="G42" s="38" t="s">
        <v>200</v>
      </c>
      <c r="H42" s="24" t="s">
        <v>200</v>
      </c>
    </row>
    <row r="43" spans="1:8">
      <c r="A43" s="30" t="s">
        <v>18</v>
      </c>
      <c r="B43" s="31" t="s">
        <v>3</v>
      </c>
      <c r="C43" s="84">
        <v>207.103359266593</v>
      </c>
      <c r="D43" s="84">
        <v>203.49382550853099</v>
      </c>
      <c r="E43" s="83">
        <v>220.266268346825</v>
      </c>
      <c r="F43" s="22" t="s">
        <v>200</v>
      </c>
      <c r="G43" s="37">
        <v>6.3557197366789637</v>
      </c>
      <c r="H43" s="33">
        <v>8.2422367343970535</v>
      </c>
    </row>
    <row r="44" spans="1:8">
      <c r="A44" s="34"/>
      <c r="B44" s="25" t="s">
        <v>200</v>
      </c>
      <c r="C44" s="82" t="s">
        <v>200</v>
      </c>
      <c r="D44" s="82" t="s">
        <v>200</v>
      </c>
      <c r="E44" s="82" t="s">
        <v>200</v>
      </c>
      <c r="F44" s="27"/>
      <c r="G44" s="28" t="s">
        <v>200</v>
      </c>
      <c r="H44" s="29" t="s">
        <v>200</v>
      </c>
    </row>
    <row r="45" spans="1:8">
      <c r="A45" s="30" t="s">
        <v>37</v>
      </c>
      <c r="B45" s="31" t="s">
        <v>3</v>
      </c>
      <c r="C45" s="84">
        <v>218.907575734354</v>
      </c>
      <c r="D45" s="84">
        <v>214.17610738075001</v>
      </c>
      <c r="E45" s="83">
        <v>252.81820340427001</v>
      </c>
      <c r="F45" s="22" t="s">
        <v>200</v>
      </c>
      <c r="G45" s="37">
        <v>15.490842450818974</v>
      </c>
      <c r="H45" s="33">
        <v>18.042206713013172</v>
      </c>
    </row>
    <row r="46" spans="1:8">
      <c r="A46" s="34"/>
      <c r="B46" s="25" t="s">
        <v>200</v>
      </c>
      <c r="C46" s="82" t="s">
        <v>200</v>
      </c>
      <c r="D46" s="82" t="s">
        <v>200</v>
      </c>
      <c r="E46" s="82" t="s">
        <v>200</v>
      </c>
      <c r="F46" s="27"/>
      <c r="G46" s="28" t="s">
        <v>200</v>
      </c>
      <c r="H46" s="29" t="s">
        <v>200</v>
      </c>
    </row>
    <row r="47" spans="1:8">
      <c r="A47" s="30" t="s">
        <v>38</v>
      </c>
      <c r="B47" s="31" t="s">
        <v>3</v>
      </c>
      <c r="C47" s="84">
        <v>115.174628952522</v>
      </c>
      <c r="D47" s="84">
        <v>98.416478496110699</v>
      </c>
      <c r="E47" s="83">
        <v>87.001213091010001</v>
      </c>
      <c r="F47" s="22" t="s">
        <v>200</v>
      </c>
      <c r="G47" s="23">
        <v>-24.461477425836392</v>
      </c>
      <c r="H47" s="24">
        <v>-11.598937067791766</v>
      </c>
    </row>
    <row r="48" spans="1:8">
      <c r="A48" s="30"/>
      <c r="B48" s="25" t="s">
        <v>200</v>
      </c>
      <c r="C48" s="82" t="s">
        <v>200</v>
      </c>
      <c r="D48" s="82" t="s">
        <v>200</v>
      </c>
      <c r="E48" s="82" t="s">
        <v>200</v>
      </c>
      <c r="F48" s="27"/>
      <c r="G48" s="38" t="s">
        <v>200</v>
      </c>
      <c r="H48" s="24" t="s">
        <v>200</v>
      </c>
    </row>
    <row r="49" spans="1:9">
      <c r="A49" s="39" t="s">
        <v>39</v>
      </c>
      <c r="B49" s="31" t="s">
        <v>3</v>
      </c>
      <c r="C49" s="84">
        <v>1188.07081174321</v>
      </c>
      <c r="D49" s="84">
        <v>1311.8187471884401</v>
      </c>
      <c r="E49" s="83">
        <v>1409.4884598969199</v>
      </c>
      <c r="F49" s="22" t="s">
        <v>200</v>
      </c>
      <c r="G49" s="37">
        <v>18.636738312662729</v>
      </c>
      <c r="H49" s="33">
        <v>7.4453664363168173</v>
      </c>
    </row>
    <row r="50" spans="1:9">
      <c r="A50" s="34"/>
      <c r="B50" s="25" t="s">
        <v>200</v>
      </c>
      <c r="C50" s="82" t="s">
        <v>200</v>
      </c>
      <c r="D50" s="82" t="s">
        <v>200</v>
      </c>
      <c r="E50" s="82" t="s">
        <v>200</v>
      </c>
      <c r="F50" s="27"/>
      <c r="G50" s="28" t="s">
        <v>200</v>
      </c>
      <c r="H50" s="29" t="s">
        <v>200</v>
      </c>
    </row>
    <row r="51" spans="1:9">
      <c r="A51" s="39" t="s">
        <v>40</v>
      </c>
      <c r="B51" s="31" t="s">
        <v>3</v>
      </c>
      <c r="C51" s="84">
        <v>566.58335948257195</v>
      </c>
      <c r="D51" s="84">
        <v>436.52917668788399</v>
      </c>
      <c r="E51" s="83">
        <v>474.30663366213201</v>
      </c>
      <c r="F51" s="22" t="s">
        <v>200</v>
      </c>
      <c r="G51" s="23">
        <v>-16.286522411231942</v>
      </c>
      <c r="H51" s="24">
        <v>8.6540508611314948</v>
      </c>
    </row>
    <row r="52" spans="1:9">
      <c r="A52" s="34"/>
      <c r="B52" s="25" t="s">
        <v>200</v>
      </c>
      <c r="C52" s="82" t="s">
        <v>200</v>
      </c>
      <c r="D52" s="82" t="s">
        <v>200</v>
      </c>
      <c r="E52" s="82" t="s">
        <v>200</v>
      </c>
      <c r="F52" s="27"/>
      <c r="G52" s="38" t="s">
        <v>200</v>
      </c>
      <c r="H52" s="24" t="s">
        <v>200</v>
      </c>
    </row>
    <row r="53" spans="1:9">
      <c r="A53" s="30" t="s">
        <v>41</v>
      </c>
      <c r="B53" s="31" t="s">
        <v>3</v>
      </c>
      <c r="C53" s="84">
        <v>4549.3950337029701</v>
      </c>
      <c r="D53" s="84">
        <v>4781.87647139613</v>
      </c>
      <c r="E53" s="83">
        <v>5004.7238684864296</v>
      </c>
      <c r="F53" s="22" t="s">
        <v>200</v>
      </c>
      <c r="G53" s="37">
        <v>10.008557872206708</v>
      </c>
      <c r="H53" s="33">
        <v>4.6602499755757236</v>
      </c>
    </row>
    <row r="54" spans="1:9">
      <c r="A54" s="34"/>
      <c r="B54" s="25" t="s">
        <v>200</v>
      </c>
      <c r="C54" s="82" t="s">
        <v>200</v>
      </c>
      <c r="D54" s="82" t="s">
        <v>200</v>
      </c>
      <c r="E54" s="82" t="s">
        <v>200</v>
      </c>
      <c r="F54" s="27"/>
      <c r="G54" s="28" t="s">
        <v>200</v>
      </c>
      <c r="H54" s="29" t="s">
        <v>200</v>
      </c>
    </row>
    <row r="55" spans="1:9">
      <c r="A55" s="30" t="s">
        <v>24</v>
      </c>
      <c r="B55" s="31" t="s">
        <v>3</v>
      </c>
      <c r="C55" s="84">
        <v>569.80082454966805</v>
      </c>
      <c r="D55" s="84">
        <v>644.67271366202499</v>
      </c>
      <c r="E55" s="83">
        <v>602.93735527061006</v>
      </c>
      <c r="F55" s="22" t="s">
        <v>200</v>
      </c>
      <c r="G55" s="23">
        <v>5.8154585415229718</v>
      </c>
      <c r="H55" s="24">
        <v>-6.4738831824197547</v>
      </c>
    </row>
    <row r="56" spans="1:9" ht="13.5" thickBot="1">
      <c r="A56" s="56"/>
      <c r="B56" s="42" t="s">
        <v>200</v>
      </c>
      <c r="C56" s="86" t="s">
        <v>200</v>
      </c>
      <c r="D56" s="86" t="s">
        <v>200</v>
      </c>
      <c r="E56" s="86" t="s">
        <v>200</v>
      </c>
      <c r="F56" s="44"/>
      <c r="G56" s="57" t="s">
        <v>200</v>
      </c>
      <c r="H56" s="46" t="s">
        <v>200</v>
      </c>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c r="I59" s="61"/>
    </row>
    <row r="60" spans="1:9">
      <c r="A60" s="52"/>
      <c r="B60" s="52"/>
      <c r="C60" s="52"/>
      <c r="D60" s="52"/>
      <c r="E60" s="52"/>
      <c r="F60" s="52"/>
      <c r="G60" s="52"/>
      <c r="H60" s="52"/>
    </row>
    <row r="61" spans="1:9" ht="12.75" customHeight="1">
      <c r="A61" s="147">
        <v>12</v>
      </c>
      <c r="H61" s="53" t="s">
        <v>201</v>
      </c>
    </row>
    <row r="62" spans="1:9" ht="12.75" customHeight="1">
      <c r="A62" s="148"/>
      <c r="H62" s="53" t="s">
        <v>202</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2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148</v>
      </c>
      <c r="B4" s="5"/>
      <c r="C4" s="5"/>
      <c r="D4" s="5"/>
      <c r="E4" s="5"/>
      <c r="F4" s="5"/>
      <c r="G4" s="5"/>
      <c r="H4" s="6"/>
    </row>
    <row r="5" spans="1:8">
      <c r="A5" s="7"/>
      <c r="B5" s="8"/>
      <c r="C5" s="9"/>
      <c r="D5" s="8"/>
      <c r="E5" s="10"/>
      <c r="F5" s="11"/>
      <c r="G5" s="150" t="s">
        <v>1</v>
      </c>
      <c r="H5" s="151"/>
    </row>
    <row r="6" spans="1:8">
      <c r="A6" s="12"/>
      <c r="B6" s="13"/>
      <c r="C6" s="14" t="s">
        <v>195</v>
      </c>
      <c r="D6" s="15" t="s">
        <v>196</v>
      </c>
      <c r="E6" s="15" t="s">
        <v>197</v>
      </c>
      <c r="F6" s="16"/>
      <c r="G6" s="17" t="s">
        <v>198</v>
      </c>
      <c r="H6" s="18" t="s">
        <v>199</v>
      </c>
    </row>
    <row r="7" spans="1:8">
      <c r="A7" s="152" t="s">
        <v>17</v>
      </c>
      <c r="B7" s="19" t="s">
        <v>3</v>
      </c>
      <c r="C7" s="20">
        <v>263217.77142857102</v>
      </c>
      <c r="D7" s="20">
        <v>243389</v>
      </c>
      <c r="E7" s="21">
        <v>279819</v>
      </c>
      <c r="F7" s="22" t="s">
        <v>200</v>
      </c>
      <c r="G7" s="23">
        <v>6.3070318091854318</v>
      </c>
      <c r="H7" s="24">
        <v>14.967808734166297</v>
      </c>
    </row>
    <row r="8" spans="1:8">
      <c r="A8" s="153"/>
      <c r="B8" s="25" t="s">
        <v>200</v>
      </c>
      <c r="C8" s="26" t="s">
        <v>200</v>
      </c>
      <c r="D8" s="26" t="s">
        <v>200</v>
      </c>
      <c r="E8" s="26" t="s">
        <v>200</v>
      </c>
      <c r="F8" s="27"/>
      <c r="G8" s="28" t="s">
        <v>200</v>
      </c>
      <c r="H8" s="29" t="s">
        <v>200</v>
      </c>
    </row>
    <row r="9" spans="1:8">
      <c r="A9" s="30" t="s">
        <v>18</v>
      </c>
      <c r="B9" s="31" t="s">
        <v>3</v>
      </c>
      <c r="C9" s="20">
        <v>25302.583783783801</v>
      </c>
      <c r="D9" s="20">
        <v>18925</v>
      </c>
      <c r="E9" s="21">
        <v>25075</v>
      </c>
      <c r="F9" s="22" t="s">
        <v>200</v>
      </c>
      <c r="G9" s="32">
        <v>-0.89944879040241688</v>
      </c>
      <c r="H9" s="33">
        <v>32.496697490092487</v>
      </c>
    </row>
    <row r="10" spans="1:8">
      <c r="A10" s="34"/>
      <c r="B10" s="25" t="s">
        <v>200</v>
      </c>
      <c r="C10" s="26" t="s">
        <v>200</v>
      </c>
      <c r="D10" s="26" t="s">
        <v>200</v>
      </c>
      <c r="E10" s="26" t="s">
        <v>200</v>
      </c>
      <c r="F10" s="27"/>
      <c r="G10" s="35" t="s">
        <v>200</v>
      </c>
      <c r="H10" s="29" t="s">
        <v>200</v>
      </c>
    </row>
    <row r="11" spans="1:8">
      <c r="A11" s="30" t="s">
        <v>19</v>
      </c>
      <c r="B11" s="31" t="s">
        <v>3</v>
      </c>
      <c r="C11" s="20">
        <v>65970.238095238106</v>
      </c>
      <c r="D11" s="20">
        <v>54524</v>
      </c>
      <c r="E11" s="21">
        <v>63879</v>
      </c>
      <c r="F11" s="22" t="s">
        <v>200</v>
      </c>
      <c r="G11" s="37">
        <v>-3.1699720292339748</v>
      </c>
      <c r="H11" s="33">
        <v>17.157581982246356</v>
      </c>
    </row>
    <row r="12" spans="1:8">
      <c r="A12" s="34"/>
      <c r="B12" s="25" t="s">
        <v>200</v>
      </c>
      <c r="C12" s="26" t="s">
        <v>200</v>
      </c>
      <c r="D12" s="26" t="s">
        <v>200</v>
      </c>
      <c r="E12" s="26" t="s">
        <v>200</v>
      </c>
      <c r="F12" s="27"/>
      <c r="G12" s="28" t="s">
        <v>200</v>
      </c>
      <c r="H12" s="29" t="s">
        <v>200</v>
      </c>
    </row>
    <row r="13" spans="1:8">
      <c r="A13" s="30" t="s">
        <v>20</v>
      </c>
      <c r="B13" s="31" t="s">
        <v>3</v>
      </c>
      <c r="C13" s="20">
        <v>31291.9673469388</v>
      </c>
      <c r="D13" s="20">
        <v>32747</v>
      </c>
      <c r="E13" s="21">
        <v>35442</v>
      </c>
      <c r="F13" s="22" t="s">
        <v>200</v>
      </c>
      <c r="G13" s="23">
        <v>13.262293824639258</v>
      </c>
      <c r="H13" s="24">
        <v>8.229761504870666</v>
      </c>
    </row>
    <row r="14" spans="1:8">
      <c r="A14" s="34"/>
      <c r="B14" s="25" t="s">
        <v>200</v>
      </c>
      <c r="C14" s="26" t="s">
        <v>200</v>
      </c>
      <c r="D14" s="26" t="s">
        <v>200</v>
      </c>
      <c r="E14" s="26" t="s">
        <v>200</v>
      </c>
      <c r="F14" s="27"/>
      <c r="G14" s="38" t="s">
        <v>200</v>
      </c>
      <c r="H14" s="24" t="s">
        <v>200</v>
      </c>
    </row>
    <row r="15" spans="1:8">
      <c r="A15" s="30" t="s">
        <v>21</v>
      </c>
      <c r="B15" s="31" t="s">
        <v>3</v>
      </c>
      <c r="C15" s="20">
        <v>4062.5142857142901</v>
      </c>
      <c r="D15" s="20">
        <v>4252</v>
      </c>
      <c r="E15" s="21">
        <v>4581</v>
      </c>
      <c r="F15" s="22" t="s">
        <v>200</v>
      </c>
      <c r="G15" s="37">
        <v>12.762680394969934</v>
      </c>
      <c r="H15" s="33">
        <v>7.7375352775164572</v>
      </c>
    </row>
    <row r="16" spans="1:8">
      <c r="A16" s="34"/>
      <c r="B16" s="25" t="s">
        <v>200</v>
      </c>
      <c r="C16" s="26" t="s">
        <v>200</v>
      </c>
      <c r="D16" s="26" t="s">
        <v>200</v>
      </c>
      <c r="E16" s="26" t="s">
        <v>200</v>
      </c>
      <c r="F16" s="27"/>
      <c r="G16" s="28" t="s">
        <v>200</v>
      </c>
      <c r="H16" s="29" t="s">
        <v>200</v>
      </c>
    </row>
    <row r="17" spans="1:8">
      <c r="A17" s="30" t="s">
        <v>22</v>
      </c>
      <c r="B17" s="31" t="s">
        <v>3</v>
      </c>
      <c r="C17" s="20">
        <v>5448.3771428571399</v>
      </c>
      <c r="D17" s="20">
        <v>5756</v>
      </c>
      <c r="E17" s="21">
        <v>6256</v>
      </c>
      <c r="F17" s="22" t="s">
        <v>200</v>
      </c>
      <c r="G17" s="37">
        <v>14.823181948805782</v>
      </c>
      <c r="H17" s="33">
        <v>8.6865879082696438</v>
      </c>
    </row>
    <row r="18" spans="1:8">
      <c r="A18" s="34"/>
      <c r="B18" s="25" t="s">
        <v>200</v>
      </c>
      <c r="C18" s="26" t="s">
        <v>200</v>
      </c>
      <c r="D18" s="26" t="s">
        <v>200</v>
      </c>
      <c r="E18" s="26" t="s">
        <v>200</v>
      </c>
      <c r="F18" s="27"/>
      <c r="G18" s="28" t="s">
        <v>200</v>
      </c>
      <c r="H18" s="29" t="s">
        <v>200</v>
      </c>
    </row>
    <row r="19" spans="1:8">
      <c r="A19" s="30" t="s">
        <v>190</v>
      </c>
      <c r="B19" s="31" t="s">
        <v>3</v>
      </c>
      <c r="C19" s="20">
        <v>70320.871428571394</v>
      </c>
      <c r="D19" s="20">
        <v>80838</v>
      </c>
      <c r="E19" s="21">
        <v>90816</v>
      </c>
      <c r="F19" s="22" t="s">
        <v>200</v>
      </c>
      <c r="G19" s="23">
        <v>29.145157269910385</v>
      </c>
      <c r="H19" s="24">
        <v>12.343204928375258</v>
      </c>
    </row>
    <row r="20" spans="1:8">
      <c r="A20" s="30"/>
      <c r="B20" s="25" t="s">
        <v>200</v>
      </c>
      <c r="C20" s="26" t="s">
        <v>200</v>
      </c>
      <c r="D20" s="26" t="s">
        <v>200</v>
      </c>
      <c r="E20" s="26" t="s">
        <v>200</v>
      </c>
      <c r="F20" s="27"/>
      <c r="G20" s="38" t="s">
        <v>200</v>
      </c>
      <c r="H20" s="24" t="s">
        <v>200</v>
      </c>
    </row>
    <row r="21" spans="1:8">
      <c r="A21" s="39" t="s">
        <v>12</v>
      </c>
      <c r="B21" s="31" t="s">
        <v>3</v>
      </c>
      <c r="C21" s="20">
        <v>2288</v>
      </c>
      <c r="D21" s="20">
        <v>1936</v>
      </c>
      <c r="E21" s="21">
        <v>1983</v>
      </c>
      <c r="F21" s="22" t="s">
        <v>200</v>
      </c>
      <c r="G21" s="37">
        <v>-13.330419580419587</v>
      </c>
      <c r="H21" s="33">
        <v>2.4276859504132347</v>
      </c>
    </row>
    <row r="22" spans="1:8">
      <c r="A22" s="34"/>
      <c r="B22" s="25" t="s">
        <v>200</v>
      </c>
      <c r="C22" s="26" t="s">
        <v>200</v>
      </c>
      <c r="D22" s="26" t="s">
        <v>200</v>
      </c>
      <c r="E22" s="26" t="s">
        <v>200</v>
      </c>
      <c r="F22" s="27"/>
      <c r="G22" s="28" t="s">
        <v>200</v>
      </c>
      <c r="H22" s="29" t="s">
        <v>200</v>
      </c>
    </row>
    <row r="23" spans="1:8">
      <c r="A23" s="39" t="s">
        <v>23</v>
      </c>
      <c r="B23" s="31" t="s">
        <v>3</v>
      </c>
      <c r="C23" s="20">
        <v>12075.6661654135</v>
      </c>
      <c r="D23" s="20">
        <v>11301</v>
      </c>
      <c r="E23" s="21">
        <v>11611</v>
      </c>
      <c r="F23" s="22" t="s">
        <v>200</v>
      </c>
      <c r="G23" s="23">
        <v>-3.8479547136237784</v>
      </c>
      <c r="H23" s="24">
        <v>2.7431200778692073</v>
      </c>
    </row>
    <row r="24" spans="1:8">
      <c r="A24" s="34"/>
      <c r="B24" s="25" t="s">
        <v>200</v>
      </c>
      <c r="C24" s="26" t="s">
        <v>200</v>
      </c>
      <c r="D24" s="26" t="s">
        <v>200</v>
      </c>
      <c r="E24" s="26" t="s">
        <v>200</v>
      </c>
      <c r="F24" s="27"/>
      <c r="G24" s="28" t="s">
        <v>200</v>
      </c>
      <c r="H24" s="29" t="s">
        <v>200</v>
      </c>
    </row>
    <row r="25" spans="1:8">
      <c r="A25" s="30" t="s">
        <v>24</v>
      </c>
      <c r="B25" s="31" t="s">
        <v>3</v>
      </c>
      <c r="C25" s="20">
        <v>49853.647619047602</v>
      </c>
      <c r="D25" s="20">
        <v>36574</v>
      </c>
      <c r="E25" s="21">
        <v>44996</v>
      </c>
      <c r="F25" s="22" t="s">
        <v>200</v>
      </c>
      <c r="G25" s="23">
        <v>-9.7438158510825588</v>
      </c>
      <c r="H25" s="24">
        <v>23.027287143872698</v>
      </c>
    </row>
    <row r="26" spans="1:8" ht="13.5" thickBot="1">
      <c r="A26" s="41"/>
      <c r="B26" s="42" t="s">
        <v>200</v>
      </c>
      <c r="C26" s="43" t="s">
        <v>200</v>
      </c>
      <c r="D26" s="43" t="s">
        <v>200</v>
      </c>
      <c r="E26" s="43" t="s">
        <v>200</v>
      </c>
      <c r="F26" s="44"/>
      <c r="G26" s="45" t="s">
        <v>200</v>
      </c>
      <c r="H26" s="46" t="s">
        <v>200</v>
      </c>
    </row>
    <row r="31" spans="1:8">
      <c r="A31" s="47"/>
      <c r="B31" s="48"/>
      <c r="C31" s="49"/>
      <c r="D31" s="55"/>
      <c r="E31" s="49"/>
      <c r="F31" s="49"/>
      <c r="G31" s="50"/>
      <c r="H31" s="51"/>
    </row>
    <row r="32" spans="1:8" ht="16.5" thickBot="1">
      <c r="A32" s="4" t="s">
        <v>25</v>
      </c>
      <c r="B32" s="5"/>
      <c r="C32" s="5"/>
      <c r="D32" s="5"/>
      <c r="E32" s="5"/>
      <c r="F32" s="5"/>
      <c r="G32" s="5"/>
      <c r="H32" s="6"/>
    </row>
    <row r="33" spans="1:8">
      <c r="A33" s="7"/>
      <c r="B33" s="8"/>
      <c r="C33" s="156" t="s">
        <v>16</v>
      </c>
      <c r="D33" s="150"/>
      <c r="E33" s="150"/>
      <c r="F33" s="157"/>
      <c r="G33" s="150" t="s">
        <v>1</v>
      </c>
      <c r="H33" s="151"/>
    </row>
    <row r="34" spans="1:8">
      <c r="A34" s="12"/>
      <c r="B34" s="13"/>
      <c r="C34" s="14" t="s">
        <v>195</v>
      </c>
      <c r="D34" s="15" t="s">
        <v>196</v>
      </c>
      <c r="E34" s="15" t="s">
        <v>197</v>
      </c>
      <c r="F34" s="16"/>
      <c r="G34" s="17" t="s">
        <v>198</v>
      </c>
      <c r="H34" s="18" t="s">
        <v>199</v>
      </c>
    </row>
    <row r="35" spans="1:8">
      <c r="A35" s="152" t="s">
        <v>17</v>
      </c>
      <c r="B35" s="19" t="s">
        <v>3</v>
      </c>
      <c r="C35" s="80">
        <v>6670.83506606633</v>
      </c>
      <c r="D35" s="80">
        <v>5933.1488251145902</v>
      </c>
      <c r="E35" s="83">
        <v>6543.1428776511902</v>
      </c>
      <c r="F35" s="22" t="s">
        <v>200</v>
      </c>
      <c r="G35" s="23">
        <v>-1.9141859624845665</v>
      </c>
      <c r="H35" s="24">
        <v>10.281118349071903</v>
      </c>
    </row>
    <row r="36" spans="1:8">
      <c r="A36" s="153"/>
      <c r="B36" s="25" t="s">
        <v>200</v>
      </c>
      <c r="C36" s="82" t="s">
        <v>200</v>
      </c>
      <c r="D36" s="82" t="s">
        <v>200</v>
      </c>
      <c r="E36" s="82" t="s">
        <v>200</v>
      </c>
      <c r="F36" s="27"/>
      <c r="G36" s="28" t="s">
        <v>200</v>
      </c>
      <c r="H36" s="29" t="s">
        <v>200</v>
      </c>
    </row>
    <row r="37" spans="1:8">
      <c r="A37" s="30" t="s">
        <v>18</v>
      </c>
      <c r="B37" s="31" t="s">
        <v>3</v>
      </c>
      <c r="C37" s="80">
        <v>2504.1248880399999</v>
      </c>
      <c r="D37" s="80">
        <v>2197.32631618</v>
      </c>
      <c r="E37" s="83">
        <v>2471.8676773306302</v>
      </c>
      <c r="F37" s="22" t="s">
        <v>200</v>
      </c>
      <c r="G37" s="32">
        <v>-1.2881630170856795</v>
      </c>
      <c r="H37" s="33">
        <v>12.494337282953666</v>
      </c>
    </row>
    <row r="38" spans="1:8">
      <c r="A38" s="34"/>
      <c r="B38" s="25" t="s">
        <v>200</v>
      </c>
      <c r="C38" s="82" t="s">
        <v>200</v>
      </c>
      <c r="D38" s="82" t="s">
        <v>200</v>
      </c>
      <c r="E38" s="82" t="s">
        <v>200</v>
      </c>
      <c r="F38" s="27"/>
      <c r="G38" s="35" t="s">
        <v>200</v>
      </c>
      <c r="H38" s="29" t="s">
        <v>200</v>
      </c>
    </row>
    <row r="39" spans="1:8">
      <c r="A39" s="30" t="s">
        <v>19</v>
      </c>
      <c r="B39" s="31" t="s">
        <v>3</v>
      </c>
      <c r="C39" s="80">
        <v>2364.5897409822401</v>
      </c>
      <c r="D39" s="80">
        <v>2003.65075377931</v>
      </c>
      <c r="E39" s="83">
        <v>2295.5718579219401</v>
      </c>
      <c r="F39" s="22" t="s">
        <v>200</v>
      </c>
      <c r="G39" s="37">
        <v>-2.91881005250535</v>
      </c>
      <c r="H39" s="33">
        <v>14.569460450729991</v>
      </c>
    </row>
    <row r="40" spans="1:8">
      <c r="A40" s="34"/>
      <c r="B40" s="25" t="s">
        <v>200</v>
      </c>
      <c r="C40" s="82" t="s">
        <v>200</v>
      </c>
      <c r="D40" s="82" t="s">
        <v>200</v>
      </c>
      <c r="E40" s="82" t="s">
        <v>200</v>
      </c>
      <c r="F40" s="27"/>
      <c r="G40" s="28" t="s">
        <v>200</v>
      </c>
      <c r="H40" s="29" t="s">
        <v>200</v>
      </c>
    </row>
    <row r="41" spans="1:8">
      <c r="A41" s="30" t="s">
        <v>20</v>
      </c>
      <c r="B41" s="31" t="s">
        <v>3</v>
      </c>
      <c r="C41" s="80">
        <v>490.11227493737999</v>
      </c>
      <c r="D41" s="80">
        <v>516.15671999114397</v>
      </c>
      <c r="E41" s="83">
        <v>498.343222900304</v>
      </c>
      <c r="F41" s="22" t="s">
        <v>200</v>
      </c>
      <c r="G41" s="23">
        <v>1.6794004932799709</v>
      </c>
      <c r="H41" s="24">
        <v>-3.451179922862508</v>
      </c>
    </row>
    <row r="42" spans="1:8">
      <c r="A42" s="34"/>
      <c r="B42" s="25" t="s">
        <v>200</v>
      </c>
      <c r="C42" s="82" t="s">
        <v>200</v>
      </c>
      <c r="D42" s="82" t="s">
        <v>200</v>
      </c>
      <c r="E42" s="82" t="s">
        <v>200</v>
      </c>
      <c r="F42" s="27"/>
      <c r="G42" s="38" t="s">
        <v>200</v>
      </c>
      <c r="H42" s="24" t="s">
        <v>200</v>
      </c>
    </row>
    <row r="43" spans="1:8">
      <c r="A43" s="30" t="s">
        <v>21</v>
      </c>
      <c r="B43" s="31" t="s">
        <v>3</v>
      </c>
      <c r="C43" s="80">
        <v>32.828501994062798</v>
      </c>
      <c r="D43" s="80">
        <v>29.915753725985098</v>
      </c>
      <c r="E43" s="83">
        <v>32.795510352263399</v>
      </c>
      <c r="F43" s="22" t="s">
        <v>200</v>
      </c>
      <c r="G43" s="37">
        <v>-0.10049694562781042</v>
      </c>
      <c r="H43" s="33">
        <v>9.6262211965494089</v>
      </c>
    </row>
    <row r="44" spans="1:8">
      <c r="A44" s="34"/>
      <c r="B44" s="25" t="s">
        <v>200</v>
      </c>
      <c r="C44" s="82" t="s">
        <v>200</v>
      </c>
      <c r="D44" s="82" t="s">
        <v>200</v>
      </c>
      <c r="E44" s="82" t="s">
        <v>200</v>
      </c>
      <c r="F44" s="27"/>
      <c r="G44" s="28" t="s">
        <v>200</v>
      </c>
      <c r="H44" s="29" t="s">
        <v>200</v>
      </c>
    </row>
    <row r="45" spans="1:8">
      <c r="A45" s="30" t="s">
        <v>22</v>
      </c>
      <c r="B45" s="31" t="s">
        <v>3</v>
      </c>
      <c r="C45" s="80">
        <v>32.521198622920302</v>
      </c>
      <c r="D45" s="80">
        <v>28.487465665934899</v>
      </c>
      <c r="E45" s="83">
        <v>31.024649797537599</v>
      </c>
      <c r="F45" s="22" t="s">
        <v>200</v>
      </c>
      <c r="G45" s="37">
        <v>-4.6017640454616071</v>
      </c>
      <c r="H45" s="33">
        <v>8.9063174708329456</v>
      </c>
    </row>
    <row r="46" spans="1:8">
      <c r="A46" s="34"/>
      <c r="B46" s="25" t="s">
        <v>200</v>
      </c>
      <c r="C46" s="82" t="s">
        <v>200</v>
      </c>
      <c r="D46" s="82" t="s">
        <v>200</v>
      </c>
      <c r="E46" s="82" t="s">
        <v>200</v>
      </c>
      <c r="F46" s="27"/>
      <c r="G46" s="28" t="s">
        <v>200</v>
      </c>
      <c r="H46" s="29" t="s">
        <v>200</v>
      </c>
    </row>
    <row r="47" spans="1:8">
      <c r="A47" s="30" t="s">
        <v>190</v>
      </c>
      <c r="B47" s="31" t="s">
        <v>3</v>
      </c>
      <c r="C47" s="80">
        <v>576.07121590457803</v>
      </c>
      <c r="D47" s="80">
        <v>516.58043609507899</v>
      </c>
      <c r="E47" s="83">
        <v>536.53297866271998</v>
      </c>
      <c r="F47" s="22" t="s">
        <v>200</v>
      </c>
      <c r="G47" s="23">
        <v>-6.8634287133706096</v>
      </c>
      <c r="H47" s="24">
        <v>3.8624270633370656</v>
      </c>
    </row>
    <row r="48" spans="1:8">
      <c r="A48" s="30"/>
      <c r="B48" s="25" t="s">
        <v>200</v>
      </c>
      <c r="C48" s="82" t="s">
        <v>200</v>
      </c>
      <c r="D48" s="82" t="s">
        <v>200</v>
      </c>
      <c r="E48" s="82" t="s">
        <v>200</v>
      </c>
      <c r="F48" s="27"/>
      <c r="G48" s="38" t="s">
        <v>200</v>
      </c>
      <c r="H48" s="24" t="s">
        <v>200</v>
      </c>
    </row>
    <row r="49" spans="1:8">
      <c r="A49" s="39" t="s">
        <v>12</v>
      </c>
      <c r="B49" s="31" t="s">
        <v>3</v>
      </c>
      <c r="C49" s="80">
        <v>29.8037035182947</v>
      </c>
      <c r="D49" s="80">
        <v>22.053326655314699</v>
      </c>
      <c r="E49" s="83">
        <v>18.538431015465601</v>
      </c>
      <c r="F49" s="22" t="s">
        <v>200</v>
      </c>
      <c r="G49" s="37">
        <v>-37.798230330381678</v>
      </c>
      <c r="H49" s="33">
        <v>-15.938165224619439</v>
      </c>
    </row>
    <row r="50" spans="1:8">
      <c r="A50" s="34"/>
      <c r="B50" s="25" t="s">
        <v>200</v>
      </c>
      <c r="C50" s="82" t="s">
        <v>200</v>
      </c>
      <c r="D50" s="82" t="s">
        <v>200</v>
      </c>
      <c r="E50" s="82" t="s">
        <v>200</v>
      </c>
      <c r="F50" s="27"/>
      <c r="G50" s="28" t="s">
        <v>200</v>
      </c>
      <c r="H50" s="29" t="s">
        <v>200</v>
      </c>
    </row>
    <row r="51" spans="1:8">
      <c r="A51" s="39" t="s">
        <v>23</v>
      </c>
      <c r="B51" s="31" t="s">
        <v>3</v>
      </c>
      <c r="C51" s="80">
        <v>271.560164552407</v>
      </c>
      <c r="D51" s="80">
        <v>273.14489621899202</v>
      </c>
      <c r="E51" s="83">
        <v>286.34974704564701</v>
      </c>
      <c r="F51" s="22" t="s">
        <v>200</v>
      </c>
      <c r="G51" s="23">
        <v>5.4461531637442562</v>
      </c>
      <c r="H51" s="24">
        <v>4.8343758237635654</v>
      </c>
    </row>
    <row r="52" spans="1:8">
      <c r="A52" s="34"/>
      <c r="B52" s="25" t="s">
        <v>200</v>
      </c>
      <c r="C52" s="82" t="s">
        <v>200</v>
      </c>
      <c r="D52" s="82" t="s">
        <v>200</v>
      </c>
      <c r="E52" s="82" t="s">
        <v>200</v>
      </c>
      <c r="F52" s="27"/>
      <c r="G52" s="28" t="s">
        <v>200</v>
      </c>
      <c r="H52" s="29" t="s">
        <v>200</v>
      </c>
    </row>
    <row r="53" spans="1:8">
      <c r="A53" s="30" t="s">
        <v>24</v>
      </c>
      <c r="B53" s="31" t="s">
        <v>3</v>
      </c>
      <c r="C53" s="80">
        <v>369.22337751444201</v>
      </c>
      <c r="D53" s="80">
        <v>345.83315680283101</v>
      </c>
      <c r="E53" s="83">
        <v>372.11880262467503</v>
      </c>
      <c r="F53" s="22" t="s">
        <v>200</v>
      </c>
      <c r="G53" s="23">
        <v>0.78419333296947968</v>
      </c>
      <c r="H53" s="24">
        <v>7.600672551137194</v>
      </c>
    </row>
    <row r="54" spans="1:8" ht="13.5" thickBot="1">
      <c r="A54" s="41"/>
      <c r="B54" s="42" t="s">
        <v>200</v>
      </c>
      <c r="C54" s="86" t="s">
        <v>200</v>
      </c>
      <c r="D54" s="86" t="s">
        <v>200</v>
      </c>
      <c r="E54" s="86" t="s">
        <v>200</v>
      </c>
      <c r="F54" s="44"/>
      <c r="G54" s="45" t="s">
        <v>200</v>
      </c>
      <c r="H54" s="46" t="s">
        <v>200</v>
      </c>
    </row>
    <row r="59" spans="1:8">
      <c r="A59" s="47"/>
      <c r="B59" s="48"/>
      <c r="C59" s="49"/>
      <c r="D59" s="49"/>
      <c r="E59" s="49"/>
      <c r="F59" s="49"/>
      <c r="G59" s="50"/>
      <c r="H59" s="51"/>
    </row>
    <row r="60" spans="1:8">
      <c r="A60" s="52"/>
      <c r="B60" s="52"/>
      <c r="C60" s="52"/>
      <c r="D60" s="52"/>
      <c r="E60" s="52"/>
      <c r="F60" s="52"/>
      <c r="G60" s="52"/>
      <c r="H60" s="52"/>
    </row>
    <row r="61" spans="1:8" ht="12.75" customHeight="1">
      <c r="A61" s="54" t="s">
        <v>201</v>
      </c>
      <c r="G61" s="53"/>
      <c r="H61" s="155">
        <v>13</v>
      </c>
    </row>
    <row r="62" spans="1:8" ht="12.75" customHeight="1">
      <c r="A62" s="54" t="s">
        <v>202</v>
      </c>
      <c r="G62" s="53"/>
      <c r="H62" s="146"/>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tatistikk" ma:contentTypeID="0x0101000C511E5DF31BAD48807550FE88829D9D0038FF55C83469DE4F9B7DCA1B89E318DA" ma:contentTypeVersion="4" ma:contentTypeDescription="" ma:contentTypeScope="" ma:versionID="ca25aed54c960d52022b61f452b943cb">
  <xsd:schema xmlns:xsd="http://www.w3.org/2001/XMLSchema" xmlns:xs="http://www.w3.org/2001/XMLSchema" xmlns:p="http://schemas.microsoft.com/office/2006/metadata/properties" xmlns:ns2="6edf9311-6556-4af2-85ff-d57844cfe120" xmlns:ns3="d35b3e2b-d440-44dd-b9dd-e54a3943adc2" targetNamespace="http://schemas.microsoft.com/office/2006/metadata/properties" ma:root="true" ma:fieldsID="6aaeb2f404abc7033daa625e0dd95337" ns2:_="" ns3:_="">
    <xsd:import namespace="6edf9311-6556-4af2-85ff-d57844cfe120"/>
    <xsd:import namespace="d35b3e2b-d440-44dd-b9dd-e54a3943adc2"/>
    <xsd:element name="properties">
      <xsd:complexType>
        <xsd:sequence>
          <xsd:element name="documentManagement">
            <xsd:complexType>
              <xsd:all>
                <xsd:element ref="ns2:a0e180d50ff4423da66c611fe0af74a4" minOccurs="0"/>
                <xsd:element ref="ns2:TaxCatchAll" minOccurs="0"/>
                <xsd:element ref="ns2:TaxCatchAllLabel" minOccurs="0"/>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df9311-6556-4af2-85ff-d57844cfe120" elementFormDefault="qualified">
    <xsd:import namespace="http://schemas.microsoft.com/office/2006/documentManagement/types"/>
    <xsd:import namespace="http://schemas.microsoft.com/office/infopath/2007/PartnerControls"/>
    <xsd:element name="a0e180d50ff4423da66c611fe0af74a4" ma:index="8" ma:taxonomy="true" ma:internalName="a0e180d50ff4423da66c611fe0af74a4" ma:taxonomyFieldName="Statistikk" ma:displayName="Statistikk" ma:indexed="true" ma:default="" ma:fieldId="{a0e180d5-0ff4-423d-a66c-611fe0af74a4}" ma:sspId="dab2b8ef-c951-45bf-a0d0-9b3f2fbb5ccb" ma:termSetId="11bf6401-ff6f-43ab-90c7-9959af6e7799"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50ebe59-b68a-4ac7-afab-48fa3cf54c5c}" ma:internalName="TaxCatchAll" ma:showField="CatchAllData" ma:web="6edf9311-6556-4af2-85ff-d57844cfe12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50ebe59-b68a-4ac7-afab-48fa3cf54c5c}" ma:internalName="TaxCatchAllLabel" ma:readOnly="true" ma:showField="CatchAllDataLabel" ma:web="6edf9311-6556-4af2-85ff-d57844cfe120">
      <xsd:complexType>
        <xsd:complexContent>
          <xsd:extension base="dms:MultiChoiceLookup">
            <xsd:sequence>
              <xsd:element name="Value" type="dms:Lookup" maxOccurs="unbounded" minOccurs="0" nillable="true"/>
            </xsd:sequence>
          </xsd:extension>
        </xsd:complexContent>
      </xsd:complexType>
    </xsd:element>
    <xsd:element name="_dlc_DocId" ma:index="12" nillable="true" ma:displayName="Dokument-ID-verdi" ma:description="Verdien for dokument-IDen som er tilordnet elementet." ma:internalName="_dlc_DocId" ma:readOnly="true">
      <xsd:simpleType>
        <xsd:restriction base="dms:Text"/>
      </xsd:simpleType>
    </xsd:element>
    <xsd:element name="_dlc_DocIdUrl" ma:index="13" nillable="true" ma:displayName="Dokument-ID" ma:description="Fast kobling til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35b3e2b-d440-44dd-b9dd-e54a3943adc2"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0e180d50ff4423da66c611fe0af74a4 xmlns="6edf9311-6556-4af2-85ff-d57844cfe120">
      <Terms xmlns="http://schemas.microsoft.com/office/infopath/2007/PartnerControls"/>
    </a0e180d50ff4423da66c611fe0af74a4>
    <TaxCatchAll xmlns="6edf9311-6556-4af2-85ff-d57844cfe120" xsi:nil="true"/>
    <_dlc_DocId xmlns="6edf9311-6556-4af2-85ff-d57844cfe120">2020-123998358-317</_dlc_DocId>
    <_dlc_DocIdUrl xmlns="6edf9311-6556-4af2-85ff-d57844cfe120">
      <Url>https://finansnorge.sharepoint.com/sites/intranett/arkiv/_layouts/15/DocIdRedir.aspx?ID=2020-123998358-317</Url>
      <Description>2020-123998358-317</Description>
    </_dlc_DocIdUrl>
  </documentManagement>
</p:properties>
</file>

<file path=customXml/itemProps1.xml><?xml version="1.0" encoding="utf-8"?>
<ds:datastoreItem xmlns:ds="http://schemas.openxmlformats.org/officeDocument/2006/customXml" ds:itemID="{6E568657-5308-483F-8C91-5927AD8A6D1B}"/>
</file>

<file path=customXml/itemProps2.xml><?xml version="1.0" encoding="utf-8"?>
<ds:datastoreItem xmlns:ds="http://schemas.openxmlformats.org/officeDocument/2006/customXml" ds:itemID="{FC6E3B60-9D01-4078-99E3-CA8306ACA4AB}"/>
</file>

<file path=customXml/itemProps3.xml><?xml version="1.0" encoding="utf-8"?>
<ds:datastoreItem xmlns:ds="http://schemas.openxmlformats.org/officeDocument/2006/customXml" ds:itemID="{0802835A-3058-4831-947B-D89F3A96F96B}"/>
</file>

<file path=customXml/itemProps4.xml><?xml version="1.0" encoding="utf-8"?>
<ds:datastoreItem xmlns:ds="http://schemas.openxmlformats.org/officeDocument/2006/customXml" ds:itemID="{AF08E4DD-9679-44EA-80BE-ECA680E469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28</vt:i4>
      </vt:variant>
    </vt:vector>
  </HeadingPairs>
  <TitlesOfParts>
    <vt:vector size="48" baseType="lpstr">
      <vt:lpstr>Forside </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aar</vt:lpstr>
      <vt:lpstr>aar_1</vt:lpstr>
      <vt:lpstr>aar_2</vt:lpstr>
      <vt:lpstr>aaret_i_alt</vt:lpstr>
      <vt:lpstr>hittil_i_aar</vt:lpstr>
      <vt:lpstr>'Forside '!Print_Area</vt:lpstr>
      <vt:lpstr>Innhold!Print_Area</vt:lpstr>
      <vt:lpstr>'Tab1'!Print_Area</vt:lpstr>
      <vt:lpstr>'Tab10'!Print_Area</vt:lpstr>
      <vt:lpstr>'Tab11'!Print_Area</vt:lpstr>
      <vt:lpstr>'Tab12'!Print_Area</vt:lpstr>
      <vt:lpstr>'Tab13'!Print_Area</vt:lpstr>
      <vt:lpstr>'Tab14'!Print_Area</vt:lpstr>
      <vt:lpstr>'Tab15'!Print_Area</vt:lpstr>
      <vt:lpstr>'Tab16'!Print_Area</vt:lpstr>
      <vt:lpstr>'Tab17'!Print_Area</vt:lpstr>
      <vt:lpstr>'Tab18'!Print_Area</vt:lpstr>
      <vt:lpstr>'Tab2'!Print_Area</vt:lpstr>
      <vt:lpstr>'Tab3'!Print_Area</vt:lpstr>
      <vt:lpstr>'Tab4'!Print_Area</vt:lpstr>
      <vt:lpstr>'Tab5'!Print_Area</vt:lpstr>
      <vt:lpstr>'Tab6'!Print_Area</vt:lpstr>
      <vt:lpstr>'Tab7'!Print_Area</vt:lpstr>
      <vt:lpstr>'Tab8'!Print_Area</vt:lpstr>
      <vt:lpstr>'Tab9'!Print_Area</vt:lpstr>
      <vt:lpstr>Print_Area</vt:lpstr>
      <vt:lpstr>pros_1</vt:lpstr>
      <vt:lpstr>pros_2</vt:lpstr>
    </vt:vector>
  </TitlesOfParts>
  <Company>FNH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hmoseby</cp:lastModifiedBy>
  <cp:lastPrinted>2014-02-10T13:23:24Z</cp:lastPrinted>
  <dcterms:created xsi:type="dcterms:W3CDTF">2002-02-09T09:48:14Z</dcterms:created>
  <dcterms:modified xsi:type="dcterms:W3CDTF">2014-02-12T12:27:09Z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0x0101000C511E5DF31BAD48807550FE88829D9D0038FF55C83469DE4F9B7DCA1B89E318DA</vt:lpwstr>
  </property>
  <property fmtid="{D5CDD505-2E9C-101B-9397-08002B2CF9AE}" pid="3" name="_dlc_DocIdItemGuid">
    <vt:lpwstr>258dedca-83b8-4049-aa8e-4facefc384f4</vt:lpwstr>
  </property>
</Properties>
</file>