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M:\Statistikk og analyse\HMoseby\Kvartalstatistikkene\Skadestatistikk\Rapport\"/>
    </mc:Choice>
  </mc:AlternateContent>
  <xr:revisionPtr revIDLastSave="0" documentId="8_{7DE950A1-5E7F-4BE9-BE36-121A57926744}" xr6:coauthVersionLast="47" xr6:coauthVersionMax="47" xr10:uidLastSave="{00000000-0000-0000-0000-000000000000}"/>
  <bookViews>
    <workbookView xWindow="-120" yWindow="-120" windowWidth="29040" windowHeight="15840" tabRatio="91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9" i="19" l="1"/>
  <c r="T228" i="19"/>
  <c r="T227" i="19"/>
  <c r="T226" i="19"/>
  <c r="T225" i="19"/>
  <c r="T224" i="19"/>
  <c r="T223" i="19"/>
  <c r="T222" i="19"/>
  <c r="T221" i="19"/>
  <c r="Q229" i="19"/>
  <c r="Q228" i="19"/>
  <c r="Q227" i="19"/>
  <c r="Q226" i="19"/>
  <c r="Q225" i="19"/>
  <c r="Q224" i="19"/>
  <c r="Q223" i="19"/>
  <c r="Q222" i="19"/>
  <c r="Q221" i="19"/>
  <c r="N229" i="19"/>
  <c r="N228" i="19"/>
  <c r="N227" i="19"/>
  <c r="N226" i="19"/>
  <c r="N225" i="19"/>
  <c r="N224" i="19"/>
  <c r="N223" i="19"/>
  <c r="N222" i="19"/>
  <c r="N221" i="19"/>
  <c r="D229" i="19"/>
  <c r="D228" i="19"/>
  <c r="D227" i="19"/>
  <c r="D226" i="19"/>
  <c r="D225" i="19"/>
  <c r="D224" i="19"/>
  <c r="D223" i="19"/>
  <c r="D222" i="19"/>
  <c r="D221" i="19"/>
  <c r="D220" i="19"/>
  <c r="D219" i="19"/>
  <c r="C229" i="19"/>
  <c r="C228" i="19"/>
  <c r="C227" i="19"/>
  <c r="C226" i="19"/>
  <c r="C225" i="19"/>
  <c r="C224" i="19"/>
  <c r="C223" i="19"/>
  <c r="C222" i="19"/>
  <c r="C221" i="19"/>
  <c r="C220" i="19"/>
  <c r="C219" i="19"/>
  <c r="B124" i="21" l="1"/>
  <c r="I62" i="19" s="1"/>
  <c r="Y102" i="19"/>
  <c r="Y88" i="19"/>
  <c r="W130" i="19"/>
  <c r="Y133" i="19"/>
  <c r="X133" i="19"/>
  <c r="Y125" i="19"/>
  <c r="W125" i="19"/>
  <c r="S233" i="19"/>
  <c r="S231" i="19" s="1"/>
  <c r="O233" i="19"/>
  <c r="O231" i="19" s="1"/>
  <c r="M233" i="19"/>
  <c r="M231" i="19" s="1"/>
  <c r="L233" i="19"/>
  <c r="L231" i="19" s="1"/>
  <c r="G232" i="19"/>
  <c r="E232" i="19"/>
  <c r="T220" i="19"/>
  <c r="Q220" i="19"/>
  <c r="N220" i="19"/>
  <c r="T219" i="19"/>
  <c r="Q219" i="19"/>
  <c r="N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C146" i="19"/>
  <c r="T145" i="19"/>
  <c r="Q145" i="19"/>
  <c r="N145" i="19"/>
  <c r="D145" i="19"/>
  <c r="C145" i="19"/>
  <c r="T144" i="19"/>
  <c r="Q144" i="19"/>
  <c r="N144" i="19"/>
  <c r="D144" i="19"/>
  <c r="C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W133" i="19"/>
  <c r="T133" i="19"/>
  <c r="Q133" i="19"/>
  <c r="N133" i="19"/>
  <c r="Y132" i="19"/>
  <c r="X132" i="19"/>
  <c r="W132" i="19"/>
  <c r="T132" i="19"/>
  <c r="Q132" i="19"/>
  <c r="N132" i="19"/>
  <c r="D132" i="19"/>
  <c r="D133" i="19" s="1"/>
  <c r="C132" i="19"/>
  <c r="C133" i="19" s="1"/>
  <c r="Y131" i="19"/>
  <c r="X131" i="19"/>
  <c r="W131" i="19"/>
  <c r="T131" i="19"/>
  <c r="Q131" i="19"/>
  <c r="N131" i="19"/>
  <c r="T130" i="19"/>
  <c r="Q130" i="19"/>
  <c r="N130" i="19"/>
  <c r="T129" i="19"/>
  <c r="Q129" i="19"/>
  <c r="N129" i="19"/>
  <c r="T128" i="19"/>
  <c r="Q128" i="19"/>
  <c r="N128" i="19"/>
  <c r="D128" i="19"/>
  <c r="D129" i="19" s="1"/>
  <c r="D130" i="19" s="1"/>
  <c r="C128" i="19"/>
  <c r="T127" i="19"/>
  <c r="Q127" i="19"/>
  <c r="N127" i="19"/>
  <c r="T126" i="19"/>
  <c r="Q126" i="19"/>
  <c r="N126" i="19"/>
  <c r="T125" i="19"/>
  <c r="Q125" i="19"/>
  <c r="N125" i="19"/>
  <c r="X124" i="19"/>
  <c r="W124" i="19"/>
  <c r="T124" i="19"/>
  <c r="Q124" i="19"/>
  <c r="N124" i="19"/>
  <c r="D124" i="19"/>
  <c r="D125" i="19" s="1"/>
  <c r="C124" i="19"/>
  <c r="C125" i="19" s="1"/>
  <c r="Y123" i="19"/>
  <c r="X123" i="19"/>
  <c r="W123" i="19"/>
  <c r="T123" i="19"/>
  <c r="Q123" i="19"/>
  <c r="N123" i="19"/>
  <c r="X122" i="19"/>
  <c r="T122" i="19"/>
  <c r="Q122" i="19"/>
  <c r="N122" i="19"/>
  <c r="Y121" i="19"/>
  <c r="T121" i="19"/>
  <c r="Q121" i="19"/>
  <c r="N121" i="19"/>
  <c r="T120" i="19"/>
  <c r="Q120" i="19"/>
  <c r="N120" i="19"/>
  <c r="D120" i="19"/>
  <c r="D121" i="19" s="1"/>
  <c r="D122" i="19" s="1"/>
  <c r="C120" i="19"/>
  <c r="T119" i="19"/>
  <c r="Q119" i="19"/>
  <c r="N119" i="19"/>
  <c r="T118" i="19"/>
  <c r="Q118" i="19"/>
  <c r="N118" i="19"/>
  <c r="Y117" i="19"/>
  <c r="X117" i="19"/>
  <c r="W117" i="19"/>
  <c r="T117" i="19"/>
  <c r="Q117" i="19"/>
  <c r="N117" i="19"/>
  <c r="T116" i="19"/>
  <c r="Q116" i="19"/>
  <c r="N116" i="19"/>
  <c r="D116" i="19"/>
  <c r="C116" i="19"/>
  <c r="T115" i="19"/>
  <c r="Q115" i="19"/>
  <c r="N115" i="19"/>
  <c r="Y114" i="19"/>
  <c r="X114" i="19"/>
  <c r="T114" i="19"/>
  <c r="Q114" i="19"/>
  <c r="N114" i="19"/>
  <c r="Y113" i="19"/>
  <c r="X113" i="19"/>
  <c r="W113" i="19"/>
  <c r="T113" i="19"/>
  <c r="Q113" i="19"/>
  <c r="N113" i="19"/>
  <c r="Y112" i="19"/>
  <c r="X112" i="19"/>
  <c r="W112"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Y106" i="19"/>
  <c r="X106" i="19"/>
  <c r="W106" i="19"/>
  <c r="T106" i="19"/>
  <c r="Q106" i="19"/>
  <c r="N106" i="19"/>
  <c r="T105" i="19"/>
  <c r="Q105" i="19"/>
  <c r="N105" i="19"/>
  <c r="T104" i="19"/>
  <c r="Q104" i="19"/>
  <c r="N104" i="19"/>
  <c r="Y103" i="19"/>
  <c r="X103" i="19"/>
  <c r="W103" i="19"/>
  <c r="T103" i="19"/>
  <c r="Q103" i="19"/>
  <c r="N103" i="19"/>
  <c r="W102" i="19"/>
  <c r="N102" i="19"/>
  <c r="Y101" i="19"/>
  <c r="X101" i="19"/>
  <c r="N101" i="19"/>
  <c r="N100" i="19"/>
  <c r="N99" i="19"/>
  <c r="N98" i="19"/>
  <c r="N97" i="19"/>
  <c r="N96" i="19"/>
  <c r="N95" i="19"/>
  <c r="N94" i="19"/>
  <c r="N93" i="19"/>
  <c r="Y92" i="19"/>
  <c r="X92" i="19"/>
  <c r="N92" i="19"/>
  <c r="Y91" i="19"/>
  <c r="X91" i="19"/>
  <c r="W91" i="19"/>
  <c r="N91" i="19"/>
  <c r="Y90" i="19"/>
  <c r="X90" i="19"/>
  <c r="N90" i="19"/>
  <c r="W89" i="19"/>
  <c r="N89" i="19"/>
  <c r="X88" i="19"/>
  <c r="W88" i="19"/>
  <c r="N88" i="19"/>
  <c r="Y87" i="19"/>
  <c r="W87" i="19"/>
  <c r="N87" i="19"/>
  <c r="Y86" i="19"/>
  <c r="N86" i="19"/>
  <c r="Y85" i="19"/>
  <c r="X85" i="19"/>
  <c r="W85" i="19"/>
  <c r="N85" i="19"/>
  <c r="X84" i="19"/>
  <c r="W84" i="19"/>
  <c r="N84" i="19"/>
  <c r="Y83" i="19"/>
  <c r="W83" i="19"/>
  <c r="N83" i="19"/>
  <c r="N82" i="19"/>
  <c r="N81" i="19"/>
  <c r="N80" i="19"/>
  <c r="N79" i="19"/>
  <c r="N78" i="19"/>
  <c r="Z77" i="19"/>
  <c r="N77" i="19"/>
  <c r="Z76" i="19"/>
  <c r="Y76" i="19"/>
  <c r="N76" i="19"/>
  <c r="Z75" i="19"/>
  <c r="Y75" i="19"/>
  <c r="N75" i="19"/>
  <c r="Z74" i="19"/>
  <c r="Y74" i="19"/>
  <c r="X74" i="19"/>
  <c r="N74" i="19"/>
  <c r="N73" i="19"/>
  <c r="Z72" i="19"/>
  <c r="Z78" i="19" s="1"/>
  <c r="X72" i="19"/>
  <c r="N72" i="19"/>
  <c r="N71" i="19"/>
  <c r="Z70" i="19"/>
  <c r="AD62" i="19"/>
  <c r="A62" i="19"/>
  <c r="AD61" i="19"/>
  <c r="I61" i="19"/>
  <c r="AD32" i="19"/>
  <c r="B20" i="21" s="1"/>
  <c r="W32" i="19"/>
  <c r="B18" i="21" s="1"/>
  <c r="P32" i="19"/>
  <c r="B16" i="21" s="1"/>
  <c r="I32" i="19"/>
  <c r="B14" i="21" s="1"/>
  <c r="A32" i="19"/>
  <c r="B12" i="21" s="1"/>
  <c r="AD6" i="19"/>
  <c r="B19" i="21" s="1"/>
  <c r="W6" i="19"/>
  <c r="B17" i="21" s="1"/>
  <c r="I6" i="19"/>
  <c r="B13" i="21" s="1"/>
  <c r="A6" i="19"/>
  <c r="B11" i="21" s="1"/>
  <c r="A52" i="23"/>
  <c r="A51" i="23"/>
  <c r="B123" i="21"/>
  <c r="P61" i="19" s="1"/>
  <c r="B61" i="21"/>
  <c r="H24" i="21"/>
  <c r="H26" i="21" s="1"/>
  <c r="B15" i="21"/>
  <c r="C121" i="19" l="1"/>
  <c r="C122" i="19" s="1"/>
  <c r="C129" i="19"/>
  <c r="C130" i="19" s="1"/>
  <c r="C126" i="19"/>
  <c r="D126" i="19"/>
  <c r="B62" i="21"/>
  <c r="H28" i="21"/>
  <c r="H29" i="21" s="1"/>
  <c r="H31" i="21" s="1"/>
  <c r="H27" i="21"/>
  <c r="W121" i="19"/>
  <c r="W128" i="19"/>
  <c r="W82" i="19"/>
  <c r="W100" i="19" s="1"/>
  <c r="W111" i="19" s="1"/>
  <c r="X70" i="19"/>
  <c r="Y84" i="19"/>
  <c r="X102" i="19"/>
  <c r="X104" i="19" s="1"/>
  <c r="D117" i="19"/>
  <c r="D118" i="19" s="1"/>
  <c r="X125" i="19"/>
  <c r="X130" i="19"/>
  <c r="X129" i="19"/>
  <c r="Y89" i="19"/>
  <c r="Y93" i="19" s="1"/>
  <c r="Y95" i="19" s="1"/>
  <c r="Y115" i="19"/>
  <c r="R232" i="19"/>
  <c r="Y128" i="19"/>
  <c r="Y130" i="19"/>
  <c r="Y129" i="19"/>
  <c r="Y82" i="19"/>
  <c r="Y100" i="19" s="1"/>
  <c r="Y111" i="19" s="1"/>
  <c r="X89" i="19"/>
  <c r="W92" i="19"/>
  <c r="Y72" i="19"/>
  <c r="C117" i="19"/>
  <c r="C118" i="19" s="1"/>
  <c r="W122" i="19"/>
  <c r="W129" i="19"/>
  <c r="X87" i="19"/>
  <c r="X115" i="19"/>
  <c r="X82" i="19"/>
  <c r="X100" i="19" s="1"/>
  <c r="X111" i="19" s="1"/>
  <c r="Y70" i="19"/>
  <c r="X128" i="19"/>
  <c r="W90" i="19"/>
  <c r="X77" i="19"/>
  <c r="X75" i="19"/>
  <c r="H53" i="24"/>
  <c r="A53" i="24"/>
  <c r="W62" i="19"/>
  <c r="P62" i="19"/>
  <c r="X76" i="19"/>
  <c r="X121" i="19"/>
  <c r="Y122" i="19"/>
  <c r="X83" i="19"/>
  <c r="W101" i="19"/>
  <c r="W104" i="19" s="1"/>
  <c r="Y124" i="19"/>
  <c r="Y104" i="19"/>
  <c r="W114" i="19"/>
  <c r="W115" i="19" s="1"/>
  <c r="Y77" i="19"/>
  <c r="X86" i="19"/>
  <c r="W86" i="19"/>
  <c r="W93" i="19" s="1"/>
  <c r="W95" i="19" s="1"/>
  <c r="P233" i="19"/>
  <c r="P231" i="19" s="1"/>
  <c r="A61" i="19"/>
  <c r="R233" i="19"/>
  <c r="R231" i="19" s="1"/>
  <c r="H52" i="24"/>
  <c r="A52" i="24"/>
  <c r="W61" i="19"/>
  <c r="M232" i="19"/>
  <c r="X78" i="19" l="1"/>
  <c r="P232" i="19"/>
  <c r="S232" i="19"/>
  <c r="L232" i="19"/>
  <c r="X93" i="19"/>
  <c r="X95" i="19" s="1"/>
  <c r="O232" i="19"/>
  <c r="Y78" i="19"/>
  <c r="H32" i="21"/>
  <c r="H33" i="21"/>
  <c r="H34" i="21" s="1"/>
  <c r="H35" i="21" s="1"/>
  <c r="H36" i="21" s="1"/>
  <c r="H37" i="21" s="1"/>
  <c r="H38" i="21" s="1"/>
  <c r="H40" i="21" s="1"/>
  <c r="H43" i="21" l="1"/>
  <c r="H41" i="21"/>
  <c r="H45" i="21" l="1"/>
  <c r="H46" i="21" s="1"/>
  <c r="H47" i="21" s="1"/>
  <c r="H48" i="21" s="1"/>
  <c r="H66" i="21" s="1"/>
  <c r="H67" i="21" s="1"/>
  <c r="H68" i="21" s="1"/>
  <c r="H69" i="21" s="1"/>
  <c r="H70" i="21" s="1"/>
  <c r="H71" i="21" s="1"/>
  <c r="H73" i="21" s="1"/>
  <c r="H74" i="21" s="1"/>
  <c r="H75" i="21" s="1"/>
  <c r="H76" i="21" s="1"/>
  <c r="H77" i="21" s="1"/>
  <c r="H78" i="21" s="1"/>
  <c r="H80" i="21" s="1"/>
  <c r="H44" i="21"/>
</calcChain>
</file>

<file path=xl/sharedStrings.xml><?xml version="1.0" encoding="utf-8"?>
<sst xmlns="http://schemas.openxmlformats.org/spreadsheetml/2006/main" count="1536" uniqueCount="244">
  <si>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</si>
  <si>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</si>
  <si>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</si>
  <si>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</si>
  <si>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</si>
  <si>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</si>
  <si>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</si>
  <si>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</si>
  <si>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</si>
  <si>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</si>
  <si>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</si>
  <si>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</si>
  <si>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</si>
  <si>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</si>
  <si>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</si>
  <si>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</si>
  <si>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</si>
  <si>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</si>
  <si>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</si>
  <si>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</si>
  <si>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</si>
  <si>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</si>
  <si>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</si>
  <si>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</si>
  <si>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</si>
  <si>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</si>
  <si>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</si>
  <si>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</si>
  <si>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</si>
  <si>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</si>
  <si>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</si>
  <si>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</si>
  <si>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</si>
  <si>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</si>
  <si>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</si>
  <si>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</si>
  <si>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</si>
  <si>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</si>
  <si>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</si>
  <si>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</si>
  <si>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</si>
  <si>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</si>
  <si>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</si>
  <si>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</si>
  <si>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</si>
  <si>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</si>
  <si>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</si>
  <si>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</si>
  <si>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</si>
  <si>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</si>
  <si>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</si>
  <si>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</si>
  <si>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</si>
  <si>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</si>
  <si>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</si>
  <si>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</si>
  <si>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</si>
  <si>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</si>
  <si>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</si>
  <si>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</si>
  <si>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</si>
  <si>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</si>
  <si>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</si>
  <si>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</si>
  <si>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</si>
  <si>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</si>
  <si>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</si>
  <si>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</si>
  <si>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</si>
  <si>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</si>
  <si>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</si>
  <si>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</si>
  <si>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</si>
  <si>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</si>
  <si>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</si>
  <si>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</si>
  <si>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</si>
  <si>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</si>
  <si>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</si>
  <si>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</si>
  <si>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</si>
  <si>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</si>
  <si>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</si>
  <si>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</si>
  <si>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</si>
  <si>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</si>
  <si>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</si>
  <si>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</si>
  <si>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</si>
  <si>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</si>
  <si>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</si>
  <si>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</si>
  <si>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</si>
  <si>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</si>
  <si>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</si>
  <si>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</si>
  <si>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</si>
  <si>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</si>
  <si>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</si>
  <si>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</si>
  <si>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</si>
  <si>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</si>
  <si>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</si>
  <si>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</si>
  <si>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</si>
  <si>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</si>
  <si>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</si>
  <si>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</si>
  <si>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</si>
  <si>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</si>
  <si>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</si>
  <si>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</si>
  <si>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</si>
  <si>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</si>
  <si>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</si>
  <si>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</si>
  <si>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</si>
  <si>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</si>
  <si>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</si>
  <si>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</si>
  <si>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</si>
  <si>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</si>
  <si>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</si>
  <si>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</si>
  <si>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</si>
  <si>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</si>
  <si>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</si>
  <si>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</si>
  <si>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</si>
  <si>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</si>
  <si>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</si>
  <si>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</si>
  <si>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</si>
  <si>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</si>
  <si>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</si>
  <si>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</si>
  <si>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</si>
  <si>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</si>
  <si>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</si>
  <si>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</si>
  <si>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</si>
  <si>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</si>
  <si>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</si>
  <si>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</si>
  <si>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</si>
  <si>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</si>
  <si>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</si>
  <si>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</si>
  <si>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</si>
  <si>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</si>
  <si>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</si>
  <si>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</si>
  <si>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</si>
  <si>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</si>
  <si>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</si>
  <si>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</si>
  <si>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</si>
  <si>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</si>
  <si>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</si>
  <si>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</si>
  <si>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</si>
  <si>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</si>
  <si>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</si>
  <si>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</si>
  <si>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</si>
  <si>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</si>
  <si>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</si>
  <si>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</si>
  <si>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</si>
  <si>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</si>
  <si>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</si>
  <si>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</si>
  <si>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</si>
  <si>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</si>
  <si>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</si>
  <si>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</si>
  <si>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</si>
  <si>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</si>
  <si>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</si>
  <si>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</si>
  <si>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</si>
  <si>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</si>
  <si>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</si>
  <si>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</si>
  <si>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</si>
  <si>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</si>
  <si>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</si>
  <si>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</si>
  <si>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</si>
  <si>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</si>
  <si>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</si>
  <si>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</si>
  <si>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</si>
  <si>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</si>
  <si>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</si>
  <si>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</si>
  <si>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</si>
  <si>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</si>
  <si>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</si>
  <si>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</si>
  <si>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</si>
  <si>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</si>
  <si>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</si>
  <si>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</si>
  <si>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</si>
  <si>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</si>
  <si>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</si>
  <si>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</si>
  <si>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</si>
  <si>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</si>
  <si>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</si>
  <si>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</si>
  <si>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</si>
  <si>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</si>
  <si>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</si>
  <si>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</si>
  <si>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</si>
  <si>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</si>
  <si>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</si>
  <si>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</si>
  <si>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</si>
  <si>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</si>
  <si>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</si>
  <si>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</si>
  <si>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</si>
  <si>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</si>
  <si>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</si>
  <si>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</si>
  <si>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</si>
  <si>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</si>
  <si>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</si>
  <si>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</si>
  <si>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</si>
  <si>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</si>
  <si>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punkt 4. Prinsipper, begreper og definisjoner på side 27.</t>
  </si>
  <si>
    <t>2020</t>
  </si>
  <si>
    <t>2021</t>
  </si>
  <si>
    <t>2022</t>
  </si>
  <si>
    <t>20-22</t>
  </si>
  <si>
    <t>21-22</t>
  </si>
  <si>
    <t>*</t>
  </si>
  <si>
    <t>Hittil i år</t>
  </si>
  <si>
    <t>Finans Norge / Skadeforsikringsstatistikk</t>
  </si>
  <si>
    <t>Skadestatistikk for landbasert forsikring 3. kvartal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</si>
</sst>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3"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i/>
      <sz val="12"/>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sz val="10"/>
      <color theme="0"/>
      <name val="Times New Roman"/>
      <family val="1"/>
    </font>
    <font>
      <b/>
      <sz val="10"/>
      <color theme="0"/>
      <name val="Times New Roman"/>
      <family val="1"/>
    </font>
    <font>
      <b/>
      <sz val="10"/>
      <color theme="0"/>
      <name val="Arial"/>
      <family val="2"/>
    </font>
    <font>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20">
    <xf numFmtId="0" fontId="0" fillId="0" borderId="0" xfId="0"/>
    <xf numFmtId="0" fontId="5" fillId="0" borderId="0" xfId="0" applyFont="1"/>
    <xf numFmtId="0" fontId="5" fillId="0" borderId="0" xfId="0" applyFont="1" applyAlignment="1" applyProtection="1">
      <alignment horizontal="left"/>
    </xf>
    <xf numFmtId="0" fontId="6" fillId="0" borderId="0" xfId="2" applyFont="1" applyAlignment="1" applyProtection="1">
      <alignment horizontal="left"/>
    </xf>
    <xf numFmtId="0" fontId="7" fillId="2" borderId="0" xfId="0" applyFont="1" applyFill="1" applyBorder="1"/>
    <xf numFmtId="166" fontId="8" fillId="0" borderId="0" xfId="0" applyNumberFormat="1" applyFont="1" applyProtection="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pplyProtection="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pplyProtection="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pplyProtection="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pplyProtection="1">
      <alignment horizontal="right"/>
    </xf>
    <xf numFmtId="3" fontId="8" fillId="0" borderId="21" xfId="1" applyNumberFormat="1" applyFont="1" applyBorder="1" applyProtection="1"/>
    <xf numFmtId="166" fontId="8" fillId="0" borderId="21" xfId="0" applyNumberFormat="1" applyFont="1" applyBorder="1" applyAlignment="1" applyProtection="1">
      <alignment horizontal="right"/>
    </xf>
    <xf numFmtId="166" fontId="8" fillId="0" borderId="0" xfId="0" applyNumberFormat="1" applyFont="1" applyBorder="1" applyAlignment="1" applyProtection="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pplyProtection="1">
      <alignment horizontal="right"/>
    </xf>
    <xf numFmtId="166" fontId="8" fillId="0" borderId="27" xfId="0" applyNumberFormat="1" applyFont="1" applyBorder="1" applyAlignment="1">
      <alignment horizontal="right"/>
    </xf>
    <xf numFmtId="0" fontId="12" fillId="0" borderId="0" xfId="0" applyFont="1" applyBorder="1"/>
    <xf numFmtId="0" fontId="13" fillId="0" borderId="0" xfId="0" applyFont="1" applyBorder="1"/>
    <xf numFmtId="168" fontId="5" fillId="0" borderId="0" xfId="1" applyNumberFormat="1" applyFont="1" applyBorder="1" applyProtection="1"/>
    <xf numFmtId="166" fontId="5" fillId="0" borderId="0" xfId="0" applyNumberFormat="1" applyFont="1" applyBorder="1" applyAlignment="1" applyProtection="1">
      <alignment horizontal="right"/>
    </xf>
    <xf numFmtId="166" fontId="5" fillId="0" borderId="0" xfId="0" applyNumberFormat="1" applyFont="1" applyBorder="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pplyProtection="1">
      <alignment horizontal="right"/>
    </xf>
    <xf numFmtId="0" fontId="8" fillId="0" borderId="0" xfId="0" applyFont="1" applyBorder="1"/>
    <xf numFmtId="168" fontId="8" fillId="0" borderId="0" xfId="1" applyNumberFormat="1" applyFont="1" applyBorder="1" applyAlignment="1" applyProtection="1">
      <alignment horizontal="right"/>
    </xf>
    <xf numFmtId="166" fontId="8" fillId="0" borderId="0" xfId="0" applyNumberFormat="1" applyFont="1" applyBorder="1" applyAlignment="1">
      <alignment horizontal="right"/>
    </xf>
    <xf numFmtId="0" fontId="5" fillId="0" borderId="0" xfId="0" applyFont="1" applyBorder="1"/>
    <xf numFmtId="0" fontId="11" fillId="0" borderId="0" xfId="0" applyFont="1" applyBorder="1"/>
    <xf numFmtId="168" fontId="8" fillId="0" borderId="0" xfId="1" applyNumberFormat="1" applyFont="1" applyBorder="1" applyProtection="1"/>
    <xf numFmtId="3" fontId="8" fillId="0" borderId="0" xfId="1" applyNumberFormat="1" applyFont="1" applyBorder="1"/>
    <xf numFmtId="0" fontId="9" fillId="0" borderId="0" xfId="0" applyFont="1" applyBorder="1"/>
    <xf numFmtId="0" fontId="7" fillId="2" borderId="0" xfId="0" applyFont="1" applyFill="1" applyBorder="1" applyAlignment="1"/>
    <xf numFmtId="0" fontId="5" fillId="0" borderId="0" xfId="0" applyFont="1" applyAlignme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5"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0" fontId="24" fillId="0" borderId="0" xfId="0" applyFont="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pplyProtection="1">
      <alignment horizontal="left"/>
    </xf>
    <xf numFmtId="0" fontId="7" fillId="2" borderId="0" xfId="4" applyFont="1" applyFill="1" applyBorder="1"/>
    <xf numFmtId="166" fontId="8" fillId="0" borderId="0" xfId="4" applyNumberFormat="1" applyFont="1" applyProtection="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pplyProtection="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pplyProtection="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pplyProtection="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pplyProtection="1">
      <alignment horizontal="right"/>
    </xf>
    <xf numFmtId="166" fontId="8" fillId="0" borderId="21" xfId="4" applyNumberFormat="1" applyFont="1" applyBorder="1" applyAlignment="1" applyProtection="1">
      <alignment horizontal="right"/>
    </xf>
    <xf numFmtId="166" fontId="8" fillId="0" borderId="0" xfId="4" applyNumberFormat="1" applyFont="1" applyBorder="1" applyAlignment="1" applyProtection="1">
      <alignment horizontal="right"/>
    </xf>
    <xf numFmtId="0" fontId="8" fillId="0" borderId="22" xfId="4" applyFont="1" applyBorder="1"/>
    <xf numFmtId="0" fontId="5" fillId="0" borderId="0"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pplyProtection="1">
      <alignment horizontal="right"/>
    </xf>
    <xf numFmtId="166" fontId="8" fillId="0" borderId="27" xfId="4" applyNumberFormat="1" applyFont="1" applyBorder="1" applyAlignment="1">
      <alignment horizontal="right"/>
    </xf>
    <xf numFmtId="0" fontId="8" fillId="0" borderId="0" xfId="4" applyFont="1" applyBorder="1"/>
    <xf numFmtId="166" fontId="8" fillId="0" borderId="0" xfId="4" applyNumberFormat="1" applyFont="1" applyBorder="1" applyAlignment="1">
      <alignment horizontal="right"/>
    </xf>
    <xf numFmtId="0" fontId="9" fillId="0" borderId="0" xfId="4" applyFont="1" applyBorder="1"/>
    <xf numFmtId="0" fontId="11" fillId="0" borderId="0" xfId="4" applyFont="1" applyBorder="1"/>
    <xf numFmtId="0" fontId="12" fillId="0" borderId="0" xfId="4" applyFont="1" applyBorder="1"/>
    <xf numFmtId="0" fontId="13" fillId="0" borderId="0" xfId="4" applyFont="1" applyBorder="1"/>
    <xf numFmtId="166" fontId="5" fillId="0" borderId="0" xfId="4" applyNumberFormat="1" applyFont="1" applyBorder="1" applyAlignment="1" applyProtection="1">
      <alignment horizontal="right"/>
    </xf>
    <xf numFmtId="166" fontId="5" fillId="0" borderId="0" xfId="4" applyNumberFormat="1" applyFont="1" applyBorder="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7" fillId="0" borderId="0" xfId="3" applyFont="1" applyAlignment="1" applyProtection="1"/>
    <xf numFmtId="0" fontId="38" fillId="0" borderId="0" xfId="2" applyFont="1" applyAlignment="1" applyProtection="1">
      <alignment horizontal="left"/>
    </xf>
    <xf numFmtId="0" fontId="13" fillId="0" borderId="0" xfId="0" applyFont="1"/>
    <xf numFmtId="0" fontId="13" fillId="0" borderId="6" xfId="0" applyFont="1" applyBorder="1"/>
    <xf numFmtId="0" fontId="26" fillId="0" borderId="0" xfId="15" applyFont="1"/>
    <xf numFmtId="0" fontId="3" fillId="0" borderId="0" xfId="15"/>
    <xf numFmtId="0" fontId="0" fillId="0" borderId="0" xfId="15" applyFont="1"/>
    <xf numFmtId="0" fontId="27" fillId="0" borderId="0" xfId="15" applyFont="1" applyAlignment="1">
      <alignment horizontal="right"/>
    </xf>
    <xf numFmtId="0" fontId="3" fillId="0" borderId="0" xfId="16"/>
    <xf numFmtId="0" fontId="29" fillId="0" borderId="0" xfId="15" applyFont="1" applyAlignment="1">
      <alignment horizontal="left"/>
    </xf>
    <xf numFmtId="0" fontId="32"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30" fillId="0" borderId="0" xfId="15" applyFont="1" applyAlignment="1">
      <alignment horizontal="left"/>
    </xf>
    <xf numFmtId="14" fontId="31" fillId="0" borderId="0" xfId="15" applyNumberFormat="1" applyFont="1" applyAlignment="1">
      <alignment horizontal="left"/>
    </xf>
    <xf numFmtId="0" fontId="31" fillId="0" borderId="0" xfId="15" applyFont="1" applyAlignment="1">
      <alignment horizontal="left"/>
    </xf>
    <xf numFmtId="0" fontId="33" fillId="0" borderId="0" xfId="16" applyFont="1" applyAlignment="1">
      <alignment vertical="center"/>
    </xf>
    <xf numFmtId="0" fontId="34" fillId="0" borderId="0" xfId="16" applyFont="1" applyAlignment="1">
      <alignment vertical="center"/>
    </xf>
    <xf numFmtId="0" fontId="35" fillId="0" borderId="0" xfId="16" applyFont="1"/>
    <xf numFmtId="14" fontId="28" fillId="0" borderId="0" xfId="15" applyNumberFormat="1" applyFont="1"/>
    <xf numFmtId="14" fontId="36" fillId="0" borderId="0" xfId="15" applyNumberFormat="1" applyFont="1" applyAlignment="1">
      <alignment horizontal="right"/>
    </xf>
    <xf numFmtId="0" fontId="39" fillId="0" borderId="0" xfId="0" applyFont="1"/>
    <xf numFmtId="0" fontId="40" fillId="0" borderId="0" xfId="0" applyFont="1" applyAlignment="1">
      <alignment horizontal="right"/>
    </xf>
    <xf numFmtId="0" fontId="41" fillId="0" borderId="0" xfId="0" applyFont="1"/>
    <xf numFmtId="0" fontId="42" fillId="0" borderId="0" xfId="0" applyFont="1"/>
    <xf numFmtId="0" fontId="40" fillId="0" borderId="0" xfId="0" applyFont="1"/>
    <xf numFmtId="0" fontId="40" fillId="0" borderId="0" xfId="0" quotePrefix="1" applyFont="1"/>
    <xf numFmtId="0" fontId="39" fillId="0" borderId="0" xfId="0" applyFont="1" applyAlignment="1">
      <alignment horizontal="right"/>
    </xf>
    <xf numFmtId="1" fontId="42" fillId="0" borderId="0" xfId="0" applyNumberFormat="1" applyFont="1"/>
    <xf numFmtId="167" fontId="39" fillId="0" borderId="0" xfId="0" applyNumberFormat="1" applyFont="1"/>
    <xf numFmtId="3" fontId="39" fillId="0" borderId="0" xfId="0" applyNumberFormat="1" applyFont="1"/>
    <xf numFmtId="169" fontId="42" fillId="0" borderId="0" xfId="0" applyNumberFormat="1" applyFont="1"/>
    <xf numFmtId="170" fontId="42" fillId="0" borderId="0" xfId="0" applyNumberFormat="1" applyFont="1"/>
    <xf numFmtId="167" fontId="42" fillId="0" borderId="0" xfId="0" applyNumberFormat="1" applyFont="1"/>
    <xf numFmtId="3" fontId="42" fillId="0" borderId="0" xfId="0" applyNumberFormat="1" applyFont="1"/>
    <xf numFmtId="168" fontId="42" fillId="0" borderId="0" xfId="1" applyNumberFormat="1" applyFont="1"/>
    <xf numFmtId="167" fontId="42" fillId="0" borderId="0" xfId="1" applyNumberFormat="1" applyFont="1"/>
    <xf numFmtId="170" fontId="39" fillId="0" borderId="0" xfId="0" applyNumberFormat="1" applyFont="1"/>
    <xf numFmtId="3" fontId="39" fillId="0" borderId="0" xfId="0" applyNumberFormat="1" applyFont="1" applyBorder="1"/>
    <xf numFmtId="167" fontId="39" fillId="0" borderId="0" xfId="0" applyNumberFormat="1" applyFont="1" applyBorder="1"/>
    <xf numFmtId="171" fontId="39" fillId="0" borderId="0" xfId="0" applyNumberFormat="1" applyFont="1"/>
    <xf numFmtId="1" fontId="39" fillId="0" borderId="0" xfId="0" applyNumberFormat="1" applyFont="1"/>
    <xf numFmtId="169" fontId="39" fillId="0" borderId="0" xfId="0" applyNumberFormat="1" applyFont="1"/>
    <xf numFmtId="0" fontId="39" fillId="0" borderId="28" xfId="0" applyFont="1" applyBorder="1"/>
    <xf numFmtId="0" fontId="40" fillId="0" borderId="28" xfId="0" applyFont="1" applyBorder="1" applyAlignment="1">
      <alignment horizontal="right"/>
    </xf>
    <xf numFmtId="3" fontId="39" fillId="3" borderId="28" xfId="0" applyNumberFormat="1" applyFont="1" applyFill="1" applyBorder="1"/>
    <xf numFmtId="0" fontId="39" fillId="3" borderId="28" xfId="0" applyFont="1" applyFill="1" applyBorder="1" applyAlignment="1">
      <alignment horizontal="left" indent="1"/>
    </xf>
    <xf numFmtId="167" fontId="39" fillId="0" borderId="28" xfId="0" applyNumberFormat="1" applyFont="1" applyBorder="1"/>
    <xf numFmtId="3" fontId="39" fillId="3" borderId="0" xfId="0" applyNumberFormat="1" applyFont="1" applyFill="1"/>
    <xf numFmtId="167" fontId="39" fillId="3" borderId="0" xfId="0" applyNumberFormat="1" applyFont="1" applyFill="1"/>
    <xf numFmtId="0" fontId="39" fillId="3" borderId="0" xfId="0" applyFont="1" applyFill="1" applyAlignment="1">
      <alignment horizontal="left" indent="1"/>
    </xf>
    <xf numFmtId="0" fontId="39" fillId="0" borderId="0" xfId="0" applyFont="1" applyAlignment="1">
      <alignment horizontal="left" indent="1"/>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Border="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14" fillId="0" borderId="0" xfId="0" applyFont="1" applyBorder="1" applyAlignment="1">
      <alignment horizontal="left"/>
    </xf>
    <xf numFmtId="0" fontId="14" fillId="0" borderId="0" xfId="0" applyFont="1" applyBorder="1" applyAlignment="1">
      <alignment horizontal="right"/>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0" fontId="14" fillId="0" borderId="0" xfId="4" applyFont="1" applyBorder="1" applyAlignment="1">
      <alignment horizontal="right"/>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10" fillId="0" borderId="19"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'Tab2'!$B$71:$B$229</c:f>
              <c:numCache>
                <c:formatCode>General</c:formatCode>
                <c:ptCount val="15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'Tab2'!$C$71:$C$229</c:f>
              <c:numCache>
                <c:formatCode>General</c:formatCode>
                <c:ptCount val="159"/>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pt idx="158" formatCode="0.000">
                  <c:v>236.3725230941705</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'Tab2'!$B$71:$B$229</c:f>
              <c:numCache>
                <c:formatCode>General</c:formatCode>
                <c:ptCount val="15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'Tab2'!$D$71:$D$229</c:f>
              <c:numCache>
                <c:formatCode>General</c:formatCode>
                <c:ptCount val="159"/>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pt idx="158" formatCode="0.000">
                  <c:v>212.27484847533628</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'Tab2'!$K$103:$K$229</c:f>
              <c:numCache>
                <c:formatCode>General</c:formatCode>
                <c:ptCount val="12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'Tab2'!$T$103:$T$229</c:f>
              <c:numCache>
                <c:formatCode>#\ ##0.0</c:formatCode>
                <c:ptCount val="127"/>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156.56425948493131</c:v>
                </c:pt>
                <c:pt idx="119">
                  <c:v>111.96184330568823</c:v>
                </c:pt>
                <c:pt idx="120">
                  <c:v>112.42870167125406</c:v>
                </c:pt>
                <c:pt idx="121">
                  <c:v>111.63189322672167</c:v>
                </c:pt>
                <c:pt idx="122">
                  <c:v>116.58092687295333</c:v>
                </c:pt>
                <c:pt idx="123">
                  <c:v>102.58772603283373</c:v>
                </c:pt>
                <c:pt idx="124">
                  <c:v>114.51574120765106</c:v>
                </c:pt>
                <c:pt idx="125">
                  <c:v>155.70215005901753</c:v>
                </c:pt>
                <c:pt idx="126">
                  <c:v>152.01610431556603</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'Tab2'!$K$103:$K$229</c:f>
              <c:numCache>
                <c:formatCode>General</c:formatCode>
                <c:ptCount val="12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'Tab2'!$R$103:$R$229</c:f>
              <c:numCache>
                <c:formatCode>#,##0</c:formatCode>
                <c:ptCount val="127"/>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pt idx="126" formatCode="0">
                  <c:v>12116.405554623785</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168.05017149574306</c:v>
                </c:pt>
                <c:pt idx="1">
                  <c:v>1337.6941831651163</c:v>
                </c:pt>
                <c:pt idx="2">
                  <c:v>217.28610661049527</c:v>
                </c:pt>
                <c:pt idx="3">
                  <c:v>1139.6386965789004</c:v>
                </c:pt>
                <c:pt idx="4" formatCode="0.000">
                  <c:v>10552.426416368404</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6389.0238891145436</c:v>
                </c:pt>
                <c:pt idx="1">
                  <c:v>4539.8772908809278</c:v>
                </c:pt>
                <c:pt idx="2">
                  <c:v>1346.5649977752034</c:v>
                </c:pt>
                <c:pt idx="3">
                  <c:v>1496.9494315651552</c:v>
                </c:pt>
                <c:pt idx="4">
                  <c:v>621.67456663159805</c:v>
                </c:pt>
                <c:pt idx="5">
                  <c:v>2135.9802845817817</c:v>
                </c:pt>
                <c:pt idx="6">
                  <c:v>517.48476821085421</c:v>
                </c:pt>
                <c:pt idx="7">
                  <c:v>973.3508217150146</c:v>
                </c:pt>
                <c:pt idx="8">
                  <c:v>124.35932278810138</c:v>
                </c:pt>
                <c:pt idx="9">
                  <c:v>808.90768192759413</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7045.6600904351508</c:v>
                </c:pt>
                <c:pt idx="1">
                  <c:v>4668.5546809425559</c:v>
                </c:pt>
                <c:pt idx="2">
                  <c:v>1366.2038966588648</c:v>
                </c:pt>
                <c:pt idx="3">
                  <c:v>1784.3249974431346</c:v>
                </c:pt>
                <c:pt idx="4">
                  <c:v>720.86371230413965</c:v>
                </c:pt>
                <c:pt idx="5">
                  <c:v>459.27839719113013</c:v>
                </c:pt>
                <c:pt idx="6">
                  <c:v>498.32076263552295</c:v>
                </c:pt>
                <c:pt idx="7">
                  <c:v>1164.2826107355791</c:v>
                </c:pt>
                <c:pt idx="8">
                  <c:v>173.79863372908108</c:v>
                </c:pt>
                <c:pt idx="9">
                  <c:v>914.0462600757055</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2022</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6974.8124618342945</c:v>
                </c:pt>
                <c:pt idx="1">
                  <c:v>5121.5470200401969</c:v>
                </c:pt>
                <c:pt idx="2">
                  <c:v>1440.0241776834371</c:v>
                </c:pt>
                <c:pt idx="3">
                  <c:v>2245.7735524287959</c:v>
                </c:pt>
                <c:pt idx="4">
                  <c:v>523.63218490281838</c:v>
                </c:pt>
                <c:pt idx="5">
                  <c:v>1574.598820771542</c:v>
                </c:pt>
                <c:pt idx="6">
                  <c:v>488.1508327755011</c:v>
                </c:pt>
                <c:pt idx="7">
                  <c:v>1173.5719103874221</c:v>
                </c:pt>
                <c:pt idx="8">
                  <c:v>113.03108335052377</c:v>
                </c:pt>
                <c:pt idx="9">
                  <c:v>1059.4471364769929</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23897.272434782608</c:v>
                </c:pt>
                <c:pt idx="1">
                  <c:v>65851.136363636368</c:v>
                </c:pt>
                <c:pt idx="2">
                  <c:v>30032.017366459626</c:v>
                </c:pt>
                <c:pt idx="3" formatCode="_ * #\ ##0_ ;_ * \-#\ ##0_ ;_ * &quot;-&quot;??_ ;_ @_ ">
                  <c:v>270870.85555580741</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26988.17717826087</c:v>
                </c:pt>
                <c:pt idx="1">
                  <c:v>80225.350284584973</c:v>
                </c:pt>
                <c:pt idx="2">
                  <c:v>23104.742667701863</c:v>
                </c:pt>
                <c:pt idx="3" formatCode="_ * #\ ##0_ ;_ * \-#\ ##0_ ;_ * &quot;-&quot;??_ ;_ @_ ">
                  <c:v>258418.5298706597</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2022</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23072.144553745609</c:v>
                </c:pt>
                <c:pt idx="1">
                  <c:v>64941.458161384115</c:v>
                </c:pt>
                <c:pt idx="2">
                  <c:v>30272.805524434069</c:v>
                </c:pt>
                <c:pt idx="3" formatCode="_ * #\ ##0_ ;_ * \-#\ ##0_ ;_ * &quot;-&quot;??_ ;_ @_ ">
                  <c:v>218923.65754572459</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2020</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4013.5679997518241</c:v>
                </c:pt>
                <c:pt idx="1">
                  <c:v>3380.6634540400155</c:v>
                </c:pt>
                <c:pt idx="2">
                  <c:v>430.46547927356085</c:v>
                </c:pt>
                <c:pt idx="3">
                  <c:v>3104.2042469300713</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2021</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4324.2553642740986</c:v>
                </c:pt>
                <c:pt idx="1">
                  <c:v>4041.1009142627217</c:v>
                </c:pt>
                <c:pt idx="2">
                  <c:v>351.09475325986273</c:v>
                </c:pt>
                <c:pt idx="3">
                  <c:v>2997.763739581027</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2022</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4972.1505358669619</c:v>
                </c:pt>
                <c:pt idx="1">
                  <c:v>3710.1800121123592</c:v>
                </c:pt>
                <c:pt idx="2">
                  <c:v>463.99447469833103</c:v>
                </c:pt>
                <c:pt idx="3">
                  <c:v>2950.0344591968369</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2020</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375186</c:v>
                </c:pt>
                <c:pt idx="1">
                  <c:v>102401.97556636843</c:v>
                </c:pt>
                <c:pt idx="2">
                  <c:v>173987.3295662638</c:v>
                </c:pt>
                <c:pt idx="3">
                  <c:v>33616.30625895843</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2021</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112892.84615384616</c:v>
                </c:pt>
                <c:pt idx="1">
                  <c:v>112820.34615183383</c:v>
                </c:pt>
                <c:pt idx="2">
                  <c:v>188188.28956731019</c:v>
                </c:pt>
                <c:pt idx="3">
                  <c:v>35814.894648829431</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2022</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272587</c:v>
                </c:pt>
                <c:pt idx="1">
                  <c:v>95185.337368257198</c:v>
                </c:pt>
                <c:pt idx="2">
                  <c:v>183082.73117773244</c:v>
                </c:pt>
                <c:pt idx="3">
                  <c:v>32504.417029049211</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2020</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11333.992503086034</c:v>
                </c:pt>
                <c:pt idx="1">
                  <c:v>8411.9601644300001</c:v>
                </c:pt>
                <c:pt idx="2">
                  <c:v>6161.3536816326532</c:v>
                </c:pt>
                <c:pt idx="3">
                  <c:v>15370.772092293204</c:v>
                </c:pt>
                <c:pt idx="4">
                  <c:v>19809.1175</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2021</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10743.278054862843</c:v>
                </c:pt>
                <c:pt idx="1">
                  <c:v>8518.8459999999995</c:v>
                </c:pt>
                <c:pt idx="2">
                  <c:v>6310.199289795919</c:v>
                </c:pt>
                <c:pt idx="3">
                  <c:v>17809.5</c:v>
                </c:pt>
                <c:pt idx="4">
                  <c:v>22635.919999999998</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2022</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9463.556109725685</c:v>
                </c:pt>
                <c:pt idx="1">
                  <c:v>8678.9101406499994</c:v>
                </c:pt>
                <c:pt idx="2">
                  <c:v>6270.6122612244899</c:v>
                </c:pt>
                <c:pt idx="3">
                  <c:v>14558.442002825303</c:v>
                </c:pt>
                <c:pt idx="4">
                  <c:v>27615.32</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'Tab2'!$K$71:$K$229</c:f>
              <c:numCache>
                <c:formatCode>General</c:formatCode>
                <c:ptCount val="15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'Tab2'!$N$71:$N$229</c:f>
              <c:numCache>
                <c:formatCode>#\ ##0.0</c:formatCode>
                <c:ptCount val="159"/>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1171.8888169995478</c:v>
                </c:pt>
                <c:pt idx="151">
                  <c:v>1232.2531864130899</c:v>
                </c:pt>
                <c:pt idx="152">
                  <c:v>1816.3423510782743</c:v>
                </c:pt>
                <c:pt idx="153">
                  <c:v>1023.2899077310196</c:v>
                </c:pt>
                <c:pt idx="154">
                  <c:v>1100.9257916149293</c:v>
                </c:pt>
                <c:pt idx="155">
                  <c:v>1213.6003770844584</c:v>
                </c:pt>
                <c:pt idx="156">
                  <c:v>1280.4763647637296</c:v>
                </c:pt>
                <c:pt idx="157">
                  <c:v>966.12600857061454</c:v>
                </c:pt>
                <c:pt idx="158">
                  <c:v>1138.3921144393585</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'Tab2'!$K$71:$K$229</c:f>
              <c:numCache>
                <c:formatCode>General</c:formatCode>
                <c:ptCount val="159"/>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numCache>
            </c:numRef>
          </c:cat>
          <c:val>
            <c:numRef>
              <c:f>'Tab2'!$L$71:$L$229</c:f>
              <c:numCache>
                <c:formatCode>#,##0</c:formatCode>
                <c:ptCount val="159"/>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pt idx="158" formatCode="0">
                  <c:v>22326.885249827203</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'Tab2'!$K$103:$K$229</c:f>
              <c:numCache>
                <c:formatCode>General</c:formatCode>
                <c:ptCount val="12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'Tab2'!$Q$103:$Q$229</c:f>
              <c:numCache>
                <c:formatCode>#\ ##0.0</c:formatCode>
                <c:ptCount val="127"/>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1028.6804399332309</c:v>
                </c:pt>
                <c:pt idx="119">
                  <c:v>1183.0993195667572</c:v>
                </c:pt>
                <c:pt idx="120">
                  <c:v>1458.4309956439163</c:v>
                </c:pt>
                <c:pt idx="121">
                  <c:v>1419.0507160787417</c:v>
                </c:pt>
                <c:pt idx="122">
                  <c:v>1321.7936144405164</c:v>
                </c:pt>
                <c:pt idx="123">
                  <c:v>1207.0915768796028</c:v>
                </c:pt>
                <c:pt idx="124">
                  <c:v>1472.702949650765</c:v>
                </c:pt>
                <c:pt idx="125">
                  <c:v>1260.2939872154921</c:v>
                </c:pt>
                <c:pt idx="126">
                  <c:v>1793.2570925267182</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'Tab2'!$K$103:$K$229</c:f>
              <c:numCache>
                <c:formatCode>General</c:formatCode>
                <c:ptCount val="127"/>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numCache>
            </c:numRef>
          </c:cat>
          <c:val>
            <c:numRef>
              <c:f>'Tab2'!$O$103:$O$229</c:f>
              <c:numCache>
                <c:formatCode>#,##0</c:formatCode>
                <c:ptCount val="127"/>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pt idx="126" formatCode="0">
                  <c:v>9773.5265829437976</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2022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14. november 2022)</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428624</xdr:colOff>
      <xdr:row>47</xdr:row>
      <xdr:rowOff>28575</xdr:rowOff>
    </xdr:to>
    <xdr:sp macro="" textlink="">
      <xdr:nvSpPr>
        <xdr:cNvPr id="4" name="Text Box 1">
          <a:extLst>
            <a:ext uri="{FF2B5EF4-FFF2-40B4-BE49-F238E27FC236}">
              <a16:creationId xmlns:a16="http://schemas.microsoft.com/office/drawing/2014/main" id="{E49F8F4E-1A29-4B56-91B0-336B7F1D678E}"/>
            </a:ext>
          </a:extLst>
        </xdr:cNvPr>
        <xdr:cNvSpPr txBox="1">
          <a:spLocks noChangeArrowheads="1"/>
        </xdr:cNvSpPr>
      </xdr:nvSpPr>
      <xdr:spPr bwMode="auto">
        <a:xfrm>
          <a:off x="0" y="266700"/>
          <a:ext cx="5362574" cy="8486775"/>
        </a:xfrm>
        <a:prstGeom prst="rect">
          <a:avLst/>
        </a:prstGeom>
        <a:solidFill>
          <a:srgbClr val="FFFFFF"/>
        </a:solidFill>
        <a:ln w="9525">
          <a:noFill/>
          <a:miter lim="800000"/>
          <a:headEnd/>
          <a:tailEnd/>
        </a:ln>
      </xdr:spPr>
      <xdr:txBody>
        <a:bodyPr vertOverflow="clip" wrap="square" lIns="27432" tIns="27432" rIns="0" bIns="0" anchor="t" upright="1"/>
        <a:lstStyle/>
        <a:p>
          <a:r>
            <a:rPr lang="nb-NO" sz="1000" b="1">
              <a:effectLst/>
              <a:latin typeface="Times New Roman" panose="02020603050405020304" pitchFamily="18" charset="0"/>
              <a:ea typeface="+mn-ea"/>
              <a:cs typeface="Times New Roman" panose="02020603050405020304" pitchFamily="18" charset="0"/>
            </a:rPr>
            <a:t>HOVEDTREKK – flere store næringsbranner – økende reiseaktivitet – mer tyveri – mer bilbruk </a:t>
          </a:r>
        </a:p>
        <a:p>
          <a:r>
            <a:rPr lang="nb-NO" sz="1000" b="0" i="1">
              <a:effectLst/>
              <a:latin typeface="Times New Roman" panose="02020603050405020304" pitchFamily="18" charset="0"/>
              <a:ea typeface="+mn-ea"/>
              <a:cs typeface="Times New Roman" panose="02020603050405020304" pitchFamily="18" charset="0"/>
            </a:rPr>
            <a:t>Korona-begrensende tiltak ble innført fra 12.mars 2020, og mange av tiltakene varte inn i 2021.Slik at sammenligninger mellom år kan være preget av dette. </a:t>
          </a:r>
        </a:p>
        <a:p>
          <a:r>
            <a:rPr lang="nb-NO" sz="1000" b="0">
              <a:effectLst/>
              <a:latin typeface="Times New Roman" panose="02020603050405020304" pitchFamily="18" charset="0"/>
              <a:ea typeface="+mn-ea"/>
              <a:cs typeface="Times New Roman" panose="02020603050405020304" pitchFamily="18" charset="0"/>
            </a:rPr>
            <a:t>Erstatningene for landbasert forsikring totalt hittil i år ble på 37,6 milliarder kr, mot 34,1 milliarder i fjor til samme tid, en økning på drøye 10 %. Brannskader på bygning og innbo/løsøre ble på nesten 5 mrd.kr hittil i år, en økning på 15 prosent, mens vannskadeerstatningene ble redusert med 8 prosent fra samme periode i fjor. I fjor var det en kald vinter som ga flere frostskader enn det har vært i år. Erstatning på motorkjøretøy økte med nesten 10 prosent fra i fjor og er på 13,4 mrd.kr hittil i år. </a:t>
          </a:r>
        </a:p>
        <a:p>
          <a:r>
            <a:rPr lang="nb-NO" sz="1000" b="1">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Motor – mer bilbruk, særlig på næringskjøretøy   </a:t>
          </a:r>
        </a:p>
        <a:p>
          <a:r>
            <a:rPr lang="nb-NO" sz="1000" b="0">
              <a:effectLst/>
              <a:latin typeface="Times New Roman" panose="02020603050405020304" pitchFamily="18" charset="0"/>
              <a:ea typeface="+mn-ea"/>
              <a:cs typeface="Times New Roman" panose="02020603050405020304" pitchFamily="18" charset="0"/>
            </a:rPr>
            <a:t>Motorkjøretøy samlet har en økning i antall meldte skader fra i fjor på nesten 4 prosent og erstatningen økte med 10 prosent. Samlet erstatninger hittil i år er på 13,4 mrd.kr og antall meldte skader er på nesten 740 tusen kroner. Erstatning for næringsbilene (lastebil, buss og stor varebil) er på nesten 850 mill.kr hittil i år, mot 730 mill.kr i fjor, en økning på 16 prosent. Også antall meldte skader på næringsbilene økte med nesten 17 prosent fra samme periode i fjor. Tyveri av og fra kjøretøy økte fra i fjor med 54 mill.kr, men er fortsatt ikke på 2019-nivå; (32 mill.kr mindre). Erstatning på redning er redusert fra i fjor (16 prosent), mens glasserstatning økte med nesten 6 prosent. </a:t>
          </a:r>
        </a:p>
        <a:p>
          <a:r>
            <a:rPr lang="nb-NO" sz="1000" b="1">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Hus, hjem, hytte – kald vinter i fjor, gunstig i år – mer tyveri og innbrudd etter gjenåpning</a:t>
          </a:r>
        </a:p>
        <a:p>
          <a:r>
            <a:rPr lang="nb-NO" sz="1000" b="0">
              <a:effectLst/>
              <a:latin typeface="Times New Roman" panose="02020603050405020304" pitchFamily="18" charset="0"/>
              <a:ea typeface="+mn-ea"/>
              <a:cs typeface="Times New Roman" panose="02020603050405020304" pitchFamily="18" charset="0"/>
            </a:rPr>
            <a:t>Erstatninger på private bygninger og innbo hittil i år er på nesten 7 mrd.kr, en reduksjon på 1 prosent fra i fjor. Reduksjonen skyldes hovedsakelig mindre «vinterskader» som frost og snøtyngde.</a:t>
          </a:r>
          <a:r>
            <a:rPr lang="nb-NO" sz="1000" b="0" baseline="0">
              <a:effectLst/>
              <a:latin typeface="Times New Roman" panose="02020603050405020304" pitchFamily="18" charset="0"/>
              <a:ea typeface="+mn-ea"/>
              <a:cs typeface="Times New Roman" panose="02020603050405020304" pitchFamily="18" charset="0"/>
            </a:rPr>
            <a:t> </a:t>
          </a:r>
          <a:r>
            <a:rPr lang="nb-NO" sz="1000" b="0">
              <a:effectLst/>
              <a:latin typeface="Times New Roman" panose="02020603050405020304" pitchFamily="18" charset="0"/>
              <a:ea typeface="+mn-ea"/>
              <a:cs typeface="Times New Roman" panose="02020603050405020304" pitchFamily="18" charset="0"/>
            </a:rPr>
            <a:t>Brannerstatning utgjør ca. 2,3 mrd.kr og vannskader ca. 2,4 mrd.kr. Erstatning etter brann økte med 7 prosent, mens erstatning etter vannskader ble redusert med 8 prosent fra i fjor. Reduksjonen i vannskader skyldes at fjoråret hadde til dels en svært kald vinter og dermed frostskader, mens det har vært mer gunstig i år. Innbrudd og tyveri utgjør en liten del av de totale erstatningene, med 349 mill.kr hittil i år, men økningen er på hele 36 prosent fra i fjor. </a:t>
          </a:r>
        </a:p>
        <a:p>
          <a:r>
            <a:rPr lang="nb-NO" sz="1000" b="1">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Næringsbygg og landbruk – flere store brannskader </a:t>
          </a:r>
        </a:p>
        <a:p>
          <a:r>
            <a:rPr lang="nb-NO" sz="1000" b="0">
              <a:effectLst/>
              <a:latin typeface="Times New Roman" panose="02020603050405020304" pitchFamily="18" charset="0"/>
              <a:ea typeface="+mn-ea"/>
              <a:cs typeface="Times New Roman" panose="02020603050405020304" pitchFamily="18" charset="0"/>
            </a:rPr>
            <a:t>På næring ble erstatningene på bygg og innbo/løsøre nesten 10 prosent høyere enn i fjor, og hvor brannskadene økte med 22 prosent, mens vannskadene ble redusert med nesten 9 prosent. Til sammen ble det erstattet skader for 5,1 mrd.kr hittil i år. Økningen i brannerstatning skyldes en del større brannhendelser; et søppelanlegg i juli i år, og leilighetsbygg i Drammen og i Hemsedal i mars i år. Totalt er det erstatning på brann for 2,7 mrd.kr hittil i år, mot 2,2 mrd. i samme periode i fjor. </a:t>
          </a:r>
        </a:p>
        <a:p>
          <a:r>
            <a:rPr lang="nb-NO" sz="1000" b="1">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Reise – flere på reise – fortsatt lite sykdom</a:t>
          </a:r>
        </a:p>
        <a:p>
          <a:r>
            <a:rPr lang="nb-NO" sz="1000" b="0">
              <a:effectLst/>
              <a:latin typeface="Times New Roman" panose="02020603050405020304" pitchFamily="18" charset="0"/>
              <a:ea typeface="+mn-ea"/>
              <a:cs typeface="Times New Roman" panose="02020603050405020304" pitchFamily="18" charset="0"/>
            </a:rPr>
            <a:t>Koronaeffekten var størst på reiseforsikring; både 2020 og 2021 var spesielle år; 2020 med ekstremt mange avbestillingssaker, og 2021 – med tilnærmet forbud mot utenlandsreiser – ekstremt få saker. Hittil i år er antall meldte reiseskader samme som i 2019, mens erstatningene fortsatt er noe lavere. Antall tyverisaker har økt mest siden samme periode i 2019 med nesten 30 prosent flere. Mens antall reisesykdommer fortsatt er lavere enn i 2019. Erstatningene totalt hittil i år er på nesten 1,6 mrd.kr, mens det var drøye 1,8 mrd.kr i 2019. </a:t>
          </a:r>
        </a:p>
        <a:p>
          <a:r>
            <a:rPr lang="nb-NO" sz="1000" b="1">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Fritidsbåt – mindre båtbruk grunnet høye drivstoffutgifter – noe mer tyveri  </a:t>
          </a:r>
        </a:p>
        <a:p>
          <a:r>
            <a:rPr lang="nb-NO" sz="1000" b="0">
              <a:effectLst/>
              <a:latin typeface="Times New Roman" panose="02020603050405020304" pitchFamily="18" charset="0"/>
              <a:ea typeface="+mn-ea"/>
              <a:cs typeface="Times New Roman" panose="02020603050405020304" pitchFamily="18" charset="0"/>
            </a:rPr>
            <a:t>Gjennom koronatiden var det mange som kjøpte båt og nok var litt uerfarne som båtførere. I år kan drivstoffutgiftene ha satt en stopper for noen båtturer. Sammenlignet med fjoråret er antall båtskader redusert med 12% og erstatningene med 2%. Særlig er det havariskadene som er redusert. Av totale båterstatninger på 488 mill.kr er det havariskader for 284 mill.kr; og havari er redusert med nesten 9% fra i fjor. Antall tyveri av og fra båt har økt fra i fjor med drøye 6% og det er drøye 2% flere enn i 2019.  </a:t>
          </a:r>
        </a:p>
        <a:p>
          <a:r>
            <a:rPr lang="nb-NO" sz="1000" b="1">
              <a:effectLst/>
              <a:latin typeface="Times New Roman" panose="02020603050405020304" pitchFamily="18" charset="0"/>
              <a:ea typeface="+mn-ea"/>
              <a:cs typeface="Times New Roman" panose="02020603050405020304" pitchFamily="18" charset="0"/>
            </a:rPr>
            <a:t> </a:t>
          </a:r>
        </a:p>
        <a:p>
          <a:r>
            <a:rPr lang="nb-NO" sz="1000" b="1">
              <a:effectLst/>
              <a:latin typeface="Times New Roman" panose="02020603050405020304" pitchFamily="18" charset="0"/>
              <a:ea typeface="+mn-ea"/>
              <a:cs typeface="Times New Roman" panose="02020603050405020304" pitchFamily="18" charset="0"/>
            </a:rPr>
            <a:t>Behandlingsforsikring – økt bruk/behov som følge av hjemmekontor?</a:t>
          </a:r>
        </a:p>
        <a:p>
          <a:r>
            <a:rPr lang="nb-NO" sz="1000" b="0">
              <a:effectLst/>
              <a:latin typeface="Times New Roman" panose="02020603050405020304" pitchFamily="18" charset="0"/>
              <a:ea typeface="+mn-ea"/>
              <a:cs typeface="Times New Roman" panose="02020603050405020304" pitchFamily="18" charset="0"/>
            </a:rPr>
            <a:t>Behandlingsforsikring øker i antall forsikrede, og dermed øker også bruken. Antall meldte saker har økt med 15 prosent fra i fjor; en del mer enn porteføljeveksten. Hittil i år er det størst vekst i bruk av psykolog og fysioterapi. Totalt er det erstatningsbeløp på 1,4 mrd.kr hittil i år som er en økning på nesten 22 prosent fra samme periode i fjor. At bruk av psykolog/psykiater øker, kan også ha sammenheng med at flere har denne dekningen inkludert i forsikringen. Fra samme periode i 2019 (før korona) er det en vekst i antall som bruker behandlingsforsikringen på 54 prosent, mens antall forsikrede i samme periode har økt med 23 prosent.  </a:t>
          </a:r>
        </a:p>
        <a:p>
          <a:pPr rtl="0"/>
          <a:endParaRPr lang="nb-NO" sz="1000" b="0"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12775"/>
          <a:ext cx="2889250" cy="95472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050" b="0" i="0" strike="noStrike">
              <a:solidFill>
                <a:srgbClr val="000000"/>
              </a:solidFill>
              <a:latin typeface="Times New Roman" pitchFamily="18" charset="0"/>
              <a:ea typeface="+mn-ea"/>
              <a:cs typeface="Times New Roman" pitchFamily="18" charset="0"/>
            </a:rPr>
            <a:t>  Codan</a:t>
          </a:r>
        </a:p>
        <a:p>
          <a:pPr algn="l" rtl="0">
            <a:defRPr sz="1000"/>
          </a:pPr>
          <a:r>
            <a:rPr lang="en-US" sz="1050" b="0" i="0" strike="noStrike">
              <a:solidFill>
                <a:srgbClr val="000000"/>
              </a:solidFill>
              <a:latin typeface="Times New Roman" pitchFamily="18" charset="0"/>
              <a:ea typeface="+mn-ea"/>
              <a:cs typeface="Times New Roman" pitchFamily="18" charset="0"/>
            </a:rPr>
            <a:t>  Danica</a:t>
          </a:r>
        </a:p>
        <a:p>
          <a:pPr algn="l" rtl="0">
            <a:defRPr sz="1000"/>
          </a:pPr>
          <a:r>
            <a:rPr lang="en-US" sz="1050" b="0" i="0" strike="noStrike">
              <a:solidFill>
                <a:srgbClr val="000000"/>
              </a:solidFill>
              <a:latin typeface="Times New Roman" pitchFamily="18" charset="0"/>
              <a:ea typeface="+mn-ea"/>
              <a:cs typeface="Times New Roman" pitchFamily="18" charset="0"/>
            </a:rPr>
            <a:t>  DNB Livsforsikring</a:t>
          </a:r>
        </a:p>
        <a:p>
          <a:pPr algn="l" rtl="0">
            <a:defRPr sz="1000"/>
          </a:pPr>
          <a:r>
            <a:rPr lang="en-US" sz="1050" b="0" i="0" strike="noStrike">
              <a:solidFill>
                <a:srgbClr val="000000"/>
              </a:solidFill>
              <a:latin typeface="Times New Roman" pitchFamily="18" charset="0"/>
              <a:ea typeface="+mn-ea"/>
              <a:cs typeface="Times New Roman" pitchFamily="18" charset="0"/>
            </a:rPr>
            <a:t>  Eika Forsikring</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a:t>
          </a:r>
        </a:p>
        <a:p>
          <a:pPr algn="l" rtl="0">
            <a:defRPr sz="1000"/>
          </a:pPr>
          <a:r>
            <a:rPr lang="en-US" sz="1050" b="0" i="0" strike="noStrike">
              <a:solidFill>
                <a:srgbClr val="000000"/>
              </a:solidFill>
              <a:latin typeface="Times New Roman" pitchFamily="18" charset="0"/>
              <a:ea typeface="+mn-ea"/>
              <a:cs typeface="Times New Roman" pitchFamily="18" charset="0"/>
            </a:rPr>
            <a:t>  Euro Accident</a:t>
          </a:r>
        </a:p>
        <a:p>
          <a:pPr algn="l" rtl="0">
            <a:defRPr sz="1000"/>
          </a:pPr>
          <a:r>
            <a:rPr lang="en-US" sz="1050" b="0" i="0" strike="noStrike">
              <a:solidFill>
                <a:srgbClr val="000000"/>
              </a:solidFill>
              <a:latin typeface="Times New Roman" pitchFamily="18" charset="0"/>
              <a:ea typeface="+mn-ea"/>
              <a:cs typeface="Times New Roman" pitchFamily="18" charset="0"/>
            </a:rPr>
            <a:t>  Euro Insurance LTD (Lease Plan Norge)</a:t>
          </a:r>
        </a:p>
        <a:p>
          <a:pPr algn="l" rtl="0">
            <a:defRPr sz="1000"/>
          </a:pPr>
          <a:r>
            <a:rPr lang="en-US" sz="1050" b="0" i="0" strike="noStrike">
              <a:solidFill>
                <a:srgbClr val="000000"/>
              </a:solidFill>
              <a:latin typeface="Times New Roman" pitchFamily="18" charset="0"/>
              <a:ea typeface="+mn-ea"/>
              <a:cs typeface="Times New Roman" pitchFamily="18" charset="0"/>
            </a:rPr>
            <a:t>  Fremtind Livsforsikring</a:t>
          </a:r>
        </a:p>
        <a:p>
          <a:pPr algn="l" rtl="0">
            <a:defRPr sz="1000"/>
          </a:pPr>
          <a:r>
            <a:rPr lang="en-US" sz="1050" b="0" i="0" strike="noStrike">
              <a:solidFill>
                <a:srgbClr val="000000"/>
              </a:solidFill>
              <a:latin typeface="Times New Roman" pitchFamily="18" charset="0"/>
              <a:ea typeface="+mn-ea"/>
              <a:cs typeface="Times New Roman" pitchFamily="18" charset="0"/>
            </a:rPr>
            <a:t>  Fremtind Skadeforsirking</a:t>
          </a:r>
        </a:p>
        <a:p>
          <a:pPr algn="l" rtl="0">
            <a:defRPr sz="1000"/>
          </a:pPr>
          <a:r>
            <a:rPr lang="en-US" sz="1050" b="0" i="0" strike="noStrike">
              <a:solidFill>
                <a:srgbClr val="000000"/>
              </a:solidFill>
              <a:latin typeface="Times New Roman" pitchFamily="18" charset="0"/>
              <a:ea typeface="+mn-ea"/>
              <a:cs typeface="Times New Roman" pitchFamily="18" charset="0"/>
            </a:rPr>
            <a:t>  Frende Forsikring</a:t>
          </a:r>
        </a:p>
        <a:p>
          <a:pPr algn="l" rtl="0">
            <a:defRPr sz="1000"/>
          </a:pPr>
          <a:r>
            <a:rPr lang="en-US" sz="1050" b="0" i="0" strike="noStrike">
              <a:solidFill>
                <a:srgbClr val="000000"/>
              </a:solidFill>
              <a:latin typeface="Times New Roman" pitchFamily="18" charset="0"/>
              <a:ea typeface="+mn-ea"/>
              <a:cs typeface="Times New Roman" pitchFamily="18" charset="0"/>
            </a:rPr>
            <a:t>  Gjensidige</a:t>
          </a:r>
        </a:p>
        <a:p>
          <a:pPr algn="l" rtl="0">
            <a:defRPr sz="1000"/>
          </a:pPr>
          <a:r>
            <a:rPr lang="en-US" sz="1050" b="0" i="0" strike="noStrike">
              <a:solidFill>
                <a:srgbClr val="000000"/>
              </a:solidFill>
              <a:latin typeface="Times New Roman" pitchFamily="18" charset="0"/>
              <a:ea typeface="+mn-ea"/>
              <a:cs typeface="Times New Roman" pitchFamily="18" charset="0"/>
            </a:rPr>
            <a:t>  Granne forsikring (tidl. Møretrygd)</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a:t>
          </a:r>
        </a:p>
        <a:p>
          <a:pPr algn="l" rtl="0">
            <a:defRPr sz="1000"/>
          </a:pPr>
          <a:r>
            <a:rPr lang="en-US" sz="1050" b="0" i="0" strike="noStrike">
              <a:solidFill>
                <a:srgbClr val="000000"/>
              </a:solidFill>
              <a:latin typeface="Times New Roman" pitchFamily="18" charset="0"/>
              <a:ea typeface="+mn-ea"/>
              <a:cs typeface="Times New Roman" pitchFamily="18" charset="0"/>
            </a:rPr>
            <a:t>  If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Insr</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forsikring</a:t>
          </a:r>
        </a:p>
        <a:p>
          <a:pPr algn="l" rtl="0">
            <a:defRPr sz="1000"/>
          </a:pPr>
          <a:r>
            <a:rPr lang="en-US" sz="1050" b="0" i="0" strike="noStrike">
              <a:solidFill>
                <a:srgbClr val="000000"/>
              </a:solidFill>
              <a:latin typeface="Times New Roman" pitchFamily="18" charset="0"/>
              <a:ea typeface="+mn-ea"/>
              <a:cs typeface="Times New Roman" pitchFamily="18" charset="0"/>
            </a:rPr>
            <a:t>  KLP Skadeforsikring</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a:t>
          </a:r>
        </a:p>
        <a:p>
          <a:pPr algn="l" rtl="0">
            <a:defRPr sz="1000"/>
          </a:pPr>
          <a:r>
            <a:rPr lang="en-US" sz="1050" b="0" i="0" strike="noStrike">
              <a:solidFill>
                <a:srgbClr val="000000"/>
              </a:solidFill>
              <a:latin typeface="Times New Roman" pitchFamily="18" charset="0"/>
              <a:ea typeface="+mn-ea"/>
              <a:cs typeface="Times New Roman" pitchFamily="18" charset="0"/>
            </a:rPr>
            <a:t>  Ly Forsikring</a:t>
          </a:r>
        </a:p>
        <a:p>
          <a:pPr algn="l" rtl="0">
            <a:defRPr sz="1000"/>
          </a:pPr>
          <a:r>
            <a:rPr lang="en-US" sz="1050" b="0" i="0" strike="noStrike">
              <a:solidFill>
                <a:srgbClr val="000000"/>
              </a:solidFill>
              <a:latin typeface="Times New Roman" pitchFamily="18" charset="0"/>
              <a:ea typeface="+mn-ea"/>
              <a:cs typeface="Times New Roman" pitchFamily="18" charset="0"/>
            </a:rPr>
            <a:t>  Nordea</a:t>
          </a:r>
        </a:p>
        <a:p>
          <a:pPr algn="l" rtl="0">
            <a:defRPr sz="1000"/>
          </a:pPr>
          <a:r>
            <a:rPr lang="en-US" sz="1050" b="0" i="0" strike="noStrike">
              <a:solidFill>
                <a:srgbClr val="000000"/>
              </a:solidFill>
              <a:latin typeface="Times New Roman" pitchFamily="18" charset="0"/>
              <a:ea typeface="+mn-ea"/>
              <a:cs typeface="Times New Roman" pitchFamily="18" charset="0"/>
            </a:rPr>
            <a:t>  Oslo Forsikring</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a:t>
          </a:r>
        </a:p>
        <a:p>
          <a:pPr algn="l" rtl="0">
            <a:defRPr sz="1000"/>
          </a:pPr>
          <a:r>
            <a:rPr lang="en-US" sz="1050" b="0" i="0" strike="noStrike">
              <a:solidFill>
                <a:srgbClr val="000000"/>
              </a:solidFill>
              <a:latin typeface="Times New Roman" pitchFamily="18" charset="0"/>
              <a:ea typeface="+mn-ea"/>
              <a:cs typeface="Times New Roman" pitchFamily="18" charset="0"/>
            </a:rPr>
            <a:t>  Protector Forsikring</a:t>
          </a:r>
        </a:p>
        <a:p>
          <a:pPr algn="l" rtl="0">
            <a:defRPr sz="1000"/>
          </a:pPr>
          <a:r>
            <a:rPr lang="en-US" sz="1050" b="0" i="0" strike="noStrike">
              <a:solidFill>
                <a:srgbClr val="000000"/>
              </a:solidFill>
              <a:latin typeface="Times New Roman" pitchFamily="18" charset="0"/>
              <a:ea typeface="+mn-ea"/>
              <a:cs typeface="Times New Roman" pitchFamily="18" charset="0"/>
            </a:rPr>
            <a:t>  Skogbrand</a:t>
          </a:r>
        </a:p>
        <a:p>
          <a:pPr algn="l" rtl="0">
            <a:defRPr sz="1000"/>
          </a:pPr>
          <a:r>
            <a:rPr lang="en-US" sz="1050" b="0" i="0" strike="noStrike">
              <a:solidFill>
                <a:srgbClr val="000000"/>
              </a:solidFill>
              <a:latin typeface="Times New Roman" pitchFamily="18" charset="0"/>
              <a:ea typeface="+mn-ea"/>
              <a:cs typeface="Times New Roman" pitchFamily="18" charset="0"/>
            </a:rPr>
            <a:t>  Storebrand</a:t>
          </a:r>
        </a:p>
        <a:p>
          <a:pPr algn="l" rtl="0">
            <a:defRPr sz="1000"/>
          </a:pPr>
          <a:r>
            <a:rPr lang="en-US" sz="1050" b="0" i="0" strike="noStrike">
              <a:solidFill>
                <a:srgbClr val="000000"/>
              </a:solidFill>
              <a:latin typeface="Times New Roman" pitchFamily="18" charset="0"/>
              <a:ea typeface="+mn-ea"/>
              <a:cs typeface="Times New Roman" pitchFamily="18" charset="0"/>
            </a:rPr>
            <a:t>  Telenor Forsikring</a:t>
          </a:r>
        </a:p>
        <a:p>
          <a:pPr algn="l" rtl="0">
            <a:defRPr sz="1000"/>
          </a:pPr>
          <a:r>
            <a:rPr lang="en-US" sz="1050" b="0" i="0" strike="noStrike">
              <a:solidFill>
                <a:srgbClr val="000000"/>
              </a:solidFill>
              <a:latin typeface="Times New Roman" pitchFamily="18" charset="0"/>
              <a:ea typeface="+mn-ea"/>
              <a:cs typeface="Times New Roman" pitchFamily="18" charset="0"/>
            </a:rPr>
            <a:t>  Tryg</a:t>
          </a:r>
        </a:p>
        <a:p>
          <a:pPr algn="l" rtl="0">
            <a:defRPr sz="1000"/>
          </a:pPr>
          <a:r>
            <a:rPr lang="en-US" sz="1050" b="0" i="0" strike="noStrike">
              <a:solidFill>
                <a:srgbClr val="000000"/>
              </a:solidFill>
              <a:latin typeface="Times New Roman" pitchFamily="18" charset="0"/>
              <a:ea typeface="+mn-ea"/>
              <a:cs typeface="Times New Roman" pitchFamily="18" charset="0"/>
            </a:rPr>
            <a:t>  W. R. Berkley</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heetViews>
  <sheetFormatPr defaultColWidth="11.42578125" defaultRowHeight="12.75" x14ac:dyDescent="0.2"/>
  <cols>
    <col min="1" max="1" width="16.28515625" style="151" customWidth="1"/>
    <col min="2" max="4" width="11.42578125" style="151"/>
    <col min="5" max="5" width="14.140625" style="151" bestFit="1" customWidth="1"/>
    <col min="6" max="7" width="11.42578125" style="151"/>
    <col min="8" max="8" width="13.42578125" style="151" customWidth="1"/>
    <col min="9" max="9" width="11.42578125" style="151"/>
    <col min="10" max="10" width="13.42578125" style="151" bestFit="1" customWidth="1"/>
    <col min="11" max="256" width="11.42578125" style="151"/>
    <col min="257" max="257" width="16.28515625" style="151" customWidth="1"/>
    <col min="258" max="260" width="11.42578125" style="151"/>
    <col min="261" max="261" width="14.140625" style="151" bestFit="1" customWidth="1"/>
    <col min="262" max="263" width="11.42578125" style="151"/>
    <col min="264" max="264" width="13.42578125" style="151" customWidth="1"/>
    <col min="265" max="265" width="11.42578125" style="151"/>
    <col min="266" max="266" width="13.42578125" style="151" bestFit="1" customWidth="1"/>
    <col min="267" max="512" width="11.42578125" style="151"/>
    <col min="513" max="513" width="16.28515625" style="151" customWidth="1"/>
    <col min="514" max="516" width="11.42578125" style="151"/>
    <col min="517" max="517" width="14.140625" style="151" bestFit="1" customWidth="1"/>
    <col min="518" max="519" width="11.42578125" style="151"/>
    <col min="520" max="520" width="13.42578125" style="151" customWidth="1"/>
    <col min="521" max="521" width="11.42578125" style="151"/>
    <col min="522" max="522" width="13.42578125" style="151" bestFit="1" customWidth="1"/>
    <col min="523" max="768" width="11.42578125" style="151"/>
    <col min="769" max="769" width="16.28515625" style="151" customWidth="1"/>
    <col min="770" max="772" width="11.42578125" style="151"/>
    <col min="773" max="773" width="14.140625" style="151" bestFit="1" customWidth="1"/>
    <col min="774" max="775" width="11.42578125" style="151"/>
    <col min="776" max="776" width="13.42578125" style="151" customWidth="1"/>
    <col min="777" max="777" width="11.42578125" style="151"/>
    <col min="778" max="778" width="13.42578125" style="151" bestFit="1" customWidth="1"/>
    <col min="779" max="1024" width="11.42578125" style="151"/>
    <col min="1025" max="1025" width="16.28515625" style="151" customWidth="1"/>
    <col min="1026" max="1028" width="11.42578125" style="151"/>
    <col min="1029" max="1029" width="14.140625" style="151" bestFit="1" customWidth="1"/>
    <col min="1030" max="1031" width="11.42578125" style="151"/>
    <col min="1032" max="1032" width="13.42578125" style="151" customWidth="1"/>
    <col min="1033" max="1033" width="11.42578125" style="151"/>
    <col min="1034" max="1034" width="13.42578125" style="151" bestFit="1" customWidth="1"/>
    <col min="1035" max="1280" width="11.42578125" style="151"/>
    <col min="1281" max="1281" width="16.28515625" style="151" customWidth="1"/>
    <col min="1282" max="1284" width="11.42578125" style="151"/>
    <col min="1285" max="1285" width="14.140625" style="151" bestFit="1" customWidth="1"/>
    <col min="1286" max="1287" width="11.42578125" style="151"/>
    <col min="1288" max="1288" width="13.42578125" style="151" customWidth="1"/>
    <col min="1289" max="1289" width="11.42578125" style="151"/>
    <col min="1290" max="1290" width="13.42578125" style="151" bestFit="1" customWidth="1"/>
    <col min="1291" max="1536" width="11.42578125" style="151"/>
    <col min="1537" max="1537" width="16.28515625" style="151" customWidth="1"/>
    <col min="1538" max="1540" width="11.42578125" style="151"/>
    <col min="1541" max="1541" width="14.140625" style="151" bestFit="1" customWidth="1"/>
    <col min="1542" max="1543" width="11.42578125" style="151"/>
    <col min="1544" max="1544" width="13.42578125" style="151" customWidth="1"/>
    <col min="1545" max="1545" width="11.42578125" style="151"/>
    <col min="1546" max="1546" width="13.42578125" style="151" bestFit="1" customWidth="1"/>
    <col min="1547" max="1792" width="11.42578125" style="151"/>
    <col min="1793" max="1793" width="16.28515625" style="151" customWidth="1"/>
    <col min="1794" max="1796" width="11.42578125" style="151"/>
    <col min="1797" max="1797" width="14.140625" style="151" bestFit="1" customWidth="1"/>
    <col min="1798" max="1799" width="11.42578125" style="151"/>
    <col min="1800" max="1800" width="13.42578125" style="151" customWidth="1"/>
    <col min="1801" max="1801" width="11.42578125" style="151"/>
    <col min="1802" max="1802" width="13.42578125" style="151" bestFit="1" customWidth="1"/>
    <col min="1803" max="2048" width="11.42578125" style="151"/>
    <col min="2049" max="2049" width="16.28515625" style="151" customWidth="1"/>
    <col min="2050" max="2052" width="11.42578125" style="151"/>
    <col min="2053" max="2053" width="14.140625" style="151" bestFit="1" customWidth="1"/>
    <col min="2054" max="2055" width="11.42578125" style="151"/>
    <col min="2056" max="2056" width="13.42578125" style="151" customWidth="1"/>
    <col min="2057" max="2057" width="11.42578125" style="151"/>
    <col min="2058" max="2058" width="13.42578125" style="151" bestFit="1" customWidth="1"/>
    <col min="2059" max="2304" width="11.42578125" style="151"/>
    <col min="2305" max="2305" width="16.28515625" style="151" customWidth="1"/>
    <col min="2306" max="2308" width="11.42578125" style="151"/>
    <col min="2309" max="2309" width="14.140625" style="151" bestFit="1" customWidth="1"/>
    <col min="2310" max="2311" width="11.42578125" style="151"/>
    <col min="2312" max="2312" width="13.42578125" style="151" customWidth="1"/>
    <col min="2313" max="2313" width="11.42578125" style="151"/>
    <col min="2314" max="2314" width="13.42578125" style="151" bestFit="1" customWidth="1"/>
    <col min="2315" max="2560" width="11.42578125" style="151"/>
    <col min="2561" max="2561" width="16.28515625" style="151" customWidth="1"/>
    <col min="2562" max="2564" width="11.42578125" style="151"/>
    <col min="2565" max="2565" width="14.140625" style="151" bestFit="1" customWidth="1"/>
    <col min="2566" max="2567" width="11.42578125" style="151"/>
    <col min="2568" max="2568" width="13.42578125" style="151" customWidth="1"/>
    <col min="2569" max="2569" width="11.42578125" style="151"/>
    <col min="2570" max="2570" width="13.42578125" style="151" bestFit="1" customWidth="1"/>
    <col min="2571" max="2816" width="11.42578125" style="151"/>
    <col min="2817" max="2817" width="16.28515625" style="151" customWidth="1"/>
    <col min="2818" max="2820" width="11.42578125" style="151"/>
    <col min="2821" max="2821" width="14.140625" style="151" bestFit="1" customWidth="1"/>
    <col min="2822" max="2823" width="11.42578125" style="151"/>
    <col min="2824" max="2824" width="13.42578125" style="151" customWidth="1"/>
    <col min="2825" max="2825" width="11.42578125" style="151"/>
    <col min="2826" max="2826" width="13.42578125" style="151" bestFit="1" customWidth="1"/>
    <col min="2827" max="3072" width="11.42578125" style="151"/>
    <col min="3073" max="3073" width="16.28515625" style="151" customWidth="1"/>
    <col min="3074" max="3076" width="11.42578125" style="151"/>
    <col min="3077" max="3077" width="14.140625" style="151" bestFit="1" customWidth="1"/>
    <col min="3078" max="3079" width="11.42578125" style="151"/>
    <col min="3080" max="3080" width="13.42578125" style="151" customWidth="1"/>
    <col min="3081" max="3081" width="11.42578125" style="151"/>
    <col min="3082" max="3082" width="13.42578125" style="151" bestFit="1" customWidth="1"/>
    <col min="3083" max="3328" width="11.42578125" style="151"/>
    <col min="3329" max="3329" width="16.28515625" style="151" customWidth="1"/>
    <col min="3330" max="3332" width="11.42578125" style="151"/>
    <col min="3333" max="3333" width="14.140625" style="151" bestFit="1" customWidth="1"/>
    <col min="3334" max="3335" width="11.42578125" style="151"/>
    <col min="3336" max="3336" width="13.42578125" style="151" customWidth="1"/>
    <col min="3337" max="3337" width="11.42578125" style="151"/>
    <col min="3338" max="3338" width="13.42578125" style="151" bestFit="1" customWidth="1"/>
    <col min="3339" max="3584" width="11.42578125" style="151"/>
    <col min="3585" max="3585" width="16.28515625" style="151" customWidth="1"/>
    <col min="3586" max="3588" width="11.42578125" style="151"/>
    <col min="3589" max="3589" width="14.140625" style="151" bestFit="1" customWidth="1"/>
    <col min="3590" max="3591" width="11.42578125" style="151"/>
    <col min="3592" max="3592" width="13.42578125" style="151" customWidth="1"/>
    <col min="3593" max="3593" width="11.42578125" style="151"/>
    <col min="3594" max="3594" width="13.42578125" style="151" bestFit="1" customWidth="1"/>
    <col min="3595" max="3840" width="11.42578125" style="151"/>
    <col min="3841" max="3841" width="16.28515625" style="151" customWidth="1"/>
    <col min="3842" max="3844" width="11.42578125" style="151"/>
    <col min="3845" max="3845" width="14.140625" style="151" bestFit="1" customWidth="1"/>
    <col min="3846" max="3847" width="11.42578125" style="151"/>
    <col min="3848" max="3848" width="13.42578125" style="151" customWidth="1"/>
    <col min="3849" max="3849" width="11.42578125" style="151"/>
    <col min="3850" max="3850" width="13.42578125" style="151" bestFit="1" customWidth="1"/>
    <col min="3851" max="4096" width="11.42578125" style="151"/>
    <col min="4097" max="4097" width="16.28515625" style="151" customWidth="1"/>
    <col min="4098" max="4100" width="11.42578125" style="151"/>
    <col min="4101" max="4101" width="14.140625" style="151" bestFit="1" customWidth="1"/>
    <col min="4102" max="4103" width="11.42578125" style="151"/>
    <col min="4104" max="4104" width="13.42578125" style="151" customWidth="1"/>
    <col min="4105" max="4105" width="11.42578125" style="151"/>
    <col min="4106" max="4106" width="13.42578125" style="151" bestFit="1" customWidth="1"/>
    <col min="4107" max="4352" width="11.42578125" style="151"/>
    <col min="4353" max="4353" width="16.28515625" style="151" customWidth="1"/>
    <col min="4354" max="4356" width="11.42578125" style="151"/>
    <col min="4357" max="4357" width="14.140625" style="151" bestFit="1" customWidth="1"/>
    <col min="4358" max="4359" width="11.42578125" style="151"/>
    <col min="4360" max="4360" width="13.42578125" style="151" customWidth="1"/>
    <col min="4361" max="4361" width="11.42578125" style="151"/>
    <col min="4362" max="4362" width="13.42578125" style="151" bestFit="1" customWidth="1"/>
    <col min="4363" max="4608" width="11.42578125" style="151"/>
    <col min="4609" max="4609" width="16.28515625" style="151" customWidth="1"/>
    <col min="4610" max="4612" width="11.42578125" style="151"/>
    <col min="4613" max="4613" width="14.140625" style="151" bestFit="1" customWidth="1"/>
    <col min="4614" max="4615" width="11.42578125" style="151"/>
    <col min="4616" max="4616" width="13.42578125" style="151" customWidth="1"/>
    <col min="4617" max="4617" width="11.42578125" style="151"/>
    <col min="4618" max="4618" width="13.42578125" style="151" bestFit="1" customWidth="1"/>
    <col min="4619" max="4864" width="11.42578125" style="151"/>
    <col min="4865" max="4865" width="16.28515625" style="151" customWidth="1"/>
    <col min="4866" max="4868" width="11.42578125" style="151"/>
    <col min="4869" max="4869" width="14.140625" style="151" bestFit="1" customWidth="1"/>
    <col min="4870" max="4871" width="11.42578125" style="151"/>
    <col min="4872" max="4872" width="13.42578125" style="151" customWidth="1"/>
    <col min="4873" max="4873" width="11.42578125" style="151"/>
    <col min="4874" max="4874" width="13.42578125" style="151" bestFit="1" customWidth="1"/>
    <col min="4875" max="5120" width="11.42578125" style="151"/>
    <col min="5121" max="5121" width="16.28515625" style="151" customWidth="1"/>
    <col min="5122" max="5124" width="11.42578125" style="151"/>
    <col min="5125" max="5125" width="14.140625" style="151" bestFit="1" customWidth="1"/>
    <col min="5126" max="5127" width="11.42578125" style="151"/>
    <col min="5128" max="5128" width="13.42578125" style="151" customWidth="1"/>
    <col min="5129" max="5129" width="11.42578125" style="151"/>
    <col min="5130" max="5130" width="13.42578125" style="151" bestFit="1" customWidth="1"/>
    <col min="5131" max="5376" width="11.42578125" style="151"/>
    <col min="5377" max="5377" width="16.28515625" style="151" customWidth="1"/>
    <col min="5378" max="5380" width="11.42578125" style="151"/>
    <col min="5381" max="5381" width="14.140625" style="151" bestFit="1" customWidth="1"/>
    <col min="5382" max="5383" width="11.42578125" style="151"/>
    <col min="5384" max="5384" width="13.42578125" style="151" customWidth="1"/>
    <col min="5385" max="5385" width="11.42578125" style="151"/>
    <col min="5386" max="5386" width="13.42578125" style="151" bestFit="1" customWidth="1"/>
    <col min="5387" max="5632" width="11.42578125" style="151"/>
    <col min="5633" max="5633" width="16.28515625" style="151" customWidth="1"/>
    <col min="5634" max="5636" width="11.42578125" style="151"/>
    <col min="5637" max="5637" width="14.140625" style="151" bestFit="1" customWidth="1"/>
    <col min="5638" max="5639" width="11.42578125" style="151"/>
    <col min="5640" max="5640" width="13.42578125" style="151" customWidth="1"/>
    <col min="5641" max="5641" width="11.42578125" style="151"/>
    <col min="5642" max="5642" width="13.42578125" style="151" bestFit="1" customWidth="1"/>
    <col min="5643" max="5888" width="11.42578125" style="151"/>
    <col min="5889" max="5889" width="16.28515625" style="151" customWidth="1"/>
    <col min="5890" max="5892" width="11.42578125" style="151"/>
    <col min="5893" max="5893" width="14.140625" style="151" bestFit="1" customWidth="1"/>
    <col min="5894" max="5895" width="11.42578125" style="151"/>
    <col min="5896" max="5896" width="13.42578125" style="151" customWidth="1"/>
    <col min="5897" max="5897" width="11.42578125" style="151"/>
    <col min="5898" max="5898" width="13.42578125" style="151" bestFit="1" customWidth="1"/>
    <col min="5899" max="6144" width="11.42578125" style="151"/>
    <col min="6145" max="6145" width="16.28515625" style="151" customWidth="1"/>
    <col min="6146" max="6148" width="11.42578125" style="151"/>
    <col min="6149" max="6149" width="14.140625" style="151" bestFit="1" customWidth="1"/>
    <col min="6150" max="6151" width="11.42578125" style="151"/>
    <col min="6152" max="6152" width="13.42578125" style="151" customWidth="1"/>
    <col min="6153" max="6153" width="11.42578125" style="151"/>
    <col min="6154" max="6154" width="13.42578125" style="151" bestFit="1" customWidth="1"/>
    <col min="6155" max="6400" width="11.42578125" style="151"/>
    <col min="6401" max="6401" width="16.28515625" style="151" customWidth="1"/>
    <col min="6402" max="6404" width="11.42578125" style="151"/>
    <col min="6405" max="6405" width="14.140625" style="151" bestFit="1" customWidth="1"/>
    <col min="6406" max="6407" width="11.42578125" style="151"/>
    <col min="6408" max="6408" width="13.42578125" style="151" customWidth="1"/>
    <col min="6409" max="6409" width="11.42578125" style="151"/>
    <col min="6410" max="6410" width="13.42578125" style="151" bestFit="1" customWidth="1"/>
    <col min="6411" max="6656" width="11.42578125" style="151"/>
    <col min="6657" max="6657" width="16.28515625" style="151" customWidth="1"/>
    <col min="6658" max="6660" width="11.42578125" style="151"/>
    <col min="6661" max="6661" width="14.140625" style="151" bestFit="1" customWidth="1"/>
    <col min="6662" max="6663" width="11.42578125" style="151"/>
    <col min="6664" max="6664" width="13.42578125" style="151" customWidth="1"/>
    <col min="6665" max="6665" width="11.42578125" style="151"/>
    <col min="6666" max="6666" width="13.42578125" style="151" bestFit="1" customWidth="1"/>
    <col min="6667" max="6912" width="11.42578125" style="151"/>
    <col min="6913" max="6913" width="16.28515625" style="151" customWidth="1"/>
    <col min="6914" max="6916" width="11.42578125" style="151"/>
    <col min="6917" max="6917" width="14.140625" style="151" bestFit="1" customWidth="1"/>
    <col min="6918" max="6919" width="11.42578125" style="151"/>
    <col min="6920" max="6920" width="13.42578125" style="151" customWidth="1"/>
    <col min="6921" max="6921" width="11.42578125" style="151"/>
    <col min="6922" max="6922" width="13.42578125" style="151" bestFit="1" customWidth="1"/>
    <col min="6923" max="7168" width="11.42578125" style="151"/>
    <col min="7169" max="7169" width="16.28515625" style="151" customWidth="1"/>
    <col min="7170" max="7172" width="11.42578125" style="151"/>
    <col min="7173" max="7173" width="14.140625" style="151" bestFit="1" customWidth="1"/>
    <col min="7174" max="7175" width="11.42578125" style="151"/>
    <col min="7176" max="7176" width="13.42578125" style="151" customWidth="1"/>
    <col min="7177" max="7177" width="11.42578125" style="151"/>
    <col min="7178" max="7178" width="13.42578125" style="151" bestFit="1" customWidth="1"/>
    <col min="7179" max="7424" width="11.42578125" style="151"/>
    <col min="7425" max="7425" width="16.28515625" style="151" customWidth="1"/>
    <col min="7426" max="7428" width="11.42578125" style="151"/>
    <col min="7429" max="7429" width="14.140625" style="151" bestFit="1" customWidth="1"/>
    <col min="7430" max="7431" width="11.42578125" style="151"/>
    <col min="7432" max="7432" width="13.42578125" style="151" customWidth="1"/>
    <col min="7433" max="7433" width="11.42578125" style="151"/>
    <col min="7434" max="7434" width="13.42578125" style="151" bestFit="1" customWidth="1"/>
    <col min="7435" max="7680" width="11.42578125" style="151"/>
    <col min="7681" max="7681" width="16.28515625" style="151" customWidth="1"/>
    <col min="7682" max="7684" width="11.42578125" style="151"/>
    <col min="7685" max="7685" width="14.140625" style="151" bestFit="1" customWidth="1"/>
    <col min="7686" max="7687" width="11.42578125" style="151"/>
    <col min="7688" max="7688" width="13.42578125" style="151" customWidth="1"/>
    <col min="7689" max="7689" width="11.42578125" style="151"/>
    <col min="7690" max="7690" width="13.42578125" style="151" bestFit="1" customWidth="1"/>
    <col min="7691" max="7936" width="11.42578125" style="151"/>
    <col min="7937" max="7937" width="16.28515625" style="151" customWidth="1"/>
    <col min="7938" max="7940" width="11.42578125" style="151"/>
    <col min="7941" max="7941" width="14.140625" style="151" bestFit="1" customWidth="1"/>
    <col min="7942" max="7943" width="11.42578125" style="151"/>
    <col min="7944" max="7944" width="13.42578125" style="151" customWidth="1"/>
    <col min="7945" max="7945" width="11.42578125" style="151"/>
    <col min="7946" max="7946" width="13.42578125" style="151" bestFit="1" customWidth="1"/>
    <col min="7947" max="8192" width="11.42578125" style="151"/>
    <col min="8193" max="8193" width="16.28515625" style="151" customWidth="1"/>
    <col min="8194" max="8196" width="11.42578125" style="151"/>
    <col min="8197" max="8197" width="14.140625" style="151" bestFit="1" customWidth="1"/>
    <col min="8198" max="8199" width="11.42578125" style="151"/>
    <col min="8200" max="8200" width="13.42578125" style="151" customWidth="1"/>
    <col min="8201" max="8201" width="11.42578125" style="151"/>
    <col min="8202" max="8202" width="13.42578125" style="151" bestFit="1" customWidth="1"/>
    <col min="8203" max="8448" width="11.42578125" style="151"/>
    <col min="8449" max="8449" width="16.28515625" style="151" customWidth="1"/>
    <col min="8450" max="8452" width="11.42578125" style="151"/>
    <col min="8453" max="8453" width="14.140625" style="151" bestFit="1" customWidth="1"/>
    <col min="8454" max="8455" width="11.42578125" style="151"/>
    <col min="8456" max="8456" width="13.42578125" style="151" customWidth="1"/>
    <col min="8457" max="8457" width="11.42578125" style="151"/>
    <col min="8458" max="8458" width="13.42578125" style="151" bestFit="1" customWidth="1"/>
    <col min="8459" max="8704" width="11.42578125" style="151"/>
    <col min="8705" max="8705" width="16.28515625" style="151" customWidth="1"/>
    <col min="8706" max="8708" width="11.42578125" style="151"/>
    <col min="8709" max="8709" width="14.140625" style="151" bestFit="1" customWidth="1"/>
    <col min="8710" max="8711" width="11.42578125" style="151"/>
    <col min="8712" max="8712" width="13.42578125" style="151" customWidth="1"/>
    <col min="8713" max="8713" width="11.42578125" style="151"/>
    <col min="8714" max="8714" width="13.42578125" style="151" bestFit="1" customWidth="1"/>
    <col min="8715" max="8960" width="11.42578125" style="151"/>
    <col min="8961" max="8961" width="16.28515625" style="151" customWidth="1"/>
    <col min="8962" max="8964" width="11.42578125" style="151"/>
    <col min="8965" max="8965" width="14.140625" style="151" bestFit="1" customWidth="1"/>
    <col min="8966" max="8967" width="11.42578125" style="151"/>
    <col min="8968" max="8968" width="13.42578125" style="151" customWidth="1"/>
    <col min="8969" max="8969" width="11.42578125" style="151"/>
    <col min="8970" max="8970" width="13.42578125" style="151" bestFit="1" customWidth="1"/>
    <col min="8971" max="9216" width="11.42578125" style="151"/>
    <col min="9217" max="9217" width="16.28515625" style="151" customWidth="1"/>
    <col min="9218" max="9220" width="11.42578125" style="151"/>
    <col min="9221" max="9221" width="14.140625" style="151" bestFit="1" customWidth="1"/>
    <col min="9222" max="9223" width="11.42578125" style="151"/>
    <col min="9224" max="9224" width="13.42578125" style="151" customWidth="1"/>
    <col min="9225" max="9225" width="11.42578125" style="151"/>
    <col min="9226" max="9226" width="13.42578125" style="151" bestFit="1" customWidth="1"/>
    <col min="9227" max="9472" width="11.42578125" style="151"/>
    <col min="9473" max="9473" width="16.28515625" style="151" customWidth="1"/>
    <col min="9474" max="9476" width="11.42578125" style="151"/>
    <col min="9477" max="9477" width="14.140625" style="151" bestFit="1" customWidth="1"/>
    <col min="9478" max="9479" width="11.42578125" style="151"/>
    <col min="9480" max="9480" width="13.42578125" style="151" customWidth="1"/>
    <col min="9481" max="9481" width="11.42578125" style="151"/>
    <col min="9482" max="9482" width="13.42578125" style="151" bestFit="1" customWidth="1"/>
    <col min="9483" max="9728" width="11.42578125" style="151"/>
    <col min="9729" max="9729" width="16.28515625" style="151" customWidth="1"/>
    <col min="9730" max="9732" width="11.42578125" style="151"/>
    <col min="9733" max="9733" width="14.140625" style="151" bestFit="1" customWidth="1"/>
    <col min="9734" max="9735" width="11.42578125" style="151"/>
    <col min="9736" max="9736" width="13.42578125" style="151" customWidth="1"/>
    <col min="9737" max="9737" width="11.42578125" style="151"/>
    <col min="9738" max="9738" width="13.42578125" style="151" bestFit="1" customWidth="1"/>
    <col min="9739" max="9984" width="11.42578125" style="151"/>
    <col min="9985" max="9985" width="16.28515625" style="151" customWidth="1"/>
    <col min="9986" max="9988" width="11.42578125" style="151"/>
    <col min="9989" max="9989" width="14.140625" style="151" bestFit="1" customWidth="1"/>
    <col min="9990" max="9991" width="11.42578125" style="151"/>
    <col min="9992" max="9992" width="13.42578125" style="151" customWidth="1"/>
    <col min="9993" max="9993" width="11.42578125" style="151"/>
    <col min="9994" max="9994" width="13.42578125" style="151" bestFit="1" customWidth="1"/>
    <col min="9995" max="10240" width="11.42578125" style="151"/>
    <col min="10241" max="10241" width="16.28515625" style="151" customWidth="1"/>
    <col min="10242" max="10244" width="11.42578125" style="151"/>
    <col min="10245" max="10245" width="14.140625" style="151" bestFit="1" customWidth="1"/>
    <col min="10246" max="10247" width="11.42578125" style="151"/>
    <col min="10248" max="10248" width="13.42578125" style="151" customWidth="1"/>
    <col min="10249" max="10249" width="11.42578125" style="151"/>
    <col min="10250" max="10250" width="13.42578125" style="151" bestFit="1" customWidth="1"/>
    <col min="10251" max="10496" width="11.42578125" style="151"/>
    <col min="10497" max="10497" width="16.28515625" style="151" customWidth="1"/>
    <col min="10498" max="10500" width="11.42578125" style="151"/>
    <col min="10501" max="10501" width="14.140625" style="151" bestFit="1" customWidth="1"/>
    <col min="10502" max="10503" width="11.42578125" style="151"/>
    <col min="10504" max="10504" width="13.42578125" style="151" customWidth="1"/>
    <col min="10505" max="10505" width="11.42578125" style="151"/>
    <col min="10506" max="10506" width="13.42578125" style="151" bestFit="1" customWidth="1"/>
    <col min="10507" max="10752" width="11.42578125" style="151"/>
    <col min="10753" max="10753" width="16.28515625" style="151" customWidth="1"/>
    <col min="10754" max="10756" width="11.42578125" style="151"/>
    <col min="10757" max="10757" width="14.140625" style="151" bestFit="1" customWidth="1"/>
    <col min="10758" max="10759" width="11.42578125" style="151"/>
    <col min="10760" max="10760" width="13.42578125" style="151" customWidth="1"/>
    <col min="10761" max="10761" width="11.42578125" style="151"/>
    <col min="10762" max="10762" width="13.42578125" style="151" bestFit="1" customWidth="1"/>
    <col min="10763" max="11008" width="11.42578125" style="151"/>
    <col min="11009" max="11009" width="16.28515625" style="151" customWidth="1"/>
    <col min="11010" max="11012" width="11.42578125" style="151"/>
    <col min="11013" max="11013" width="14.140625" style="151" bestFit="1" customWidth="1"/>
    <col min="11014" max="11015" width="11.42578125" style="151"/>
    <col min="11016" max="11016" width="13.42578125" style="151" customWidth="1"/>
    <col min="11017" max="11017" width="11.42578125" style="151"/>
    <col min="11018" max="11018" width="13.42578125" style="151" bestFit="1" customWidth="1"/>
    <col min="11019" max="11264" width="11.42578125" style="151"/>
    <col min="11265" max="11265" width="16.28515625" style="151" customWidth="1"/>
    <col min="11266" max="11268" width="11.42578125" style="151"/>
    <col min="11269" max="11269" width="14.140625" style="151" bestFit="1" customWidth="1"/>
    <col min="11270" max="11271" width="11.42578125" style="151"/>
    <col min="11272" max="11272" width="13.42578125" style="151" customWidth="1"/>
    <col min="11273" max="11273" width="11.42578125" style="151"/>
    <col min="11274" max="11274" width="13.42578125" style="151" bestFit="1" customWidth="1"/>
    <col min="11275" max="11520" width="11.42578125" style="151"/>
    <col min="11521" max="11521" width="16.28515625" style="151" customWidth="1"/>
    <col min="11522" max="11524" width="11.42578125" style="151"/>
    <col min="11525" max="11525" width="14.140625" style="151" bestFit="1" customWidth="1"/>
    <col min="11526" max="11527" width="11.42578125" style="151"/>
    <col min="11528" max="11528" width="13.42578125" style="151" customWidth="1"/>
    <col min="11529" max="11529" width="11.42578125" style="151"/>
    <col min="11530" max="11530" width="13.42578125" style="151" bestFit="1" customWidth="1"/>
    <col min="11531" max="11776" width="11.42578125" style="151"/>
    <col min="11777" max="11777" width="16.28515625" style="151" customWidth="1"/>
    <col min="11778" max="11780" width="11.42578125" style="151"/>
    <col min="11781" max="11781" width="14.140625" style="151" bestFit="1" customWidth="1"/>
    <col min="11782" max="11783" width="11.42578125" style="151"/>
    <col min="11784" max="11784" width="13.42578125" style="151" customWidth="1"/>
    <col min="11785" max="11785" width="11.42578125" style="151"/>
    <col min="11786" max="11786" width="13.42578125" style="151" bestFit="1" customWidth="1"/>
    <col min="11787" max="12032" width="11.42578125" style="151"/>
    <col min="12033" max="12033" width="16.28515625" style="151" customWidth="1"/>
    <col min="12034" max="12036" width="11.42578125" style="151"/>
    <col min="12037" max="12037" width="14.140625" style="151" bestFit="1" customWidth="1"/>
    <col min="12038" max="12039" width="11.42578125" style="151"/>
    <col min="12040" max="12040" width="13.42578125" style="151" customWidth="1"/>
    <col min="12041" max="12041" width="11.42578125" style="151"/>
    <col min="12042" max="12042" width="13.42578125" style="151" bestFit="1" customWidth="1"/>
    <col min="12043" max="12288" width="11.42578125" style="151"/>
    <col min="12289" max="12289" width="16.28515625" style="151" customWidth="1"/>
    <col min="12290" max="12292" width="11.42578125" style="151"/>
    <col min="12293" max="12293" width="14.140625" style="151" bestFit="1" customWidth="1"/>
    <col min="12294" max="12295" width="11.42578125" style="151"/>
    <col min="12296" max="12296" width="13.42578125" style="151" customWidth="1"/>
    <col min="12297" max="12297" width="11.42578125" style="151"/>
    <col min="12298" max="12298" width="13.42578125" style="151" bestFit="1" customWidth="1"/>
    <col min="12299" max="12544" width="11.42578125" style="151"/>
    <col min="12545" max="12545" width="16.28515625" style="151" customWidth="1"/>
    <col min="12546" max="12548" width="11.42578125" style="151"/>
    <col min="12549" max="12549" width="14.140625" style="151" bestFit="1" customWidth="1"/>
    <col min="12550" max="12551" width="11.42578125" style="151"/>
    <col min="12552" max="12552" width="13.42578125" style="151" customWidth="1"/>
    <col min="12553" max="12553" width="11.42578125" style="151"/>
    <col min="12554" max="12554" width="13.42578125" style="151" bestFit="1" customWidth="1"/>
    <col min="12555" max="12800" width="11.42578125" style="151"/>
    <col min="12801" max="12801" width="16.28515625" style="151" customWidth="1"/>
    <col min="12802" max="12804" width="11.42578125" style="151"/>
    <col min="12805" max="12805" width="14.140625" style="151" bestFit="1" customWidth="1"/>
    <col min="12806" max="12807" width="11.42578125" style="151"/>
    <col min="12808" max="12808" width="13.42578125" style="151" customWidth="1"/>
    <col min="12809" max="12809" width="11.42578125" style="151"/>
    <col min="12810" max="12810" width="13.42578125" style="151" bestFit="1" customWidth="1"/>
    <col min="12811" max="13056" width="11.42578125" style="151"/>
    <col min="13057" max="13057" width="16.28515625" style="151" customWidth="1"/>
    <col min="13058" max="13060" width="11.42578125" style="151"/>
    <col min="13061" max="13061" width="14.140625" style="151" bestFit="1" customWidth="1"/>
    <col min="13062" max="13063" width="11.42578125" style="151"/>
    <col min="13064" max="13064" width="13.42578125" style="151" customWidth="1"/>
    <col min="13065" max="13065" width="11.42578125" style="151"/>
    <col min="13066" max="13066" width="13.42578125" style="151" bestFit="1" customWidth="1"/>
    <col min="13067" max="13312" width="11.42578125" style="151"/>
    <col min="13313" max="13313" width="16.28515625" style="151" customWidth="1"/>
    <col min="13314" max="13316" width="11.42578125" style="151"/>
    <col min="13317" max="13317" width="14.140625" style="151" bestFit="1" customWidth="1"/>
    <col min="13318" max="13319" width="11.42578125" style="151"/>
    <col min="13320" max="13320" width="13.42578125" style="151" customWidth="1"/>
    <col min="13321" max="13321" width="11.42578125" style="151"/>
    <col min="13322" max="13322" width="13.42578125" style="151" bestFit="1" customWidth="1"/>
    <col min="13323" max="13568" width="11.42578125" style="151"/>
    <col min="13569" max="13569" width="16.28515625" style="151" customWidth="1"/>
    <col min="13570" max="13572" width="11.42578125" style="151"/>
    <col min="13573" max="13573" width="14.140625" style="151" bestFit="1" customWidth="1"/>
    <col min="13574" max="13575" width="11.42578125" style="151"/>
    <col min="13576" max="13576" width="13.42578125" style="151" customWidth="1"/>
    <col min="13577" max="13577" width="11.42578125" style="151"/>
    <col min="13578" max="13578" width="13.42578125" style="151" bestFit="1" customWidth="1"/>
    <col min="13579" max="13824" width="11.42578125" style="151"/>
    <col min="13825" max="13825" width="16.28515625" style="151" customWidth="1"/>
    <col min="13826" max="13828" width="11.42578125" style="151"/>
    <col min="13829" max="13829" width="14.140625" style="151" bestFit="1" customWidth="1"/>
    <col min="13830" max="13831" width="11.42578125" style="151"/>
    <col min="13832" max="13832" width="13.42578125" style="151" customWidth="1"/>
    <col min="13833" max="13833" width="11.42578125" style="151"/>
    <col min="13834" max="13834" width="13.42578125" style="151" bestFit="1" customWidth="1"/>
    <col min="13835" max="14080" width="11.42578125" style="151"/>
    <col min="14081" max="14081" width="16.28515625" style="151" customWidth="1"/>
    <col min="14082" max="14084" width="11.42578125" style="151"/>
    <col min="14085" max="14085" width="14.140625" style="151" bestFit="1" customWidth="1"/>
    <col min="14086" max="14087" width="11.42578125" style="151"/>
    <col min="14088" max="14088" width="13.42578125" style="151" customWidth="1"/>
    <col min="14089" max="14089" width="11.42578125" style="151"/>
    <col min="14090" max="14090" width="13.42578125" style="151" bestFit="1" customWidth="1"/>
    <col min="14091" max="14336" width="11.42578125" style="151"/>
    <col min="14337" max="14337" width="16.28515625" style="151" customWidth="1"/>
    <col min="14338" max="14340" width="11.42578125" style="151"/>
    <col min="14341" max="14341" width="14.140625" style="151" bestFit="1" customWidth="1"/>
    <col min="14342" max="14343" width="11.42578125" style="151"/>
    <col min="14344" max="14344" width="13.42578125" style="151" customWidth="1"/>
    <col min="14345" max="14345" width="11.42578125" style="151"/>
    <col min="14346" max="14346" width="13.42578125" style="151" bestFit="1" customWidth="1"/>
    <col min="14347" max="14592" width="11.42578125" style="151"/>
    <col min="14593" max="14593" width="16.28515625" style="151" customWidth="1"/>
    <col min="14594" max="14596" width="11.42578125" style="151"/>
    <col min="14597" max="14597" width="14.140625" style="151" bestFit="1" customWidth="1"/>
    <col min="14598" max="14599" width="11.42578125" style="151"/>
    <col min="14600" max="14600" width="13.42578125" style="151" customWidth="1"/>
    <col min="14601" max="14601" width="11.42578125" style="151"/>
    <col min="14602" max="14602" width="13.42578125" style="151" bestFit="1" customWidth="1"/>
    <col min="14603" max="14848" width="11.42578125" style="151"/>
    <col min="14849" max="14849" width="16.28515625" style="151" customWidth="1"/>
    <col min="14850" max="14852" width="11.42578125" style="151"/>
    <col min="14853" max="14853" width="14.140625" style="151" bestFit="1" customWidth="1"/>
    <col min="14854" max="14855" width="11.42578125" style="151"/>
    <col min="14856" max="14856" width="13.42578125" style="151" customWidth="1"/>
    <col min="14857" max="14857" width="11.42578125" style="151"/>
    <col min="14858" max="14858" width="13.42578125" style="151" bestFit="1" customWidth="1"/>
    <col min="14859" max="15104" width="11.42578125" style="151"/>
    <col min="15105" max="15105" width="16.28515625" style="151" customWidth="1"/>
    <col min="15106" max="15108" width="11.42578125" style="151"/>
    <col min="15109" max="15109" width="14.140625" style="151" bestFit="1" customWidth="1"/>
    <col min="15110" max="15111" width="11.42578125" style="151"/>
    <col min="15112" max="15112" width="13.42578125" style="151" customWidth="1"/>
    <col min="15113" max="15113" width="11.42578125" style="151"/>
    <col min="15114" max="15114" width="13.42578125" style="151" bestFit="1" customWidth="1"/>
    <col min="15115" max="15360" width="11.42578125" style="151"/>
    <col min="15361" max="15361" width="16.28515625" style="151" customWidth="1"/>
    <col min="15362" max="15364" width="11.42578125" style="151"/>
    <col min="15365" max="15365" width="14.140625" style="151" bestFit="1" customWidth="1"/>
    <col min="15366" max="15367" width="11.42578125" style="151"/>
    <col min="15368" max="15368" width="13.42578125" style="151" customWidth="1"/>
    <col min="15369" max="15369" width="11.42578125" style="151"/>
    <col min="15370" max="15370" width="13.42578125" style="151" bestFit="1" customWidth="1"/>
    <col min="15371" max="15616" width="11.42578125" style="151"/>
    <col min="15617" max="15617" width="16.28515625" style="151" customWidth="1"/>
    <col min="15618" max="15620" width="11.42578125" style="151"/>
    <col min="15621" max="15621" width="14.140625" style="151" bestFit="1" customWidth="1"/>
    <col min="15622" max="15623" width="11.42578125" style="151"/>
    <col min="15624" max="15624" width="13.42578125" style="151" customWidth="1"/>
    <col min="15625" max="15625" width="11.42578125" style="151"/>
    <col min="15626" max="15626" width="13.42578125" style="151" bestFit="1" customWidth="1"/>
    <col min="15627" max="15872" width="11.42578125" style="151"/>
    <col min="15873" max="15873" width="16.28515625" style="151" customWidth="1"/>
    <col min="15874" max="15876" width="11.42578125" style="151"/>
    <col min="15877" max="15877" width="14.140625" style="151" bestFit="1" customWidth="1"/>
    <col min="15878" max="15879" width="11.42578125" style="151"/>
    <col min="15880" max="15880" width="13.42578125" style="151" customWidth="1"/>
    <col min="15881" max="15881" width="11.42578125" style="151"/>
    <col min="15882" max="15882" width="13.42578125" style="151" bestFit="1" customWidth="1"/>
    <col min="15883" max="16128" width="11.42578125" style="151"/>
    <col min="16129" max="16129" width="16.28515625" style="151" customWidth="1"/>
    <col min="16130" max="16132" width="11.42578125" style="151"/>
    <col min="16133" max="16133" width="14.140625" style="151" bestFit="1" customWidth="1"/>
    <col min="16134" max="16135" width="11.42578125" style="151"/>
    <col min="16136" max="16136" width="13.42578125" style="151" customWidth="1"/>
    <col min="16137" max="16137" width="11.42578125" style="151"/>
    <col min="16138" max="16138" width="13.42578125" style="151" bestFit="1" customWidth="1"/>
    <col min="16139" max="16384" width="11.42578125" style="151"/>
  </cols>
  <sheetData>
    <row r="5" spans="2:9" x14ac:dyDescent="0.2">
      <c r="B5" s="150"/>
      <c r="C5" s="150"/>
      <c r="D5" s="150"/>
      <c r="E5" s="150"/>
      <c r="F5" s="150"/>
      <c r="G5" s="150"/>
      <c r="H5" s="150"/>
    </row>
    <row r="6" spans="2:9" ht="23.25" x14ac:dyDescent="0.35">
      <c r="B6" s="152"/>
      <c r="C6" s="150"/>
      <c r="D6" s="150"/>
      <c r="E6" s="150"/>
      <c r="F6" s="150"/>
      <c r="G6" s="150"/>
      <c r="H6" s="150"/>
      <c r="I6" s="153"/>
    </row>
    <row r="7" spans="2:9" x14ac:dyDescent="0.2">
      <c r="B7" s="150"/>
      <c r="C7" s="150"/>
      <c r="D7" s="150"/>
      <c r="E7" s="150"/>
      <c r="F7" s="150"/>
      <c r="G7" s="150"/>
      <c r="H7" s="150"/>
      <c r="I7" s="150"/>
    </row>
    <row r="8" spans="2:9" x14ac:dyDescent="0.2">
      <c r="B8" s="150"/>
      <c r="C8" s="150"/>
      <c r="D8" s="150"/>
      <c r="F8" s="150"/>
      <c r="G8" s="150"/>
      <c r="H8" s="150"/>
    </row>
    <row r="9" spans="2:9" x14ac:dyDescent="0.2">
      <c r="B9" s="150"/>
      <c r="C9" s="150"/>
      <c r="D9" s="150"/>
      <c r="E9" s="150"/>
      <c r="F9" s="150"/>
      <c r="G9" s="150"/>
      <c r="H9" s="150"/>
    </row>
    <row r="10" spans="2:9" ht="23.25" x14ac:dyDescent="0.35">
      <c r="B10" s="150"/>
      <c r="C10" s="150"/>
      <c r="D10" s="150"/>
      <c r="I10" s="153"/>
    </row>
    <row r="11" spans="2:9" x14ac:dyDescent="0.2">
      <c r="B11" s="150"/>
      <c r="C11" s="150"/>
      <c r="D11" s="150"/>
    </row>
    <row r="12" spans="2:9" ht="27" customHeight="1" x14ac:dyDescent="0.35">
      <c r="B12" s="150"/>
      <c r="C12" s="150"/>
      <c r="D12" s="150"/>
      <c r="E12" s="150"/>
      <c r="F12" s="150"/>
      <c r="G12" s="150"/>
      <c r="H12" s="150"/>
      <c r="I12" s="153"/>
    </row>
    <row r="13" spans="2:9" ht="19.5" customHeight="1" x14ac:dyDescent="0.35">
      <c r="B13" s="150"/>
      <c r="C13" s="154"/>
      <c r="D13" s="154"/>
      <c r="E13" s="154"/>
      <c r="F13" s="154"/>
      <c r="G13" s="154"/>
      <c r="H13" s="154"/>
      <c r="I13" s="153"/>
    </row>
    <row r="14" spans="2:9" x14ac:dyDescent="0.2">
      <c r="B14" s="150"/>
      <c r="C14" s="150"/>
      <c r="D14" s="150"/>
      <c r="F14" s="150"/>
      <c r="G14" s="150"/>
      <c r="H14" s="150"/>
    </row>
    <row r="15" spans="2:9" x14ac:dyDescent="0.2">
      <c r="B15" s="150"/>
      <c r="C15" s="150"/>
      <c r="D15" s="150"/>
      <c r="F15" s="150"/>
      <c r="G15" s="150"/>
      <c r="H15" s="150"/>
      <c r="I15" s="150"/>
    </row>
    <row r="16" spans="2:9" ht="34.5" x14ac:dyDescent="0.45">
      <c r="B16" s="150"/>
      <c r="C16" s="150"/>
      <c r="D16" s="150"/>
      <c r="E16" s="155"/>
      <c r="F16" s="150"/>
      <c r="G16" s="150"/>
      <c r="H16" s="150"/>
      <c r="I16" s="150"/>
    </row>
    <row r="17" spans="2:9" ht="33" x14ac:dyDescent="0.45">
      <c r="B17" s="150"/>
      <c r="C17" s="150"/>
      <c r="D17" s="150"/>
      <c r="E17" s="156"/>
      <c r="F17" s="150"/>
      <c r="G17" s="150"/>
      <c r="H17" s="150"/>
      <c r="I17" s="150"/>
    </row>
    <row r="18" spans="2:9" ht="33" x14ac:dyDescent="0.45">
      <c r="D18" s="156"/>
    </row>
    <row r="19" spans="2:9" ht="18.75" x14ac:dyDescent="0.3">
      <c r="E19" s="157"/>
      <c r="I19" s="158"/>
    </row>
    <row r="21" spans="2:9" x14ac:dyDescent="0.2">
      <c r="E21" s="159"/>
    </row>
    <row r="22" spans="2:9" ht="26.25" x14ac:dyDescent="0.4">
      <c r="E22" s="160"/>
    </row>
    <row r="25" spans="2:9" ht="18.75" x14ac:dyDescent="0.3">
      <c r="E25" s="161"/>
    </row>
    <row r="26" spans="2:9" ht="18.75" x14ac:dyDescent="0.3">
      <c r="E26" s="162"/>
    </row>
    <row r="28" spans="2:9" x14ac:dyDescent="0.2">
      <c r="D28" s="154"/>
      <c r="E28" s="154"/>
      <c r="F28" s="154"/>
      <c r="G28" s="154"/>
      <c r="H28" s="154"/>
    </row>
    <row r="33" spans="1:9" ht="35.25" x14ac:dyDescent="0.2">
      <c r="A33" s="163"/>
    </row>
    <row r="36" spans="1:9" ht="33" x14ac:dyDescent="0.2">
      <c r="B36" s="164"/>
    </row>
    <row r="39" spans="1:9" ht="18" x14ac:dyDescent="0.25">
      <c r="B39" s="165"/>
    </row>
    <row r="41" spans="1:9" ht="18.75" x14ac:dyDescent="0.3">
      <c r="I41" s="166"/>
    </row>
    <row r="43" spans="1:9" ht="18.75" x14ac:dyDescent="0.3">
      <c r="B43" s="199"/>
      <c r="C43" s="199"/>
      <c r="D43" s="199"/>
    </row>
    <row r="57" spans="10:10" ht="18.75" x14ac:dyDescent="0.3">
      <c r="J57" s="167"/>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148</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42</v>
      </c>
      <c r="B7" s="19" t="s">
        <v>3</v>
      </c>
      <c r="C7" s="20">
        <v>237964</v>
      </c>
      <c r="D7" s="20">
        <v>251790</v>
      </c>
      <c r="E7" s="21">
        <v>246773.90277429731</v>
      </c>
      <c r="F7" s="22" t="s">
        <v>240</v>
      </c>
      <c r="G7" s="23">
        <v>3.7021998177444289</v>
      </c>
      <c r="H7" s="24">
        <v>-1.9921749178691215</v>
      </c>
    </row>
    <row r="8" spans="1:8" x14ac:dyDescent="0.2">
      <c r="A8" s="206"/>
      <c r="B8" s="25" t="s">
        <v>241</v>
      </c>
      <c r="C8" s="26">
        <v>173987.3295662638</v>
      </c>
      <c r="D8" s="26">
        <v>188188.28956731019</v>
      </c>
      <c r="E8" s="26">
        <v>183082.73117773244</v>
      </c>
      <c r="F8" s="27"/>
      <c r="G8" s="28">
        <v>5.2276229735479802</v>
      </c>
      <c r="H8" s="29">
        <v>-2.7130053635731883</v>
      </c>
    </row>
    <row r="9" spans="1:8" x14ac:dyDescent="0.2">
      <c r="A9" s="30" t="s">
        <v>18</v>
      </c>
      <c r="B9" s="31" t="s">
        <v>3</v>
      </c>
      <c r="C9" s="20">
        <v>12133</v>
      </c>
      <c r="D9" s="20">
        <v>13010</v>
      </c>
      <c r="E9" s="21">
        <v>11626.459880484445</v>
      </c>
      <c r="F9" s="22" t="s">
        <v>240</v>
      </c>
      <c r="G9" s="32">
        <v>-4.1748958997408323</v>
      </c>
      <c r="H9" s="33">
        <v>-10.634435968605345</v>
      </c>
    </row>
    <row r="10" spans="1:8" x14ac:dyDescent="0.2">
      <c r="A10" s="34"/>
      <c r="B10" s="25" t="s">
        <v>241</v>
      </c>
      <c r="C10" s="26">
        <v>9026.2090739130435</v>
      </c>
      <c r="D10" s="26">
        <v>10143.686326086958</v>
      </c>
      <c r="E10" s="26">
        <v>8922.0656217391297</v>
      </c>
      <c r="F10" s="27"/>
      <c r="G10" s="35">
        <v>-1.1537894959125481</v>
      </c>
      <c r="H10" s="29">
        <v>-12.043163255217522</v>
      </c>
    </row>
    <row r="11" spans="1:8" x14ac:dyDescent="0.2">
      <c r="A11" s="30" t="s">
        <v>19</v>
      </c>
      <c r="B11" s="31" t="s">
        <v>3</v>
      </c>
      <c r="C11" s="20">
        <v>8652</v>
      </c>
      <c r="D11" s="20">
        <v>8966</v>
      </c>
      <c r="E11" s="21">
        <v>9134.2903804085763</v>
      </c>
      <c r="F11" s="22" t="s">
        <v>240</v>
      </c>
      <c r="G11" s="37">
        <v>5.5743224735156787</v>
      </c>
      <c r="H11" s="33">
        <v>1.8769839438832889</v>
      </c>
    </row>
    <row r="12" spans="1:8" x14ac:dyDescent="0.2">
      <c r="A12" s="34"/>
      <c r="B12" s="25" t="s">
        <v>241</v>
      </c>
      <c r="C12" s="26">
        <v>5236.6969130434782</v>
      </c>
      <c r="D12" s="26">
        <v>5429.121086956522</v>
      </c>
      <c r="E12" s="26">
        <v>5530.2187391304342</v>
      </c>
      <c r="F12" s="27"/>
      <c r="G12" s="28">
        <v>5.6050947946950487</v>
      </c>
      <c r="H12" s="29">
        <v>1.8621366249649469</v>
      </c>
    </row>
    <row r="13" spans="1:8" x14ac:dyDescent="0.2">
      <c r="A13" s="30" t="s">
        <v>20</v>
      </c>
      <c r="B13" s="31" t="s">
        <v>3</v>
      </c>
      <c r="C13" s="20">
        <v>29205</v>
      </c>
      <c r="D13" s="20">
        <v>23780</v>
      </c>
      <c r="E13" s="21">
        <v>31964.727019939379</v>
      </c>
      <c r="F13" s="22" t="s">
        <v>240</v>
      </c>
      <c r="G13" s="23">
        <v>9.4495018659112446</v>
      </c>
      <c r="H13" s="24">
        <v>34.418532464000748</v>
      </c>
    </row>
    <row r="14" spans="1:8" x14ac:dyDescent="0.2">
      <c r="A14" s="34"/>
      <c r="B14" s="25" t="s">
        <v>241</v>
      </c>
      <c r="C14" s="26">
        <v>22137.331863354037</v>
      </c>
      <c r="D14" s="26">
        <v>17411.676708074534</v>
      </c>
      <c r="E14" s="26">
        <v>23673.104161490683</v>
      </c>
      <c r="F14" s="27"/>
      <c r="G14" s="38">
        <v>6.9374769625193551</v>
      </c>
      <c r="H14" s="24">
        <v>35.961082659618057</v>
      </c>
    </row>
    <row r="15" spans="1:8" x14ac:dyDescent="0.2">
      <c r="A15" s="30" t="s">
        <v>21</v>
      </c>
      <c r="B15" s="31" t="s">
        <v>3</v>
      </c>
      <c r="C15" s="20">
        <v>2089</v>
      </c>
      <c r="D15" s="20">
        <v>2400</v>
      </c>
      <c r="E15" s="21">
        <v>2408.0936318516328</v>
      </c>
      <c r="F15" s="22" t="s">
        <v>240</v>
      </c>
      <c r="G15" s="37">
        <v>15.274946474467839</v>
      </c>
      <c r="H15" s="33">
        <v>0.33723466048469675</v>
      </c>
    </row>
    <row r="16" spans="1:8" x14ac:dyDescent="0.2">
      <c r="A16" s="34"/>
      <c r="B16" s="25" t="s">
        <v>241</v>
      </c>
      <c r="C16" s="26">
        <v>1342.0967934782609</v>
      </c>
      <c r="D16" s="26">
        <v>1678.7807065217391</v>
      </c>
      <c r="E16" s="26">
        <v>1636.0303804347827</v>
      </c>
      <c r="F16" s="27"/>
      <c r="G16" s="28">
        <v>21.901072142102748</v>
      </c>
      <c r="H16" s="29">
        <v>-2.546510447783902</v>
      </c>
    </row>
    <row r="17" spans="1:8" x14ac:dyDescent="0.2">
      <c r="A17" s="30" t="s">
        <v>22</v>
      </c>
      <c r="B17" s="31" t="s">
        <v>3</v>
      </c>
      <c r="C17" s="20">
        <v>5918</v>
      </c>
      <c r="D17" s="20">
        <v>7183</v>
      </c>
      <c r="E17" s="21">
        <v>8146.5705841426961</v>
      </c>
      <c r="F17" s="22" t="s">
        <v>240</v>
      </c>
      <c r="G17" s="37">
        <v>37.657495507649486</v>
      </c>
      <c r="H17" s="33">
        <v>13.414598136470786</v>
      </c>
    </row>
    <row r="18" spans="1:8" x14ac:dyDescent="0.2">
      <c r="A18" s="34"/>
      <c r="B18" s="25" t="s">
        <v>241</v>
      </c>
      <c r="C18" s="26">
        <v>4489.0967934782602</v>
      </c>
      <c r="D18" s="26">
        <v>5262.2807065217394</v>
      </c>
      <c r="E18" s="26">
        <v>6037.0303804347823</v>
      </c>
      <c r="F18" s="27"/>
      <c r="G18" s="28">
        <v>34.482071966132537</v>
      </c>
      <c r="H18" s="29">
        <v>14.722697573941019</v>
      </c>
    </row>
    <row r="19" spans="1:8" x14ac:dyDescent="0.2">
      <c r="A19" s="30" t="s">
        <v>189</v>
      </c>
      <c r="B19" s="31" t="s">
        <v>3</v>
      </c>
      <c r="C19" s="20">
        <v>166646</v>
      </c>
      <c r="D19" s="20">
        <v>182208</v>
      </c>
      <c r="E19" s="21">
        <v>175153.48232866725</v>
      </c>
      <c r="F19" s="22" t="s">
        <v>240</v>
      </c>
      <c r="G19" s="23">
        <v>5.1051224323819753</v>
      </c>
      <c r="H19" s="24">
        <v>-3.8716838291034179</v>
      </c>
    </row>
    <row r="20" spans="1:8" x14ac:dyDescent="0.2">
      <c r="A20" s="30"/>
      <c r="B20" s="25" t="s">
        <v>241</v>
      </c>
      <c r="C20" s="26">
        <v>122346.82965838509</v>
      </c>
      <c r="D20" s="26">
        <v>138268.19177018633</v>
      </c>
      <c r="E20" s="26">
        <v>131442.26040372672</v>
      </c>
      <c r="F20" s="27"/>
      <c r="G20" s="38">
        <v>7.4341368474669451</v>
      </c>
      <c r="H20" s="24">
        <v>-4.9367329384077721</v>
      </c>
    </row>
    <row r="21" spans="1:8" x14ac:dyDescent="0.2">
      <c r="A21" s="39" t="s">
        <v>12</v>
      </c>
      <c r="B21" s="31" t="s">
        <v>3</v>
      </c>
      <c r="C21" s="20">
        <v>1853</v>
      </c>
      <c r="D21" s="20">
        <v>2004</v>
      </c>
      <c r="E21" s="21">
        <v>2026.3770878792482</v>
      </c>
      <c r="F21" s="22" t="s">
        <v>240</v>
      </c>
      <c r="G21" s="37">
        <v>9.3565616772395117</v>
      </c>
      <c r="H21" s="33">
        <v>1.1166211516590892</v>
      </c>
    </row>
    <row r="22" spans="1:8" x14ac:dyDescent="0.2">
      <c r="A22" s="34"/>
      <c r="B22" s="25" t="s">
        <v>241</v>
      </c>
      <c r="C22" s="26">
        <v>1358.0580760869566</v>
      </c>
      <c r="D22" s="26">
        <v>1542.4684239130434</v>
      </c>
      <c r="E22" s="26">
        <v>1534.0182282608696</v>
      </c>
      <c r="F22" s="27"/>
      <c r="G22" s="28">
        <v>12.956747231378813</v>
      </c>
      <c r="H22" s="29">
        <v>-0.54783589220819806</v>
      </c>
    </row>
    <row r="23" spans="1:8" x14ac:dyDescent="0.2">
      <c r="A23" s="39" t="s">
        <v>23</v>
      </c>
      <c r="B23" s="31" t="s">
        <v>3</v>
      </c>
      <c r="C23" s="20">
        <v>5386</v>
      </c>
      <c r="D23" s="20">
        <v>5327</v>
      </c>
      <c r="E23" s="21">
        <v>4967.7854032218302</v>
      </c>
      <c r="F23" s="22" t="s">
        <v>240</v>
      </c>
      <c r="G23" s="23">
        <v>-7.7648458369507978</v>
      </c>
      <c r="H23" s="24">
        <v>-6.7432813361774038</v>
      </c>
    </row>
    <row r="24" spans="1:8" x14ac:dyDescent="0.2">
      <c r="A24" s="34"/>
      <c r="B24" s="25" t="s">
        <v>241</v>
      </c>
      <c r="C24" s="26">
        <v>3847.0967934782611</v>
      </c>
      <c r="D24" s="26">
        <v>3890.2807065217389</v>
      </c>
      <c r="E24" s="26">
        <v>3601.0303804347827</v>
      </c>
      <c r="F24" s="27"/>
      <c r="G24" s="28">
        <v>-6.396158616560399</v>
      </c>
      <c r="H24" s="29">
        <v>-7.4352044982782814</v>
      </c>
    </row>
    <row r="25" spans="1:8" x14ac:dyDescent="0.2">
      <c r="A25" s="30" t="s">
        <v>24</v>
      </c>
      <c r="B25" s="31" t="s">
        <v>3</v>
      </c>
      <c r="C25" s="20">
        <v>9242</v>
      </c>
      <c r="D25" s="20">
        <v>9544</v>
      </c>
      <c r="E25" s="21">
        <v>4869.8667616627308</v>
      </c>
      <c r="F25" s="22" t="s">
        <v>240</v>
      </c>
      <c r="G25" s="23">
        <v>-47.307219631435501</v>
      </c>
      <c r="H25" s="24">
        <v>-48.974572907976423</v>
      </c>
    </row>
    <row r="26" spans="1:8" ht="13.5" thickBot="1" x14ac:dyDescent="0.25">
      <c r="A26" s="41"/>
      <c r="B26" s="42" t="s">
        <v>241</v>
      </c>
      <c r="C26" s="43">
        <v>6482.1935869565223</v>
      </c>
      <c r="D26" s="43">
        <v>7592.0614130434778</v>
      </c>
      <c r="E26" s="43">
        <v>3708.0607608695655</v>
      </c>
      <c r="F26" s="44"/>
      <c r="G26" s="45">
        <v>-42.79620453898616</v>
      </c>
      <c r="H26" s="46">
        <v>-51.158709616087108</v>
      </c>
    </row>
    <row r="31" spans="1:8" x14ac:dyDescent="0.2">
      <c r="A31" s="47"/>
      <c r="B31" s="48"/>
      <c r="C31" s="49"/>
      <c r="D31" s="55"/>
      <c r="E31" s="49"/>
      <c r="F31" s="49"/>
      <c r="G31" s="50"/>
      <c r="H31" s="51"/>
    </row>
    <row r="32" spans="1:8" ht="16.5" thickBot="1" x14ac:dyDescent="0.3">
      <c r="A32" s="4" t="s">
        <v>43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42</v>
      </c>
      <c r="B35" s="19" t="s">
        <v>3</v>
      </c>
      <c r="C35" s="80">
        <v>1739.1286627570805</v>
      </c>
      <c r="D35" s="80">
        <v>1815.0056375781719</v>
      </c>
      <c r="E35" s="83">
        <v>1966.7703262021655</v>
      </c>
      <c r="F35" s="22" t="s">
        <v>240</v>
      </c>
      <c r="G35" s="23">
        <v>13.089408985083324</v>
      </c>
      <c r="H35" s="24">
        <v>8.361664861079916</v>
      </c>
    </row>
    <row r="36" spans="1:8" ht="12.75" customHeight="1" x14ac:dyDescent="0.2">
      <c r="A36" s="206"/>
      <c r="B36" s="25" t="s">
        <v>241</v>
      </c>
      <c r="C36" s="82">
        <v>1266.3205770011446</v>
      </c>
      <c r="D36" s="82">
        <v>1371.9298036691916</v>
      </c>
      <c r="E36" s="82">
        <v>1467.9991465898154</v>
      </c>
      <c r="F36" s="27"/>
      <c r="G36" s="28">
        <v>15.926343869913168</v>
      </c>
      <c r="H36" s="29">
        <v>7.0024969691371126</v>
      </c>
    </row>
    <row r="37" spans="1:8" x14ac:dyDescent="0.2">
      <c r="A37" s="30" t="s">
        <v>18</v>
      </c>
      <c r="B37" s="31" t="s">
        <v>3</v>
      </c>
      <c r="C37" s="80">
        <v>445.74235518505702</v>
      </c>
      <c r="D37" s="80">
        <v>481.52034743058607</v>
      </c>
      <c r="E37" s="83">
        <v>562.35784244018259</v>
      </c>
      <c r="F37" s="22" t="s">
        <v>240</v>
      </c>
      <c r="G37" s="32">
        <v>26.162083521704105</v>
      </c>
      <c r="H37" s="33">
        <v>16.787970734974948</v>
      </c>
    </row>
    <row r="38" spans="1:8" x14ac:dyDescent="0.2">
      <c r="A38" s="34"/>
      <c r="B38" s="25" t="s">
        <v>241</v>
      </c>
      <c r="C38" s="82">
        <v>321.89595748479013</v>
      </c>
      <c r="D38" s="82">
        <v>356.94216487917089</v>
      </c>
      <c r="E38" s="82">
        <v>413.21781750668697</v>
      </c>
      <c r="F38" s="27"/>
      <c r="G38" s="35">
        <v>28.369992818630521</v>
      </c>
      <c r="H38" s="29">
        <v>15.766042279304855</v>
      </c>
    </row>
    <row r="39" spans="1:8" x14ac:dyDescent="0.2">
      <c r="A39" s="30" t="s">
        <v>19</v>
      </c>
      <c r="B39" s="31" t="s">
        <v>3</v>
      </c>
      <c r="C39" s="80">
        <v>132.70640476573286</v>
      </c>
      <c r="D39" s="80">
        <v>119.49627791210959</v>
      </c>
      <c r="E39" s="83">
        <v>144.64574612132469</v>
      </c>
      <c r="F39" s="22" t="s">
        <v>240</v>
      </c>
      <c r="G39" s="37">
        <v>8.9968086895793675</v>
      </c>
      <c r="H39" s="33">
        <v>21.046235622261577</v>
      </c>
    </row>
    <row r="40" spans="1:8" x14ac:dyDescent="0.2">
      <c r="A40" s="34"/>
      <c r="B40" s="25" t="s">
        <v>241</v>
      </c>
      <c r="C40" s="82">
        <v>96.470303061165282</v>
      </c>
      <c r="D40" s="82">
        <v>90.687100719226251</v>
      </c>
      <c r="E40" s="82">
        <v>108.18753494433193</v>
      </c>
      <c r="F40" s="27"/>
      <c r="G40" s="28">
        <v>12.145947002713925</v>
      </c>
      <c r="H40" s="29">
        <v>19.297600305128597</v>
      </c>
    </row>
    <row r="41" spans="1:8" x14ac:dyDescent="0.2">
      <c r="A41" s="30" t="s">
        <v>20</v>
      </c>
      <c r="B41" s="31" t="s">
        <v>3</v>
      </c>
      <c r="C41" s="80">
        <v>283.56403810824088</v>
      </c>
      <c r="D41" s="80">
        <v>238.26323056774183</v>
      </c>
      <c r="E41" s="83">
        <v>341.01983647686296</v>
      </c>
      <c r="F41" s="22" t="s">
        <v>240</v>
      </c>
      <c r="G41" s="23">
        <v>20.262018679071829</v>
      </c>
      <c r="H41" s="24">
        <v>43.127345190556326</v>
      </c>
    </row>
    <row r="42" spans="1:8" x14ac:dyDescent="0.2">
      <c r="A42" s="34"/>
      <c r="B42" s="25" t="s">
        <v>241</v>
      </c>
      <c r="C42" s="82">
        <v>218.97843117141898</v>
      </c>
      <c r="D42" s="82">
        <v>179.35264393609719</v>
      </c>
      <c r="E42" s="82">
        <v>258.88016701627242</v>
      </c>
      <c r="F42" s="27"/>
      <c r="G42" s="38">
        <v>18.221765327023419</v>
      </c>
      <c r="H42" s="24">
        <v>44.341427778734413</v>
      </c>
    </row>
    <row r="43" spans="1:8" x14ac:dyDescent="0.2">
      <c r="A43" s="30" t="s">
        <v>21</v>
      </c>
      <c r="B43" s="31" t="s">
        <v>3</v>
      </c>
      <c r="C43" s="80">
        <v>12.890875694108432</v>
      </c>
      <c r="D43" s="80">
        <v>16.42417481485889</v>
      </c>
      <c r="E43" s="83">
        <v>17.247580869419604</v>
      </c>
      <c r="F43" s="22" t="s">
        <v>240</v>
      </c>
      <c r="G43" s="37">
        <v>33.796813177729547</v>
      </c>
      <c r="H43" s="33">
        <v>5.0133785340361783</v>
      </c>
    </row>
    <row r="44" spans="1:8" x14ac:dyDescent="0.2">
      <c r="A44" s="34"/>
      <c r="B44" s="25" t="s">
        <v>241</v>
      </c>
      <c r="C44" s="82">
        <v>9.0220479915949117</v>
      </c>
      <c r="D44" s="82">
        <v>11.951244572380936</v>
      </c>
      <c r="E44" s="82">
        <v>12.386502660279817</v>
      </c>
      <c r="F44" s="27"/>
      <c r="G44" s="28">
        <v>37.291473862911033</v>
      </c>
      <c r="H44" s="29">
        <v>3.6419477926571204</v>
      </c>
    </row>
    <row r="45" spans="1:8" x14ac:dyDescent="0.2">
      <c r="A45" s="30" t="s">
        <v>22</v>
      </c>
      <c r="B45" s="31" t="s">
        <v>3</v>
      </c>
      <c r="C45" s="80">
        <v>27.984178563933121</v>
      </c>
      <c r="D45" s="80">
        <v>34.158597537095147</v>
      </c>
      <c r="E45" s="83">
        <v>42.223424076683884</v>
      </c>
      <c r="F45" s="22" t="s">
        <v>240</v>
      </c>
      <c r="G45" s="37">
        <v>50.883199877457713</v>
      </c>
      <c r="H45" s="33">
        <v>23.609946312434488</v>
      </c>
    </row>
    <row r="46" spans="1:8" x14ac:dyDescent="0.2">
      <c r="A46" s="34"/>
      <c r="B46" s="25" t="s">
        <v>241</v>
      </c>
      <c r="C46" s="82">
        <v>20.791133518638311</v>
      </c>
      <c r="D46" s="82">
        <v>24.492554229661145</v>
      </c>
      <c r="E46" s="82">
        <v>30.631669428711874</v>
      </c>
      <c r="F46" s="27"/>
      <c r="G46" s="28">
        <v>47.330444495736458</v>
      </c>
      <c r="H46" s="29">
        <v>25.065230606353396</v>
      </c>
    </row>
    <row r="47" spans="1:8" x14ac:dyDescent="0.2">
      <c r="A47" s="30" t="s">
        <v>189</v>
      </c>
      <c r="B47" s="31" t="s">
        <v>3</v>
      </c>
      <c r="C47" s="80">
        <v>597.04541345724635</v>
      </c>
      <c r="D47" s="80">
        <v>666.41657354977133</v>
      </c>
      <c r="E47" s="83">
        <v>630.88667922064406</v>
      </c>
      <c r="F47" s="22" t="s">
        <v>240</v>
      </c>
      <c r="G47" s="23">
        <v>5.6681225582886157</v>
      </c>
      <c r="H47" s="24">
        <v>-5.3314842006212046</v>
      </c>
    </row>
    <row r="48" spans="1:8" x14ac:dyDescent="0.2">
      <c r="A48" s="30"/>
      <c r="B48" s="25" t="s">
        <v>241</v>
      </c>
      <c r="C48" s="82">
        <v>436.20798290642603</v>
      </c>
      <c r="D48" s="82">
        <v>516.30248448150519</v>
      </c>
      <c r="E48" s="82">
        <v>479.1284848347367</v>
      </c>
      <c r="F48" s="27"/>
      <c r="G48" s="38">
        <v>9.8394581507504881</v>
      </c>
      <c r="H48" s="24">
        <v>-7.2000427586747691</v>
      </c>
    </row>
    <row r="49" spans="1:8" x14ac:dyDescent="0.2">
      <c r="A49" s="39" t="s">
        <v>12</v>
      </c>
      <c r="B49" s="31" t="s">
        <v>3</v>
      </c>
      <c r="C49" s="80">
        <v>19.590359293111437</v>
      </c>
      <c r="D49" s="80">
        <v>26.189544232373748</v>
      </c>
      <c r="E49" s="83">
        <v>19.402343391773528</v>
      </c>
      <c r="F49" s="22" t="s">
        <v>240</v>
      </c>
      <c r="G49" s="37">
        <v>-0.95973687120695672</v>
      </c>
      <c r="H49" s="33">
        <v>-25.915689026043992</v>
      </c>
    </row>
    <row r="50" spans="1:8" x14ac:dyDescent="0.2">
      <c r="A50" s="34"/>
      <c r="B50" s="25" t="s">
        <v>241</v>
      </c>
      <c r="C50" s="82">
        <v>16.176611632899643</v>
      </c>
      <c r="D50" s="82">
        <v>23.509733657479529</v>
      </c>
      <c r="E50" s="82">
        <v>16.92554691434783</v>
      </c>
      <c r="F50" s="27"/>
      <c r="G50" s="28">
        <v>4.6297413725691285</v>
      </c>
      <c r="H50" s="29">
        <v>-28.006215804307786</v>
      </c>
    </row>
    <row r="51" spans="1:8" x14ac:dyDescent="0.2">
      <c r="A51" s="39" t="s">
        <v>23</v>
      </c>
      <c r="B51" s="31" t="s">
        <v>3</v>
      </c>
      <c r="C51" s="80">
        <v>118.70036905708614</v>
      </c>
      <c r="D51" s="80">
        <v>120.71935405247179</v>
      </c>
      <c r="E51" s="83">
        <v>126.22455065137665</v>
      </c>
      <c r="F51" s="22" t="s">
        <v>240</v>
      </c>
      <c r="G51" s="23">
        <v>6.3388021908103127</v>
      </c>
      <c r="H51" s="24">
        <v>4.5603264216539543</v>
      </c>
    </row>
    <row r="52" spans="1:8" x14ac:dyDescent="0.2">
      <c r="A52" s="34"/>
      <c r="B52" s="25" t="s">
        <v>241</v>
      </c>
      <c r="C52" s="82">
        <v>75.058743778985715</v>
      </c>
      <c r="D52" s="82">
        <v>84.586152607681584</v>
      </c>
      <c r="E52" s="82">
        <v>85.367889389719863</v>
      </c>
      <c r="F52" s="27"/>
      <c r="G52" s="38">
        <v>13.734769717289637</v>
      </c>
      <c r="H52" s="24">
        <v>0.92419002157959085</v>
      </c>
    </row>
    <row r="53" spans="1:8" x14ac:dyDescent="0.2">
      <c r="A53" s="30" t="s">
        <v>24</v>
      </c>
      <c r="B53" s="31" t="s">
        <v>3</v>
      </c>
      <c r="C53" s="80">
        <v>100.90466863256418</v>
      </c>
      <c r="D53" s="80">
        <v>111.81753748116357</v>
      </c>
      <c r="E53" s="83">
        <v>85.754899299276516</v>
      </c>
      <c r="F53" s="22" t="s">
        <v>240</v>
      </c>
      <c r="G53" s="37">
        <v>-15.013942901348074</v>
      </c>
      <c r="H53" s="33">
        <v>-23.308184716800341</v>
      </c>
    </row>
    <row r="54" spans="1:8" ht="13.5" thickBot="1" x14ac:dyDescent="0.25">
      <c r="A54" s="41"/>
      <c r="B54" s="42" t="s">
        <v>241</v>
      </c>
      <c r="C54" s="86">
        <v>71.719365455225599</v>
      </c>
      <c r="D54" s="86">
        <v>84.105724585988668</v>
      </c>
      <c r="E54" s="86">
        <v>63.273533894727933</v>
      </c>
      <c r="F54" s="44"/>
      <c r="G54" s="45">
        <v>-11.776221815250722</v>
      </c>
      <c r="H54" s="46">
        <v>-24.769052039926436</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14</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149</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44</v>
      </c>
      <c r="B7" s="19" t="s">
        <v>3</v>
      </c>
      <c r="C7" s="20">
        <v>140079.52566316118</v>
      </c>
      <c r="D7" s="20">
        <v>143670.22691942658</v>
      </c>
      <c r="E7" s="21">
        <v>124211.24249486832</v>
      </c>
      <c r="F7" s="22" t="s">
        <v>240</v>
      </c>
      <c r="G7" s="23">
        <v>-11.328053184910232</v>
      </c>
      <c r="H7" s="24">
        <v>-13.544201078955126</v>
      </c>
    </row>
    <row r="8" spans="1:8" x14ac:dyDescent="0.2">
      <c r="A8" s="206"/>
      <c r="B8" s="25" t="s">
        <v>241</v>
      </c>
      <c r="C8" s="26">
        <v>102401.97556636843</v>
      </c>
      <c r="D8" s="26">
        <v>112820.34615183383</v>
      </c>
      <c r="E8" s="26">
        <v>95185.337368257198</v>
      </c>
      <c r="F8" s="27"/>
      <c r="G8" s="28">
        <v>-7.0473622781173901</v>
      </c>
      <c r="H8" s="29">
        <v>-15.63105360432364</v>
      </c>
    </row>
    <row r="9" spans="1:8" x14ac:dyDescent="0.2">
      <c r="A9" s="30" t="s">
        <v>18</v>
      </c>
      <c r="B9" s="31" t="s">
        <v>3</v>
      </c>
      <c r="C9" s="20">
        <v>12765.16556521739</v>
      </c>
      <c r="D9" s="20">
        <v>13581.382797564696</v>
      </c>
      <c r="E9" s="21">
        <v>11701.074641454987</v>
      </c>
      <c r="F9" s="22" t="s">
        <v>240</v>
      </c>
      <c r="G9" s="32">
        <v>-8.3358959844739218</v>
      </c>
      <c r="H9" s="33">
        <v>-13.844747505731675</v>
      </c>
    </row>
    <row r="10" spans="1:8" x14ac:dyDescent="0.2">
      <c r="A10" s="34"/>
      <c r="B10" s="25" t="s">
        <v>241</v>
      </c>
      <c r="C10" s="26">
        <v>9570.192139130435</v>
      </c>
      <c r="D10" s="26">
        <v>10883.007930434782</v>
      </c>
      <c r="E10" s="26">
        <v>9165.9691701263473</v>
      </c>
      <c r="F10" s="27"/>
      <c r="G10" s="35">
        <v>-4.2237706738541618</v>
      </c>
      <c r="H10" s="29">
        <v>-15.77724440966972</v>
      </c>
    </row>
    <row r="11" spans="1:8" x14ac:dyDescent="0.2">
      <c r="A11" s="30" t="s">
        <v>19</v>
      </c>
      <c r="B11" s="31" t="s">
        <v>3</v>
      </c>
      <c r="C11" s="20">
        <v>55376.885217391304</v>
      </c>
      <c r="D11" s="20">
        <v>61405.60932521565</v>
      </c>
      <c r="E11" s="21">
        <v>50742.398302081805</v>
      </c>
      <c r="F11" s="22" t="s">
        <v>240</v>
      </c>
      <c r="G11" s="37">
        <v>-8.3689916778743338</v>
      </c>
      <c r="H11" s="33">
        <v>-17.365206762560518</v>
      </c>
    </row>
    <row r="12" spans="1:8" x14ac:dyDescent="0.2">
      <c r="A12" s="34"/>
      <c r="B12" s="25" t="s">
        <v>241</v>
      </c>
      <c r="C12" s="26">
        <v>41123.307130434783</v>
      </c>
      <c r="D12" s="26">
        <v>48981.026434782609</v>
      </c>
      <c r="E12" s="26">
        <v>39499.230567087827</v>
      </c>
      <c r="F12" s="27"/>
      <c r="G12" s="28">
        <v>-3.9492849108553401</v>
      </c>
      <c r="H12" s="29">
        <v>-19.358099570084818</v>
      </c>
    </row>
    <row r="13" spans="1:8" x14ac:dyDescent="0.2">
      <c r="A13" s="30" t="s">
        <v>20</v>
      </c>
      <c r="B13" s="31" t="s">
        <v>3</v>
      </c>
      <c r="C13" s="20">
        <v>3448.0881987577641</v>
      </c>
      <c r="D13" s="20">
        <v>2890.7187262931675</v>
      </c>
      <c r="E13" s="21">
        <v>3363.7561047477034</v>
      </c>
      <c r="F13" s="22" t="s">
        <v>240</v>
      </c>
      <c r="G13" s="23">
        <v>-2.4457638305320302</v>
      </c>
      <c r="H13" s="24">
        <v>16.364005745419647</v>
      </c>
    </row>
    <row r="14" spans="1:8" x14ac:dyDescent="0.2">
      <c r="A14" s="34"/>
      <c r="B14" s="25" t="s">
        <v>241</v>
      </c>
      <c r="C14" s="26">
        <v>2741.3843478260869</v>
      </c>
      <c r="D14" s="26">
        <v>2180.9649689440994</v>
      </c>
      <c r="E14" s="26">
        <v>2581.7764605180123</v>
      </c>
      <c r="F14" s="27"/>
      <c r="G14" s="38">
        <v>-5.8221638069336592</v>
      </c>
      <c r="H14" s="24">
        <v>18.377713410406756</v>
      </c>
    </row>
    <row r="15" spans="1:8" x14ac:dyDescent="0.2">
      <c r="A15" s="30" t="s">
        <v>21</v>
      </c>
      <c r="B15" s="31" t="s">
        <v>3</v>
      </c>
      <c r="C15" s="20">
        <v>4300.3173913043483</v>
      </c>
      <c r="D15" s="20">
        <v>4815.5846285021744</v>
      </c>
      <c r="E15" s="21">
        <v>4605.5511901812897</v>
      </c>
      <c r="F15" s="22" t="s">
        <v>240</v>
      </c>
      <c r="G15" s="37">
        <v>7.0979365265957597</v>
      </c>
      <c r="H15" s="33">
        <v>-4.3615356083195422</v>
      </c>
    </row>
    <row r="16" spans="1:8" x14ac:dyDescent="0.2">
      <c r="A16" s="34"/>
      <c r="B16" s="25" t="s">
        <v>241</v>
      </c>
      <c r="C16" s="26">
        <v>3476.0704347826086</v>
      </c>
      <c r="D16" s="26">
        <v>4028.1147826086958</v>
      </c>
      <c r="E16" s="26">
        <v>3808.2264676510868</v>
      </c>
      <c r="F16" s="27"/>
      <c r="G16" s="28">
        <v>9.5555035233125523</v>
      </c>
      <c r="H16" s="29">
        <v>-5.4588393535102853</v>
      </c>
    </row>
    <row r="17" spans="1:8" x14ac:dyDescent="0.2">
      <c r="A17" s="30" t="s">
        <v>22</v>
      </c>
      <c r="B17" s="31" t="s">
        <v>3</v>
      </c>
      <c r="C17" s="20">
        <v>420.31739130434784</v>
      </c>
      <c r="D17" s="20">
        <v>401.58462850217393</v>
      </c>
      <c r="E17" s="21">
        <v>429.82783092059105</v>
      </c>
      <c r="F17" s="22" t="s">
        <v>240</v>
      </c>
      <c r="G17" s="37">
        <v>2.2626804916946242</v>
      </c>
      <c r="H17" s="33">
        <v>7.0329391151644245</v>
      </c>
    </row>
    <row r="18" spans="1:8" x14ac:dyDescent="0.2">
      <c r="A18" s="34"/>
      <c r="B18" s="25" t="s">
        <v>241</v>
      </c>
      <c r="C18" s="26">
        <v>311.07043478260869</v>
      </c>
      <c r="D18" s="26">
        <v>311.61478260869563</v>
      </c>
      <c r="E18" s="26">
        <v>328.22646765108698</v>
      </c>
      <c r="F18" s="27"/>
      <c r="G18" s="28">
        <v>5.5151602178033414</v>
      </c>
      <c r="H18" s="29">
        <v>5.3308398604603866</v>
      </c>
    </row>
    <row r="19" spans="1:8" x14ac:dyDescent="0.2">
      <c r="A19" s="30" t="s">
        <v>189</v>
      </c>
      <c r="B19" s="31" t="s">
        <v>3</v>
      </c>
      <c r="C19" s="20">
        <v>40188.720496894413</v>
      </c>
      <c r="D19" s="20">
        <v>40060.296815732916</v>
      </c>
      <c r="E19" s="21">
        <v>36562.804454537472</v>
      </c>
      <c r="F19" s="22" t="s">
        <v>240</v>
      </c>
      <c r="G19" s="23">
        <v>-9.0222231450168664</v>
      </c>
      <c r="H19" s="24">
        <v>-8.7305702633283317</v>
      </c>
    </row>
    <row r="20" spans="1:8" x14ac:dyDescent="0.2">
      <c r="A20" s="30"/>
      <c r="B20" s="25" t="s">
        <v>241</v>
      </c>
      <c r="C20" s="26">
        <v>29393.460869565217</v>
      </c>
      <c r="D20" s="26">
        <v>30894.912422360248</v>
      </c>
      <c r="E20" s="26">
        <v>27694.941151295032</v>
      </c>
      <c r="F20" s="27"/>
      <c r="G20" s="38">
        <v>-5.7785632178784283</v>
      </c>
      <c r="H20" s="24">
        <v>-10.35759942387547</v>
      </c>
    </row>
    <row r="21" spans="1:8" x14ac:dyDescent="0.2">
      <c r="A21" s="39" t="s">
        <v>12</v>
      </c>
      <c r="B21" s="31" t="s">
        <v>3</v>
      </c>
      <c r="C21" s="20">
        <v>453.9904347826087</v>
      </c>
      <c r="D21" s="20">
        <v>458.55077710130433</v>
      </c>
      <c r="E21" s="21">
        <v>439.36462645425354</v>
      </c>
      <c r="F21" s="22" t="s">
        <v>240</v>
      </c>
      <c r="G21" s="37">
        <v>-3.2216115600229926</v>
      </c>
      <c r="H21" s="33">
        <v>-4.1840842072789997</v>
      </c>
    </row>
    <row r="22" spans="1:8" x14ac:dyDescent="0.2">
      <c r="A22" s="34"/>
      <c r="B22" s="25" t="s">
        <v>241</v>
      </c>
      <c r="C22" s="26">
        <v>375.44226086956519</v>
      </c>
      <c r="D22" s="26">
        <v>364.66886956521739</v>
      </c>
      <c r="E22" s="26">
        <v>353.93588059065218</v>
      </c>
      <c r="F22" s="27"/>
      <c r="G22" s="28">
        <v>-5.7282790246100319</v>
      </c>
      <c r="H22" s="29">
        <v>-2.9432150288456995</v>
      </c>
    </row>
    <row r="23" spans="1:8" x14ac:dyDescent="0.2">
      <c r="A23" s="39" t="s">
        <v>23</v>
      </c>
      <c r="B23" s="31" t="s">
        <v>3</v>
      </c>
      <c r="C23" s="20">
        <v>6361.3173913043474</v>
      </c>
      <c r="D23" s="20">
        <v>6214.5846285021744</v>
      </c>
      <c r="E23" s="21">
        <v>5519.7621742074152</v>
      </c>
      <c r="F23" s="22" t="s">
        <v>240</v>
      </c>
      <c r="G23" s="23">
        <v>-13.229259999623707</v>
      </c>
      <c r="H23" s="24">
        <v>-11.180513193240131</v>
      </c>
    </row>
    <row r="24" spans="1:8" x14ac:dyDescent="0.2">
      <c r="A24" s="34"/>
      <c r="B24" s="25" t="s">
        <v>241</v>
      </c>
      <c r="C24" s="26">
        <v>4762.0704347826086</v>
      </c>
      <c r="D24" s="26">
        <v>4751.1147826086963</v>
      </c>
      <c r="E24" s="26">
        <v>4190.2264676510868</v>
      </c>
      <c r="F24" s="27"/>
      <c r="G24" s="28">
        <v>-12.008305525149737</v>
      </c>
      <c r="H24" s="29">
        <v>-11.805404428676894</v>
      </c>
    </row>
    <row r="25" spans="1:8" x14ac:dyDescent="0.2">
      <c r="A25" s="30" t="s">
        <v>24</v>
      </c>
      <c r="B25" s="31" t="s">
        <v>3</v>
      </c>
      <c r="C25" s="20">
        <v>24989.634782608697</v>
      </c>
      <c r="D25" s="20">
        <v>23165.169257004349</v>
      </c>
      <c r="E25" s="21">
        <v>21602.978231017285</v>
      </c>
      <c r="F25" s="22" t="s">
        <v>240</v>
      </c>
      <c r="G25" s="23">
        <v>-13.5522450850235</v>
      </c>
      <c r="H25" s="24">
        <v>-6.7437065046037219</v>
      </c>
    </row>
    <row r="26" spans="1:8" ht="13.5" thickBot="1" x14ac:dyDescent="0.25">
      <c r="A26" s="41"/>
      <c r="B26" s="42" t="s">
        <v>241</v>
      </c>
      <c r="C26" s="43">
        <v>17412.140869565217</v>
      </c>
      <c r="D26" s="43">
        <v>17280.229565217393</v>
      </c>
      <c r="E26" s="43">
        <v>15744.452935302174</v>
      </c>
      <c r="F26" s="44"/>
      <c r="G26" s="45">
        <v>-9.5777305430488724</v>
      </c>
      <c r="H26" s="46">
        <v>-8.887478167573164</v>
      </c>
    </row>
    <row r="31" spans="1:8" x14ac:dyDescent="0.2">
      <c r="A31" s="47"/>
      <c r="B31" s="48"/>
      <c r="C31" s="49"/>
      <c r="D31" s="55"/>
      <c r="E31" s="49"/>
      <c r="F31" s="49"/>
      <c r="G31" s="50"/>
      <c r="H31" s="51"/>
    </row>
    <row r="32" spans="1:8" ht="16.5" thickBot="1" x14ac:dyDescent="0.3">
      <c r="A32" s="4" t="s">
        <v>99</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44</v>
      </c>
      <c r="B35" s="19" t="s">
        <v>3</v>
      </c>
      <c r="C35" s="80">
        <v>5870.1940090888684</v>
      </c>
      <c r="D35" s="80">
        <v>6314.5080110263816</v>
      </c>
      <c r="E35" s="83">
        <v>6394.384809216237</v>
      </c>
      <c r="F35" s="22" t="s">
        <v>240</v>
      </c>
      <c r="G35" s="23">
        <v>8.9297014598795244</v>
      </c>
      <c r="H35" s="24">
        <v>1.2649726320779848</v>
      </c>
    </row>
    <row r="36" spans="1:8" ht="12.75" customHeight="1" x14ac:dyDescent="0.2">
      <c r="A36" s="206"/>
      <c r="B36" s="25" t="s">
        <v>241</v>
      </c>
      <c r="C36" s="82">
        <v>4262.5214355646431</v>
      </c>
      <c r="D36" s="82">
        <v>4719.125041308358</v>
      </c>
      <c r="E36" s="82">
        <v>4732.7253267237647</v>
      </c>
      <c r="F36" s="27"/>
      <c r="G36" s="28">
        <v>11.031120858089835</v>
      </c>
      <c r="H36" s="29">
        <v>0.28819506362636105</v>
      </c>
    </row>
    <row r="37" spans="1:8" x14ac:dyDescent="0.2">
      <c r="A37" s="30" t="s">
        <v>18</v>
      </c>
      <c r="B37" s="31" t="s">
        <v>3</v>
      </c>
      <c r="C37" s="80">
        <v>1779.766242912764</v>
      </c>
      <c r="D37" s="80">
        <v>2013.4504213424716</v>
      </c>
      <c r="E37" s="83">
        <v>2160.1966157962493</v>
      </c>
      <c r="F37" s="22" t="s">
        <v>240</v>
      </c>
      <c r="G37" s="32">
        <v>21.375299952923783</v>
      </c>
      <c r="H37" s="33">
        <v>7.2882944073653562</v>
      </c>
    </row>
    <row r="38" spans="1:8" x14ac:dyDescent="0.2">
      <c r="A38" s="34"/>
      <c r="B38" s="25" t="s">
        <v>241</v>
      </c>
      <c r="C38" s="82">
        <v>1322.5503881260929</v>
      </c>
      <c r="D38" s="82">
        <v>1499.6656216077315</v>
      </c>
      <c r="E38" s="82">
        <v>1607.7250347355284</v>
      </c>
      <c r="F38" s="27"/>
      <c r="G38" s="35">
        <v>21.562478766007274</v>
      </c>
      <c r="H38" s="29">
        <v>7.2055671324885679</v>
      </c>
    </row>
    <row r="39" spans="1:8" x14ac:dyDescent="0.2">
      <c r="A39" s="30" t="s">
        <v>19</v>
      </c>
      <c r="B39" s="31" t="s">
        <v>3</v>
      </c>
      <c r="C39" s="80">
        <v>2595.9403010461156</v>
      </c>
      <c r="D39" s="80">
        <v>2877.8540346858599</v>
      </c>
      <c r="E39" s="83">
        <v>2747.9365126736657</v>
      </c>
      <c r="F39" s="22" t="s">
        <v>240</v>
      </c>
      <c r="G39" s="37">
        <v>5.8551505042815535</v>
      </c>
      <c r="H39" s="33">
        <v>-4.5143888621986861</v>
      </c>
    </row>
    <row r="40" spans="1:8" x14ac:dyDescent="0.2">
      <c r="A40" s="34"/>
      <c r="B40" s="25" t="s">
        <v>241</v>
      </c>
      <c r="C40" s="82">
        <v>1867.5434075320427</v>
      </c>
      <c r="D40" s="82">
        <v>2168.8431890833913</v>
      </c>
      <c r="E40" s="82">
        <v>2038.6071138560765</v>
      </c>
      <c r="F40" s="27"/>
      <c r="G40" s="28">
        <v>9.1598249140615309</v>
      </c>
      <c r="H40" s="29">
        <v>-6.0048636011511718</v>
      </c>
    </row>
    <row r="41" spans="1:8" x14ac:dyDescent="0.2">
      <c r="A41" s="30" t="s">
        <v>20</v>
      </c>
      <c r="B41" s="31" t="s">
        <v>3</v>
      </c>
      <c r="C41" s="80">
        <v>56.436037544278321</v>
      </c>
      <c r="D41" s="80">
        <v>52.663228653419637</v>
      </c>
      <c r="E41" s="83">
        <v>66.275861278522655</v>
      </c>
      <c r="F41" s="22" t="s">
        <v>240</v>
      </c>
      <c r="G41" s="23">
        <v>17.435355426086119</v>
      </c>
      <c r="H41" s="24">
        <v>25.848458161744503</v>
      </c>
    </row>
    <row r="42" spans="1:8" x14ac:dyDescent="0.2">
      <c r="A42" s="34"/>
      <c r="B42" s="25" t="s">
        <v>241</v>
      </c>
      <c r="C42" s="82">
        <v>45.0699383120051</v>
      </c>
      <c r="D42" s="82">
        <v>40.48766021223468</v>
      </c>
      <c r="E42" s="82">
        <v>51.594829083304823</v>
      </c>
      <c r="F42" s="27"/>
      <c r="G42" s="38">
        <v>14.477256938161176</v>
      </c>
      <c r="H42" s="24">
        <v>27.433466920159916</v>
      </c>
    </row>
    <row r="43" spans="1:8" x14ac:dyDescent="0.2">
      <c r="A43" s="30" t="s">
        <v>21</v>
      </c>
      <c r="B43" s="31" t="s">
        <v>3</v>
      </c>
      <c r="C43" s="80">
        <v>43.163339153619731</v>
      </c>
      <c r="D43" s="80">
        <v>49.684795302046467</v>
      </c>
      <c r="E43" s="83">
        <v>57.061664192187621</v>
      </c>
      <c r="F43" s="22" t="s">
        <v>240</v>
      </c>
      <c r="G43" s="37">
        <v>32.199374077856447</v>
      </c>
      <c r="H43" s="33">
        <v>14.847336786425913</v>
      </c>
    </row>
    <row r="44" spans="1:8" x14ac:dyDescent="0.2">
      <c r="A44" s="34"/>
      <c r="B44" s="25" t="s">
        <v>241</v>
      </c>
      <c r="C44" s="82">
        <v>33.791719463687031</v>
      </c>
      <c r="D44" s="82">
        <v>37.149237156852273</v>
      </c>
      <c r="E44" s="82">
        <v>43.313733920491551</v>
      </c>
      <c r="F44" s="27"/>
      <c r="G44" s="28">
        <v>28.178543761399851</v>
      </c>
      <c r="H44" s="29">
        <v>16.593871733116401</v>
      </c>
    </row>
    <row r="45" spans="1:8" x14ac:dyDescent="0.2">
      <c r="A45" s="30" t="s">
        <v>22</v>
      </c>
      <c r="B45" s="31" t="s">
        <v>3</v>
      </c>
      <c r="C45" s="80">
        <v>3.1623911489308414</v>
      </c>
      <c r="D45" s="80">
        <v>3.0031009673376192</v>
      </c>
      <c r="E45" s="83">
        <v>3.1724509150809848</v>
      </c>
      <c r="F45" s="22" t="s">
        <v>240</v>
      </c>
      <c r="G45" s="37">
        <v>0.31810632133677075</v>
      </c>
      <c r="H45" s="33">
        <v>5.6391692981772081</v>
      </c>
    </row>
    <row r="46" spans="1:8" x14ac:dyDescent="0.2">
      <c r="A46" s="34"/>
      <c r="B46" s="25" t="s">
        <v>241</v>
      </c>
      <c r="C46" s="82">
        <v>2.3917890936702069</v>
      </c>
      <c r="D46" s="82">
        <v>2.6371488549865063</v>
      </c>
      <c r="E46" s="82">
        <v>2.6439127950002996</v>
      </c>
      <c r="F46" s="27"/>
      <c r="G46" s="28">
        <v>10.541217952591637</v>
      </c>
      <c r="H46" s="29">
        <v>0.25648684946257561</v>
      </c>
    </row>
    <row r="47" spans="1:8" x14ac:dyDescent="0.2">
      <c r="A47" s="30" t="s">
        <v>189</v>
      </c>
      <c r="B47" s="31" t="s">
        <v>3</v>
      </c>
      <c r="C47" s="80">
        <v>565.94371490292428</v>
      </c>
      <c r="D47" s="80">
        <v>515.02188171698685</v>
      </c>
      <c r="E47" s="83">
        <v>521.59045825236012</v>
      </c>
      <c r="F47" s="22" t="s">
        <v>240</v>
      </c>
      <c r="G47" s="23">
        <v>-7.83704377001024</v>
      </c>
      <c r="H47" s="24">
        <v>1.2753975643665711</v>
      </c>
    </row>
    <row r="48" spans="1:8" x14ac:dyDescent="0.2">
      <c r="A48" s="30"/>
      <c r="B48" s="25" t="s">
        <v>241</v>
      </c>
      <c r="C48" s="82">
        <v>413.99380850329931</v>
      </c>
      <c r="D48" s="82">
        <v>390.37550325049403</v>
      </c>
      <c r="E48" s="82">
        <v>390.64285898953881</v>
      </c>
      <c r="F48" s="27"/>
      <c r="G48" s="38">
        <v>-5.6404103235699381</v>
      </c>
      <c r="H48" s="24">
        <v>6.8486812522451146E-2</v>
      </c>
    </row>
    <row r="49" spans="1:8" x14ac:dyDescent="0.2">
      <c r="A49" s="39" t="s">
        <v>12</v>
      </c>
      <c r="B49" s="31" t="s">
        <v>3</v>
      </c>
      <c r="C49" s="80">
        <v>4.9406530641308999</v>
      </c>
      <c r="D49" s="80">
        <v>4.3824626567413736</v>
      </c>
      <c r="E49" s="83">
        <v>7.8929353985487634</v>
      </c>
      <c r="F49" s="22" t="s">
        <v>240</v>
      </c>
      <c r="G49" s="37">
        <v>59.754900740782801</v>
      </c>
      <c r="H49" s="33">
        <v>80.102741694954659</v>
      </c>
    </row>
    <row r="50" spans="1:8" x14ac:dyDescent="0.2">
      <c r="A50" s="34"/>
      <c r="B50" s="25" t="s">
        <v>241</v>
      </c>
      <c r="C50" s="82">
        <v>4.0876319988748282</v>
      </c>
      <c r="D50" s="82">
        <v>3.0386452518867744</v>
      </c>
      <c r="E50" s="82">
        <v>5.7849583140990006</v>
      </c>
      <c r="F50" s="27"/>
      <c r="G50" s="28">
        <v>41.523461889215639</v>
      </c>
      <c r="H50" s="29">
        <v>90.379522272531432</v>
      </c>
    </row>
    <row r="51" spans="1:8" x14ac:dyDescent="0.2">
      <c r="A51" s="39" t="s">
        <v>23</v>
      </c>
      <c r="B51" s="31" t="s">
        <v>3</v>
      </c>
      <c r="C51" s="80">
        <v>175.22798370011844</v>
      </c>
      <c r="D51" s="80">
        <v>188.64827610238561</v>
      </c>
      <c r="E51" s="83">
        <v>200.2281077962262</v>
      </c>
      <c r="F51" s="22" t="s">
        <v>240</v>
      </c>
      <c r="G51" s="23">
        <v>14.267198405302935</v>
      </c>
      <c r="H51" s="24">
        <v>6.1383183207864818</v>
      </c>
    </row>
    <row r="52" spans="1:8" x14ac:dyDescent="0.2">
      <c r="A52" s="34"/>
      <c r="B52" s="25" t="s">
        <v>241</v>
      </c>
      <c r="C52" s="82">
        <v>118.44785464727963</v>
      </c>
      <c r="D52" s="82">
        <v>128.99401698471769</v>
      </c>
      <c r="E52" s="82">
        <v>136.38639588453884</v>
      </c>
      <c r="F52" s="27"/>
      <c r="G52" s="28">
        <v>15.144673823496049</v>
      </c>
      <c r="H52" s="29">
        <v>5.7307920728578949</v>
      </c>
    </row>
    <row r="53" spans="1:8" x14ac:dyDescent="0.2">
      <c r="A53" s="30" t="s">
        <v>24</v>
      </c>
      <c r="B53" s="31" t="s">
        <v>3</v>
      </c>
      <c r="C53" s="80">
        <v>645.61334561598778</v>
      </c>
      <c r="D53" s="80">
        <v>609.79980959913178</v>
      </c>
      <c r="E53" s="83">
        <v>629.73614040051302</v>
      </c>
      <c r="F53" s="22" t="s">
        <v>240</v>
      </c>
      <c r="G53" s="23">
        <v>-2.4592436515273874</v>
      </c>
      <c r="H53" s="24">
        <v>3.269323880977737</v>
      </c>
    </row>
    <row r="54" spans="1:8" ht="13.5" thickBot="1" x14ac:dyDescent="0.25">
      <c r="A54" s="41"/>
      <c r="B54" s="42" t="s">
        <v>241</v>
      </c>
      <c r="C54" s="86">
        <v>454.64489788769208</v>
      </c>
      <c r="D54" s="86">
        <v>447.93401890606378</v>
      </c>
      <c r="E54" s="86">
        <v>456.02648914518608</v>
      </c>
      <c r="F54" s="44"/>
      <c r="G54" s="45">
        <v>0.30388359440807733</v>
      </c>
      <c r="H54" s="46">
        <v>1.8066210418412822</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15</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150</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45</v>
      </c>
      <c r="B7" s="19" t="s">
        <v>3</v>
      </c>
      <c r="C7" s="20">
        <v>19730</v>
      </c>
      <c r="D7" s="20">
        <v>22199</v>
      </c>
      <c r="E7" s="21">
        <v>18326.86641092406</v>
      </c>
      <c r="F7" s="22" t="s">
        <v>240</v>
      </c>
      <c r="G7" s="23">
        <v>-7.1116755655141475</v>
      </c>
      <c r="H7" s="24">
        <v>-17.442828907049602</v>
      </c>
    </row>
    <row r="8" spans="1:8" ht="12.75" customHeight="1" x14ac:dyDescent="0.2">
      <c r="A8" s="206"/>
      <c r="B8" s="25" t="s">
        <v>241</v>
      </c>
      <c r="C8" s="26">
        <v>15370.772092293204</v>
      </c>
      <c r="D8" s="26">
        <v>17809.5</v>
      </c>
      <c r="E8" s="26">
        <v>14558.442002825303</v>
      </c>
      <c r="F8" s="27"/>
      <c r="G8" s="28">
        <v>-5.2849010094632547</v>
      </c>
      <c r="H8" s="29">
        <v>-18.254628132034583</v>
      </c>
    </row>
    <row r="9" spans="1:8" x14ac:dyDescent="0.2">
      <c r="A9" s="30" t="s">
        <v>18</v>
      </c>
      <c r="B9" s="31" t="s">
        <v>3</v>
      </c>
      <c r="C9" s="20">
        <v>2349</v>
      </c>
      <c r="D9" s="20">
        <v>2884</v>
      </c>
      <c r="E9" s="21">
        <v>2178.2100937139594</v>
      </c>
      <c r="F9" s="22" t="s">
        <v>240</v>
      </c>
      <c r="G9" s="32">
        <v>-7.2707495226070904</v>
      </c>
      <c r="H9" s="33">
        <v>-24.47260424015397</v>
      </c>
    </row>
    <row r="10" spans="1:8" x14ac:dyDescent="0.2">
      <c r="A10" s="34"/>
      <c r="B10" s="25" t="s">
        <v>241</v>
      </c>
      <c r="C10" s="26">
        <v>1822.0565217391304</v>
      </c>
      <c r="D10" s="26">
        <v>2389</v>
      </c>
      <c r="E10" s="26">
        <v>1764.3986608695652</v>
      </c>
      <c r="F10" s="27"/>
      <c r="G10" s="35">
        <v>-3.1644386538860658</v>
      </c>
      <c r="H10" s="29">
        <v>-26.144886527016936</v>
      </c>
    </row>
    <row r="11" spans="1:8" x14ac:dyDescent="0.2">
      <c r="A11" s="30" t="s">
        <v>19</v>
      </c>
      <c r="B11" s="31" t="s">
        <v>3</v>
      </c>
      <c r="C11" s="20">
        <v>5293</v>
      </c>
      <c r="D11" s="20">
        <v>7881</v>
      </c>
      <c r="E11" s="21">
        <v>5095.809389695045</v>
      </c>
      <c r="F11" s="22" t="s">
        <v>240</v>
      </c>
      <c r="G11" s="37">
        <v>-3.7254980220093614</v>
      </c>
      <c r="H11" s="33">
        <v>-35.3405736620347</v>
      </c>
    </row>
    <row r="12" spans="1:8" x14ac:dyDescent="0.2">
      <c r="A12" s="34"/>
      <c r="B12" s="25" t="s">
        <v>241</v>
      </c>
      <c r="C12" s="26">
        <v>4183.521739130435</v>
      </c>
      <c r="D12" s="26">
        <v>6578</v>
      </c>
      <c r="E12" s="26">
        <v>4175.3288695652172</v>
      </c>
      <c r="F12" s="27"/>
      <c r="G12" s="28">
        <v>-0.19583666767131547</v>
      </c>
      <c r="H12" s="29">
        <v>-36.525860906579247</v>
      </c>
    </row>
    <row r="13" spans="1:8" x14ac:dyDescent="0.2">
      <c r="A13" s="30" t="s">
        <v>20</v>
      </c>
      <c r="B13" s="31" t="s">
        <v>3</v>
      </c>
      <c r="C13" s="20">
        <v>1022</v>
      </c>
      <c r="D13" s="20">
        <v>805</v>
      </c>
      <c r="E13" s="21">
        <v>977.39878142451244</v>
      </c>
      <c r="F13" s="22" t="s">
        <v>240</v>
      </c>
      <c r="G13" s="23">
        <v>-4.3641114066034703</v>
      </c>
      <c r="H13" s="24">
        <v>21.415997692486016</v>
      </c>
    </row>
    <row r="14" spans="1:8" x14ac:dyDescent="0.2">
      <c r="A14" s="34"/>
      <c r="B14" s="25" t="s">
        <v>241</v>
      </c>
      <c r="C14" s="26">
        <v>793.67701863354034</v>
      </c>
      <c r="D14" s="26">
        <v>618.5</v>
      </c>
      <c r="E14" s="26">
        <v>753.63279503105593</v>
      </c>
      <c r="F14" s="27"/>
      <c r="G14" s="38">
        <v>-5.0454054561675292</v>
      </c>
      <c r="H14" s="24">
        <v>21.848471306557144</v>
      </c>
    </row>
    <row r="15" spans="1:8" x14ac:dyDescent="0.2">
      <c r="A15" s="30" t="s">
        <v>21</v>
      </c>
      <c r="B15" s="31" t="s">
        <v>3</v>
      </c>
      <c r="C15" s="20">
        <v>558</v>
      </c>
      <c r="D15" s="20">
        <v>625</v>
      </c>
      <c r="E15" s="21">
        <v>615.08833500071887</v>
      </c>
      <c r="F15" s="22" t="s">
        <v>240</v>
      </c>
      <c r="G15" s="37">
        <v>10.230884408730986</v>
      </c>
      <c r="H15" s="33">
        <v>-1.5858663998849778</v>
      </c>
    </row>
    <row r="16" spans="1:8" x14ac:dyDescent="0.2">
      <c r="A16" s="34"/>
      <c r="B16" s="25" t="s">
        <v>241</v>
      </c>
      <c r="C16" s="26">
        <v>448.48913043478262</v>
      </c>
      <c r="D16" s="26">
        <v>519</v>
      </c>
      <c r="E16" s="26">
        <v>505.18456521739131</v>
      </c>
      <c r="F16" s="27"/>
      <c r="G16" s="28">
        <v>12.641428952279398</v>
      </c>
      <c r="H16" s="29">
        <v>-2.6619334841249866</v>
      </c>
    </row>
    <row r="17" spans="1:8" x14ac:dyDescent="0.2">
      <c r="A17" s="30" t="s">
        <v>22</v>
      </c>
      <c r="B17" s="31" t="s">
        <v>3</v>
      </c>
      <c r="C17" s="20">
        <v>374</v>
      </c>
      <c r="D17" s="20">
        <v>405</v>
      </c>
      <c r="E17" s="21">
        <v>508.17511584241436</v>
      </c>
      <c r="F17" s="22" t="s">
        <v>240</v>
      </c>
      <c r="G17" s="37">
        <v>35.875699423105459</v>
      </c>
      <c r="H17" s="33">
        <v>25.475337245040592</v>
      </c>
    </row>
    <row r="18" spans="1:8" x14ac:dyDescent="0.2">
      <c r="A18" s="34"/>
      <c r="B18" s="25" t="s">
        <v>241</v>
      </c>
      <c r="C18" s="26">
        <v>280.48913043478262</v>
      </c>
      <c r="D18" s="26">
        <v>266</v>
      </c>
      <c r="E18" s="26">
        <v>348.18456521739131</v>
      </c>
      <c r="F18" s="27"/>
      <c r="G18" s="28">
        <v>24.134780081379574</v>
      </c>
      <c r="H18" s="29">
        <v>30.896453089244858</v>
      </c>
    </row>
    <row r="19" spans="1:8" x14ac:dyDescent="0.2">
      <c r="A19" s="30" t="s">
        <v>189</v>
      </c>
      <c r="B19" s="31" t="s">
        <v>3</v>
      </c>
      <c r="C19" s="20">
        <v>6206</v>
      </c>
      <c r="D19" s="20">
        <v>6216</v>
      </c>
      <c r="E19" s="21">
        <v>5657.8746352230046</v>
      </c>
      <c r="F19" s="22" t="s">
        <v>240</v>
      </c>
      <c r="G19" s="23">
        <v>-8.8321844147114916</v>
      </c>
      <c r="H19" s="24">
        <v>-8.9788507847006969</v>
      </c>
    </row>
    <row r="20" spans="1:8" x14ac:dyDescent="0.2">
      <c r="A20" s="30"/>
      <c r="B20" s="25" t="s">
        <v>241</v>
      </c>
      <c r="C20" s="26">
        <v>4693.1925465838503</v>
      </c>
      <c r="D20" s="26">
        <v>4995</v>
      </c>
      <c r="E20" s="26">
        <v>4453.5819875776397</v>
      </c>
      <c r="F20" s="27"/>
      <c r="G20" s="38">
        <v>-5.1054917655279723</v>
      </c>
      <c r="H20" s="24">
        <v>-10.839199447895098</v>
      </c>
    </row>
    <row r="21" spans="1:8" x14ac:dyDescent="0.2">
      <c r="A21" s="39" t="s">
        <v>12</v>
      </c>
      <c r="B21" s="31" t="s">
        <v>3</v>
      </c>
      <c r="C21" s="20">
        <v>62</v>
      </c>
      <c r="D21" s="20">
        <v>63</v>
      </c>
      <c r="E21" s="21">
        <v>38.404677278607288</v>
      </c>
      <c r="F21" s="22" t="s">
        <v>240</v>
      </c>
      <c r="G21" s="37">
        <v>-38.056972131278563</v>
      </c>
      <c r="H21" s="33">
        <v>-39.040194795861453</v>
      </c>
    </row>
    <row r="22" spans="1:8" x14ac:dyDescent="0.2">
      <c r="A22" s="34"/>
      <c r="B22" s="25" t="s">
        <v>241</v>
      </c>
      <c r="C22" s="26">
        <v>50.293478260869563</v>
      </c>
      <c r="D22" s="26">
        <v>51</v>
      </c>
      <c r="E22" s="26">
        <v>31.110739130434784</v>
      </c>
      <c r="F22" s="27"/>
      <c r="G22" s="28">
        <v>-38.141603630862321</v>
      </c>
      <c r="H22" s="29">
        <v>-38.998550724637681</v>
      </c>
    </row>
    <row r="23" spans="1:8" x14ac:dyDescent="0.2">
      <c r="A23" s="39" t="s">
        <v>23</v>
      </c>
      <c r="B23" s="31" t="s">
        <v>3</v>
      </c>
      <c r="C23" s="20">
        <v>1699</v>
      </c>
      <c r="D23" s="20">
        <v>1708</v>
      </c>
      <c r="E23" s="21">
        <v>1709.6331466139532</v>
      </c>
      <c r="F23" s="22" t="s">
        <v>240</v>
      </c>
      <c r="G23" s="23">
        <v>0.62584735809024039</v>
      </c>
      <c r="H23" s="24">
        <v>9.5617483252524949E-2</v>
      </c>
    </row>
    <row r="24" spans="1:8" x14ac:dyDescent="0.2">
      <c r="A24" s="34"/>
      <c r="B24" s="25" t="s">
        <v>241</v>
      </c>
      <c r="C24" s="26">
        <v>1245.4891304347825</v>
      </c>
      <c r="D24" s="26">
        <v>1238.5</v>
      </c>
      <c r="E24" s="26">
        <v>1244.1845652173913</v>
      </c>
      <c r="F24" s="27"/>
      <c r="G24" s="28">
        <v>-0.10474320373521095</v>
      </c>
      <c r="H24" s="29">
        <v>0.45898790612768892</v>
      </c>
    </row>
    <row r="25" spans="1:8" x14ac:dyDescent="0.2">
      <c r="A25" s="30" t="s">
        <v>24</v>
      </c>
      <c r="B25" s="31" t="s">
        <v>3</v>
      </c>
      <c r="C25" s="20">
        <v>3046</v>
      </c>
      <c r="D25" s="20">
        <v>2750</v>
      </c>
      <c r="E25" s="21">
        <v>2651.5568464273383</v>
      </c>
      <c r="F25" s="22" t="s">
        <v>240</v>
      </c>
      <c r="G25" s="23">
        <v>-12.949545422608722</v>
      </c>
      <c r="H25" s="24">
        <v>-3.5797510390058704</v>
      </c>
    </row>
    <row r="26" spans="1:8" ht="13.5" thickBot="1" x14ac:dyDescent="0.25">
      <c r="A26" s="41"/>
      <c r="B26" s="42" t="s">
        <v>241</v>
      </c>
      <c r="C26" s="43">
        <v>2425.978260869565</v>
      </c>
      <c r="D26" s="43">
        <v>2046.5</v>
      </c>
      <c r="E26" s="43">
        <v>2017.3691304347826</v>
      </c>
      <c r="F26" s="44"/>
      <c r="G26" s="45">
        <v>-16.843066445629276</v>
      </c>
      <c r="H26" s="46">
        <v>-1.4234483051657634</v>
      </c>
    </row>
    <row r="31" spans="1:8" x14ac:dyDescent="0.2">
      <c r="A31" s="47"/>
      <c r="B31" s="48"/>
      <c r="C31" s="49"/>
      <c r="D31" s="55"/>
      <c r="E31" s="49"/>
      <c r="F31" s="49"/>
      <c r="G31" s="50"/>
      <c r="H31" s="51"/>
    </row>
    <row r="32" spans="1:8" ht="16.5" thickBot="1" x14ac:dyDescent="0.3">
      <c r="A32" s="4" t="s">
        <v>98</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45</v>
      </c>
      <c r="B35" s="19" t="s">
        <v>3</v>
      </c>
      <c r="C35" s="80">
        <v>879.94470515445789</v>
      </c>
      <c r="D35" s="80">
        <v>1025.3048651070956</v>
      </c>
      <c r="E35" s="83">
        <v>883.99830191242631</v>
      </c>
      <c r="F35" s="22" t="s">
        <v>240</v>
      </c>
      <c r="G35" s="23">
        <v>0.46066494112911016</v>
      </c>
      <c r="H35" s="24">
        <v>-13.781907021372561</v>
      </c>
    </row>
    <row r="36" spans="1:8" ht="12.75" customHeight="1" x14ac:dyDescent="0.2">
      <c r="A36" s="206"/>
      <c r="B36" s="25" t="s">
        <v>241</v>
      </c>
      <c r="C36" s="82">
        <v>672.1944678929309</v>
      </c>
      <c r="D36" s="82">
        <v>805.92872994047696</v>
      </c>
      <c r="E36" s="82">
        <v>688.20983215561296</v>
      </c>
      <c r="F36" s="27"/>
      <c r="G36" s="28">
        <v>2.3825492513920921</v>
      </c>
      <c r="H36" s="29">
        <v>-14.606613886758737</v>
      </c>
    </row>
    <row r="37" spans="1:8" x14ac:dyDescent="0.2">
      <c r="A37" s="30" t="s">
        <v>18</v>
      </c>
      <c r="B37" s="31" t="s">
        <v>3</v>
      </c>
      <c r="C37" s="80">
        <v>307.31515572809349</v>
      </c>
      <c r="D37" s="80">
        <v>352.08131989731572</v>
      </c>
      <c r="E37" s="83">
        <v>336.61964879524226</v>
      </c>
      <c r="F37" s="22" t="s">
        <v>240</v>
      </c>
      <c r="G37" s="32">
        <v>9.5356485096611578</v>
      </c>
      <c r="H37" s="33">
        <v>-4.391505663118636</v>
      </c>
    </row>
    <row r="38" spans="1:8" x14ac:dyDescent="0.2">
      <c r="A38" s="34"/>
      <c r="B38" s="25" t="s">
        <v>241</v>
      </c>
      <c r="C38" s="82">
        <v>229.92952935692873</v>
      </c>
      <c r="D38" s="82">
        <v>259.65706274726892</v>
      </c>
      <c r="E38" s="82">
        <v>249.44291208677632</v>
      </c>
      <c r="F38" s="27"/>
      <c r="G38" s="35">
        <v>8.4866797163561216</v>
      </c>
      <c r="H38" s="29">
        <v>-3.933708004097042</v>
      </c>
    </row>
    <row r="39" spans="1:8" x14ac:dyDescent="0.2">
      <c r="A39" s="30" t="s">
        <v>19</v>
      </c>
      <c r="B39" s="31" t="s">
        <v>3</v>
      </c>
      <c r="C39" s="80">
        <v>251.55093221073017</v>
      </c>
      <c r="D39" s="80">
        <v>385.89841356658553</v>
      </c>
      <c r="E39" s="83">
        <v>281.44452516688438</v>
      </c>
      <c r="F39" s="22" t="s">
        <v>240</v>
      </c>
      <c r="G39" s="37">
        <v>11.88371384412585</v>
      </c>
      <c r="H39" s="33">
        <v>-27.06771645789054</v>
      </c>
    </row>
    <row r="40" spans="1:8" x14ac:dyDescent="0.2">
      <c r="A40" s="34"/>
      <c r="B40" s="25" t="s">
        <v>241</v>
      </c>
      <c r="C40" s="82">
        <v>196.41805889309168</v>
      </c>
      <c r="D40" s="82">
        <v>322.36548655271434</v>
      </c>
      <c r="E40" s="82">
        <v>229.75947795011734</v>
      </c>
      <c r="F40" s="27"/>
      <c r="G40" s="28">
        <v>16.974721797435663</v>
      </c>
      <c r="H40" s="29">
        <v>-28.727023352561574</v>
      </c>
    </row>
    <row r="41" spans="1:8" x14ac:dyDescent="0.2">
      <c r="A41" s="30" t="s">
        <v>20</v>
      </c>
      <c r="B41" s="31" t="s">
        <v>3</v>
      </c>
      <c r="C41" s="80">
        <v>31.901874908978673</v>
      </c>
      <c r="D41" s="80">
        <v>25.875430763534148</v>
      </c>
      <c r="E41" s="83">
        <v>27.743925888774111</v>
      </c>
      <c r="F41" s="22" t="s">
        <v>240</v>
      </c>
      <c r="G41" s="23">
        <v>-13.033556905567082</v>
      </c>
      <c r="H41" s="24">
        <v>7.2211169828067341</v>
      </c>
    </row>
    <row r="42" spans="1:8" x14ac:dyDescent="0.2">
      <c r="A42" s="34"/>
      <c r="B42" s="25" t="s">
        <v>241</v>
      </c>
      <c r="C42" s="82">
        <v>25.955054901415039</v>
      </c>
      <c r="D42" s="82">
        <v>21.995201874608572</v>
      </c>
      <c r="E42" s="82">
        <v>23.236475963676959</v>
      </c>
      <c r="F42" s="27"/>
      <c r="G42" s="38">
        <v>-10.474179107168311</v>
      </c>
      <c r="H42" s="24">
        <v>5.6433857536053011</v>
      </c>
    </row>
    <row r="43" spans="1:8" x14ac:dyDescent="0.2">
      <c r="A43" s="30" t="s">
        <v>21</v>
      </c>
      <c r="B43" s="31" t="s">
        <v>3</v>
      </c>
      <c r="C43" s="80">
        <v>10.766231630682437</v>
      </c>
      <c r="D43" s="80">
        <v>10.001865350056425</v>
      </c>
      <c r="E43" s="83">
        <v>10.603014152853142</v>
      </c>
      <c r="F43" s="22" t="s">
        <v>240</v>
      </c>
      <c r="G43" s="37">
        <v>-1.5160130622133892</v>
      </c>
      <c r="H43" s="33">
        <v>6.0103668841465065</v>
      </c>
    </row>
    <row r="44" spans="1:8" x14ac:dyDescent="0.2">
      <c r="A44" s="34"/>
      <c r="B44" s="25" t="s">
        <v>241</v>
      </c>
      <c r="C44" s="82">
        <v>7.473621573897212</v>
      </c>
      <c r="D44" s="82">
        <v>7.8840335927729779</v>
      </c>
      <c r="E44" s="82">
        <v>7.9966219958976188</v>
      </c>
      <c r="F44" s="27"/>
      <c r="G44" s="28">
        <v>6.9979516199625067</v>
      </c>
      <c r="H44" s="29">
        <v>1.428055852372907</v>
      </c>
    </row>
    <row r="45" spans="1:8" x14ac:dyDescent="0.2">
      <c r="A45" s="30" t="s">
        <v>22</v>
      </c>
      <c r="B45" s="31" t="s">
        <v>3</v>
      </c>
      <c r="C45" s="80">
        <v>2.2689798245442843</v>
      </c>
      <c r="D45" s="80">
        <v>2.2821018177074857</v>
      </c>
      <c r="E45" s="83">
        <v>3.5429810133229043</v>
      </c>
      <c r="F45" s="22" t="s">
        <v>240</v>
      </c>
      <c r="G45" s="37">
        <v>56.148634509542092</v>
      </c>
      <c r="H45" s="33">
        <v>55.250786175791717</v>
      </c>
    </row>
    <row r="46" spans="1:8" x14ac:dyDescent="0.2">
      <c r="A46" s="34"/>
      <c r="B46" s="25" t="s">
        <v>241</v>
      </c>
      <c r="C46" s="82">
        <v>1.8550081254338027</v>
      </c>
      <c r="D46" s="82">
        <v>1.6650832975526533</v>
      </c>
      <c r="E46" s="82">
        <v>2.6811714698534623</v>
      </c>
      <c r="F46" s="27"/>
      <c r="G46" s="28">
        <v>44.536912431392039</v>
      </c>
      <c r="H46" s="29">
        <v>61.023263748682126</v>
      </c>
    </row>
    <row r="47" spans="1:8" x14ac:dyDescent="0.2">
      <c r="A47" s="30" t="s">
        <v>189</v>
      </c>
      <c r="B47" s="31" t="s">
        <v>3</v>
      </c>
      <c r="C47" s="80">
        <v>141.95657027599358</v>
      </c>
      <c r="D47" s="80">
        <v>113.70571797914418</v>
      </c>
      <c r="E47" s="83">
        <v>103.59874206217201</v>
      </c>
      <c r="F47" s="22" t="s">
        <v>240</v>
      </c>
      <c r="G47" s="23">
        <v>-27.020819211992688</v>
      </c>
      <c r="H47" s="24">
        <v>-8.8887138629439733</v>
      </c>
    </row>
    <row r="48" spans="1:8" x14ac:dyDescent="0.2">
      <c r="A48" s="30"/>
      <c r="B48" s="25" t="s">
        <v>241</v>
      </c>
      <c r="C48" s="82">
        <v>107.76065325490838</v>
      </c>
      <c r="D48" s="82">
        <v>92.095511001324795</v>
      </c>
      <c r="E48" s="82">
        <v>82.077219100720257</v>
      </c>
      <c r="F48" s="27"/>
      <c r="G48" s="38">
        <v>-23.833777337479418</v>
      </c>
      <c r="H48" s="24">
        <v>-10.878154419991688</v>
      </c>
    </row>
    <row r="49" spans="1:8" x14ac:dyDescent="0.2">
      <c r="A49" s="39" t="s">
        <v>12</v>
      </c>
      <c r="B49" s="31" t="s">
        <v>3</v>
      </c>
      <c r="C49" s="80">
        <v>0.65521820632039296</v>
      </c>
      <c r="D49" s="80">
        <v>0.71547073751679269</v>
      </c>
      <c r="E49" s="83">
        <v>0.2749142550212173</v>
      </c>
      <c r="F49" s="22" t="s">
        <v>240</v>
      </c>
      <c r="G49" s="37">
        <v>-58.042335763974798</v>
      </c>
      <c r="H49" s="33">
        <v>-61.575751375189562</v>
      </c>
    </row>
    <row r="50" spans="1:8" x14ac:dyDescent="0.2">
      <c r="A50" s="34"/>
      <c r="B50" s="25" t="s">
        <v>241</v>
      </c>
      <c r="C50" s="82">
        <v>0.69529794221346175</v>
      </c>
      <c r="D50" s="82">
        <v>0.68568195895325601</v>
      </c>
      <c r="E50" s="82">
        <v>0.27226025654674524</v>
      </c>
      <c r="F50" s="27"/>
      <c r="G50" s="28">
        <v>-60.842648882288906</v>
      </c>
      <c r="H50" s="29">
        <v>-60.293507362747221</v>
      </c>
    </row>
    <row r="51" spans="1:8" x14ac:dyDescent="0.2">
      <c r="A51" s="39" t="s">
        <v>23</v>
      </c>
      <c r="B51" s="31" t="s">
        <v>3</v>
      </c>
      <c r="C51" s="80">
        <v>50.875876129341307</v>
      </c>
      <c r="D51" s="80">
        <v>55.653365350551773</v>
      </c>
      <c r="E51" s="83">
        <v>57.655023986076323</v>
      </c>
      <c r="F51" s="22" t="s">
        <v>240</v>
      </c>
      <c r="G51" s="23">
        <v>13.324876881727704</v>
      </c>
      <c r="H51" s="24">
        <v>3.5966533612413514</v>
      </c>
    </row>
    <row r="52" spans="1:8" x14ac:dyDescent="0.2">
      <c r="A52" s="34"/>
      <c r="B52" s="25" t="s">
        <v>241</v>
      </c>
      <c r="C52" s="82">
        <v>34.720129092739725</v>
      </c>
      <c r="D52" s="82">
        <v>38.107983741107837</v>
      </c>
      <c r="E52" s="82">
        <v>39.43448001980304</v>
      </c>
      <c r="F52" s="27"/>
      <c r="G52" s="28">
        <v>13.57814918968468</v>
      </c>
      <c r="H52" s="29">
        <v>3.4808881196836552</v>
      </c>
    </row>
    <row r="53" spans="1:8" x14ac:dyDescent="0.2">
      <c r="A53" s="30" t="s">
        <v>24</v>
      </c>
      <c r="B53" s="31" t="s">
        <v>3</v>
      </c>
      <c r="C53" s="80">
        <v>82.653866239773492</v>
      </c>
      <c r="D53" s="80">
        <v>79.09117964468345</v>
      </c>
      <c r="E53" s="83">
        <v>67.520858495312609</v>
      </c>
      <c r="F53" s="22" t="s">
        <v>240</v>
      </c>
      <c r="G53" s="23">
        <v>-18.30889277527686</v>
      </c>
      <c r="H53" s="24">
        <v>-14.629091639991245</v>
      </c>
    </row>
    <row r="54" spans="1:8" ht="13.5" thickBot="1" x14ac:dyDescent="0.25">
      <c r="A54" s="41"/>
      <c r="B54" s="42" t="s">
        <v>241</v>
      </c>
      <c r="C54" s="86">
        <v>67.387114752302836</v>
      </c>
      <c r="D54" s="86">
        <v>61.472685174173556</v>
      </c>
      <c r="E54" s="86">
        <v>53.309213312221267</v>
      </c>
      <c r="F54" s="44"/>
      <c r="G54" s="45">
        <v>-20.891087994831352</v>
      </c>
      <c r="H54" s="46">
        <v>-13.279836139941381</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16</v>
      </c>
    </row>
    <row r="62" spans="1:8"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163</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165</v>
      </c>
      <c r="B7" s="19" t="s">
        <v>3</v>
      </c>
      <c r="C7" s="20">
        <v>45810.752901417422</v>
      </c>
      <c r="D7" s="20">
        <v>47091.596212135686</v>
      </c>
      <c r="E7" s="79">
        <v>43257.693438059592</v>
      </c>
      <c r="F7" s="22" t="s">
        <v>240</v>
      </c>
      <c r="G7" s="23">
        <v>-5.5730572008975514</v>
      </c>
      <c r="H7" s="24">
        <v>-8.1413735835271694</v>
      </c>
    </row>
    <row r="8" spans="1:8" x14ac:dyDescent="0.2">
      <c r="A8" s="206"/>
      <c r="B8" s="25" t="s">
        <v>241</v>
      </c>
      <c r="C8" s="26">
        <v>33616.30625895843</v>
      </c>
      <c r="D8" s="26">
        <v>35814.894648829431</v>
      </c>
      <c r="E8" s="26">
        <v>32504.417029049211</v>
      </c>
      <c r="F8" s="27"/>
      <c r="G8" s="28">
        <v>-3.3075889461023422</v>
      </c>
      <c r="H8" s="29">
        <v>-9.243298499800062</v>
      </c>
    </row>
    <row r="9" spans="1:8" x14ac:dyDescent="0.2">
      <c r="A9" s="30" t="s">
        <v>18</v>
      </c>
      <c r="B9" s="31" t="s">
        <v>3</v>
      </c>
      <c r="C9" s="20">
        <v>4788.3979602971012</v>
      </c>
      <c r="D9" s="20">
        <v>4601.1492898695651</v>
      </c>
      <c r="E9" s="36">
        <v>4245.278163163438</v>
      </c>
      <c r="F9" s="22" t="s">
        <v>240</v>
      </c>
      <c r="G9" s="32">
        <v>-11.342411421041646</v>
      </c>
      <c r="H9" s="33">
        <v>-7.7343964363350608</v>
      </c>
    </row>
    <row r="10" spans="1:8" x14ac:dyDescent="0.2">
      <c r="A10" s="34"/>
      <c r="B10" s="25" t="s">
        <v>241</v>
      </c>
      <c r="C10" s="26">
        <v>3349.2339130434784</v>
      </c>
      <c r="D10" s="26">
        <v>3459.9651086956519</v>
      </c>
      <c r="E10" s="26">
        <v>3114.3907931706522</v>
      </c>
      <c r="F10" s="27"/>
      <c r="G10" s="35">
        <v>-7.0118458719242511</v>
      </c>
      <c r="H10" s="29">
        <v>-9.9877976993610531</v>
      </c>
    </row>
    <row r="11" spans="1:8" x14ac:dyDescent="0.2">
      <c r="A11" s="30" t="s">
        <v>19</v>
      </c>
      <c r="B11" s="31" t="s">
        <v>3</v>
      </c>
      <c r="C11" s="20">
        <v>20821.120597335968</v>
      </c>
      <c r="D11" s="20">
        <v>25129.852221391306</v>
      </c>
      <c r="E11" s="36">
        <v>20848.334875798126</v>
      </c>
      <c r="F11" s="22" t="s">
        <v>240</v>
      </c>
      <c r="G11" s="37">
        <v>0.13070515746227329</v>
      </c>
      <c r="H11" s="33">
        <v>-17.037574705467705</v>
      </c>
    </row>
    <row r="12" spans="1:8" x14ac:dyDescent="0.2">
      <c r="A12" s="34"/>
      <c r="B12" s="25" t="s">
        <v>241</v>
      </c>
      <c r="C12" s="26">
        <v>15109.674624505929</v>
      </c>
      <c r="D12" s="26">
        <v>19084.476719367587</v>
      </c>
      <c r="E12" s="26">
        <v>15591.278959467589</v>
      </c>
      <c r="F12" s="27"/>
      <c r="G12" s="28">
        <v>3.1873905092605952</v>
      </c>
      <c r="H12" s="29">
        <v>-18.303869743281894</v>
      </c>
    </row>
    <row r="13" spans="1:8" x14ac:dyDescent="0.2">
      <c r="A13" s="30" t="s">
        <v>20</v>
      </c>
      <c r="B13" s="31" t="s">
        <v>3</v>
      </c>
      <c r="C13" s="20">
        <v>2858.2387761782611</v>
      </c>
      <c r="D13" s="20">
        <v>2303.2895739217392</v>
      </c>
      <c r="E13" s="36">
        <v>2678.8521472046391</v>
      </c>
      <c r="F13" s="22" t="s">
        <v>240</v>
      </c>
      <c r="G13" s="23">
        <v>-6.2761246705035205</v>
      </c>
      <c r="H13" s="24">
        <v>16.305486619445816</v>
      </c>
    </row>
    <row r="14" spans="1:8" x14ac:dyDescent="0.2">
      <c r="A14" s="34"/>
      <c r="B14" s="25" t="s">
        <v>241</v>
      </c>
      <c r="C14" s="26">
        <v>2219.940347826087</v>
      </c>
      <c r="D14" s="26">
        <v>1731.2790652173912</v>
      </c>
      <c r="E14" s="26">
        <v>2035.4344759023913</v>
      </c>
      <c r="F14" s="27"/>
      <c r="G14" s="38">
        <v>-8.3112986393700226</v>
      </c>
      <c r="H14" s="24">
        <v>17.568248631644394</v>
      </c>
    </row>
    <row r="15" spans="1:8" x14ac:dyDescent="0.2">
      <c r="A15" s="30" t="s">
        <v>21</v>
      </c>
      <c r="B15" s="31" t="s">
        <v>3</v>
      </c>
      <c r="C15" s="20">
        <v>1237.2387761782609</v>
      </c>
      <c r="D15" s="20">
        <v>1395.2895739217392</v>
      </c>
      <c r="E15" s="36">
        <v>1533.2214982936246</v>
      </c>
      <c r="F15" s="22" t="s">
        <v>240</v>
      </c>
      <c r="G15" s="37">
        <v>23.92284559894189</v>
      </c>
      <c r="H15" s="33">
        <v>9.8855411055785538</v>
      </c>
    </row>
    <row r="16" spans="1:8" x14ac:dyDescent="0.2">
      <c r="A16" s="34"/>
      <c r="B16" s="25" t="s">
        <v>241</v>
      </c>
      <c r="C16" s="26">
        <v>930.94034782608696</v>
      </c>
      <c r="D16" s="26">
        <v>1033.2790652173912</v>
      </c>
      <c r="E16" s="26">
        <v>1141.4344759023913</v>
      </c>
      <c r="F16" s="27"/>
      <c r="G16" s="28">
        <v>22.610914713047507</v>
      </c>
      <c r="H16" s="29">
        <v>10.467202358565658</v>
      </c>
    </row>
    <row r="17" spans="1:8" x14ac:dyDescent="0.2">
      <c r="A17" s="30" t="s">
        <v>189</v>
      </c>
      <c r="B17" s="31" t="s">
        <v>3</v>
      </c>
      <c r="C17" s="20">
        <v>8556.3979602971012</v>
      </c>
      <c r="D17" s="20">
        <v>8451.1492898695651</v>
      </c>
      <c r="E17" s="36">
        <v>8025.0233408084341</v>
      </c>
      <c r="F17" s="22" t="s">
        <v>240</v>
      </c>
      <c r="G17" s="37">
        <v>-6.2102606956142097</v>
      </c>
      <c r="H17" s="33">
        <v>-5.0422248435716313</v>
      </c>
    </row>
    <row r="18" spans="1:8" x14ac:dyDescent="0.2">
      <c r="A18" s="34"/>
      <c r="B18" s="25" t="s">
        <v>241</v>
      </c>
      <c r="C18" s="26">
        <v>6427.2339130434784</v>
      </c>
      <c r="D18" s="26">
        <v>6530.4651086956519</v>
      </c>
      <c r="E18" s="26">
        <v>6142.3907931706526</v>
      </c>
      <c r="F18" s="27"/>
      <c r="G18" s="28">
        <v>-4.431815050246783</v>
      </c>
      <c r="H18" s="29">
        <v>-5.9425218428662703</v>
      </c>
    </row>
    <row r="19" spans="1:8" x14ac:dyDescent="0.2">
      <c r="A19" s="39" t="s">
        <v>12</v>
      </c>
      <c r="B19" s="31" t="s">
        <v>3</v>
      </c>
      <c r="C19" s="20">
        <v>306.23877617826088</v>
      </c>
      <c r="D19" s="20">
        <v>335.28957392173913</v>
      </c>
      <c r="E19" s="36">
        <v>428.67445304898001</v>
      </c>
      <c r="F19" s="22" t="s">
        <v>240</v>
      </c>
      <c r="G19" s="37">
        <v>39.98046178170776</v>
      </c>
      <c r="H19" s="33">
        <v>27.852008052310651</v>
      </c>
    </row>
    <row r="20" spans="1:8" x14ac:dyDescent="0.2">
      <c r="A20" s="34"/>
      <c r="B20" s="25" t="s">
        <v>241</v>
      </c>
      <c r="C20" s="26">
        <v>226.94034782608696</v>
      </c>
      <c r="D20" s="26">
        <v>228.77906521739132</v>
      </c>
      <c r="E20" s="26">
        <v>300.43447590239134</v>
      </c>
      <c r="F20" s="27"/>
      <c r="G20" s="28">
        <v>32.384778105930167</v>
      </c>
      <c r="H20" s="29">
        <v>31.320790045588893</v>
      </c>
    </row>
    <row r="21" spans="1:8" x14ac:dyDescent="0.2">
      <c r="A21" s="39" t="s">
        <v>23</v>
      </c>
      <c r="B21" s="31" t="s">
        <v>3</v>
      </c>
      <c r="C21" s="20">
        <v>800.15918411884059</v>
      </c>
      <c r="D21" s="20">
        <v>695.85971594782609</v>
      </c>
      <c r="E21" s="36">
        <v>595.69081317640712</v>
      </c>
      <c r="F21" s="22" t="s">
        <v>240</v>
      </c>
      <c r="G21" s="23">
        <v>-25.553461736191935</v>
      </c>
      <c r="H21" s="24">
        <v>-14.394985149410402</v>
      </c>
    </row>
    <row r="22" spans="1:8" x14ac:dyDescent="0.2">
      <c r="A22" s="34"/>
      <c r="B22" s="25" t="s">
        <v>241</v>
      </c>
      <c r="C22" s="26">
        <v>580.29356521739123</v>
      </c>
      <c r="D22" s="26">
        <v>527.6860434782609</v>
      </c>
      <c r="E22" s="26">
        <v>444.95631726826088</v>
      </c>
      <c r="F22" s="27"/>
      <c r="G22" s="38">
        <v>-23.322203805315326</v>
      </c>
      <c r="H22" s="24">
        <v>-15.677831019498669</v>
      </c>
    </row>
    <row r="23" spans="1:8" x14ac:dyDescent="0.2">
      <c r="A23" s="30" t="s">
        <v>24</v>
      </c>
      <c r="B23" s="31" t="s">
        <v>3</v>
      </c>
      <c r="C23" s="20">
        <v>7531.5716328534781</v>
      </c>
      <c r="D23" s="20">
        <v>5346.8868721765211</v>
      </c>
      <c r="E23" s="36">
        <v>5965.6480019599494</v>
      </c>
      <c r="F23" s="22" t="s">
        <v>240</v>
      </c>
      <c r="G23" s="37">
        <v>-20.791459037086113</v>
      </c>
      <c r="H23" s="33">
        <v>11.57236247138988</v>
      </c>
    </row>
    <row r="24" spans="1:8" ht="13.5" thickBot="1" x14ac:dyDescent="0.25">
      <c r="A24" s="41"/>
      <c r="B24" s="42" t="s">
        <v>241</v>
      </c>
      <c r="C24" s="43">
        <v>5443.2821043478261</v>
      </c>
      <c r="D24" s="43">
        <v>4091.1837195652174</v>
      </c>
      <c r="E24" s="43">
        <v>4477.0303427707177</v>
      </c>
      <c r="F24" s="44"/>
      <c r="G24" s="45">
        <v>-17.751271072379552</v>
      </c>
      <c r="H24" s="46">
        <v>9.4311732166969335</v>
      </c>
    </row>
    <row r="29" spans="1:8" x14ac:dyDescent="0.2">
      <c r="A29" s="58"/>
      <c r="B29" s="58"/>
      <c r="C29" s="21"/>
      <c r="D29" s="21"/>
      <c r="E29" s="21"/>
      <c r="F29" s="59"/>
      <c r="G29" s="38"/>
      <c r="H29" s="60"/>
    </row>
    <row r="30" spans="1:8" x14ac:dyDescent="0.2">
      <c r="A30" s="58"/>
      <c r="B30" s="62"/>
      <c r="C30" s="21"/>
      <c r="D30" s="21"/>
      <c r="E30" s="21"/>
      <c r="F30" s="63"/>
      <c r="G30" s="38"/>
      <c r="H30" s="60"/>
    </row>
    <row r="31" spans="1:8" x14ac:dyDescent="0.2">
      <c r="A31" s="47"/>
      <c r="B31" s="48"/>
      <c r="C31" s="49"/>
      <c r="D31" s="55"/>
      <c r="E31" s="49"/>
      <c r="F31" s="49"/>
      <c r="G31" s="50"/>
      <c r="H31" s="51"/>
    </row>
    <row r="32" spans="1:8" ht="16.5" thickBot="1" x14ac:dyDescent="0.3">
      <c r="A32" s="4" t="s">
        <v>164</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165</v>
      </c>
      <c r="B35" s="19" t="s">
        <v>3</v>
      </c>
      <c r="C35" s="80">
        <v>5870.5359812985043</v>
      </c>
      <c r="D35" s="80">
        <v>6062.0590272136797</v>
      </c>
      <c r="E35" s="81">
        <v>6641.0744734264663</v>
      </c>
      <c r="F35" s="22" t="s">
        <v>240</v>
      </c>
      <c r="G35" s="23">
        <v>13.125522006553254</v>
      </c>
      <c r="H35" s="24">
        <v>9.5514649991608565</v>
      </c>
    </row>
    <row r="36" spans="1:8" ht="12.75" customHeight="1" x14ac:dyDescent="0.2">
      <c r="A36" s="206"/>
      <c r="B36" s="25" t="s">
        <v>241</v>
      </c>
      <c r="C36" s="82">
        <v>4539.8772908809287</v>
      </c>
      <c r="D36" s="82">
        <v>4668.5546809425568</v>
      </c>
      <c r="E36" s="82">
        <v>5121.547020040196</v>
      </c>
      <c r="F36" s="27"/>
      <c r="G36" s="28">
        <v>12.812454872461942</v>
      </c>
      <c r="H36" s="29">
        <v>9.7030530872176115</v>
      </c>
    </row>
    <row r="37" spans="1:8" x14ac:dyDescent="0.2">
      <c r="A37" s="30" t="s">
        <v>18</v>
      </c>
      <c r="B37" s="31" t="s">
        <v>3</v>
      </c>
      <c r="C37" s="80">
        <v>2669.162495287334</v>
      </c>
      <c r="D37" s="80">
        <v>2762.2181366845816</v>
      </c>
      <c r="E37" s="83">
        <v>3378.5282265310343</v>
      </c>
      <c r="F37" s="22" t="s">
        <v>240</v>
      </c>
      <c r="G37" s="32">
        <v>26.576341174287975</v>
      </c>
      <c r="H37" s="33">
        <v>22.312144057753301</v>
      </c>
    </row>
    <row r="38" spans="1:8" x14ac:dyDescent="0.2">
      <c r="A38" s="34"/>
      <c r="B38" s="25" t="s">
        <v>241</v>
      </c>
      <c r="C38" s="82">
        <v>2134.8806423306037</v>
      </c>
      <c r="D38" s="82">
        <v>2206.5216945636766</v>
      </c>
      <c r="E38" s="82">
        <v>2699.9796411031189</v>
      </c>
      <c r="F38" s="27"/>
      <c r="G38" s="35">
        <v>26.469816980288357</v>
      </c>
      <c r="H38" s="29">
        <v>22.363611821954919</v>
      </c>
    </row>
    <row r="39" spans="1:8" x14ac:dyDescent="0.2">
      <c r="A39" s="30" t="s">
        <v>19</v>
      </c>
      <c r="B39" s="31" t="s">
        <v>3</v>
      </c>
      <c r="C39" s="80">
        <v>1638.298300338585</v>
      </c>
      <c r="D39" s="80">
        <v>1948.5093091017907</v>
      </c>
      <c r="E39" s="83">
        <v>1784.4688452417431</v>
      </c>
      <c r="F39" s="22" t="s">
        <v>240</v>
      </c>
      <c r="G39" s="37">
        <v>8.9220958645290125</v>
      </c>
      <c r="H39" s="33">
        <v>-8.418767264482085</v>
      </c>
    </row>
    <row r="40" spans="1:8" x14ac:dyDescent="0.2">
      <c r="A40" s="34"/>
      <c r="B40" s="25" t="s">
        <v>241</v>
      </c>
      <c r="C40" s="82">
        <v>1217.066826170887</v>
      </c>
      <c r="D40" s="82">
        <v>1456.4908472825193</v>
      </c>
      <c r="E40" s="82">
        <v>1331.1217835140878</v>
      </c>
      <c r="F40" s="27"/>
      <c r="G40" s="28">
        <v>9.3712978523980155</v>
      </c>
      <c r="H40" s="29">
        <v>-8.6076108203729262</v>
      </c>
    </row>
    <row r="41" spans="1:8" x14ac:dyDescent="0.2">
      <c r="A41" s="30" t="s">
        <v>20</v>
      </c>
      <c r="B41" s="31" t="s">
        <v>3</v>
      </c>
      <c r="C41" s="80">
        <v>140.39008832816529</v>
      </c>
      <c r="D41" s="80">
        <v>123.73318596840181</v>
      </c>
      <c r="E41" s="83">
        <v>146.24848692824528</v>
      </c>
      <c r="F41" s="22" t="s">
        <v>240</v>
      </c>
      <c r="G41" s="23">
        <v>4.1729431684563281</v>
      </c>
      <c r="H41" s="24">
        <v>18.19665499083915</v>
      </c>
    </row>
    <row r="42" spans="1:8" x14ac:dyDescent="0.2">
      <c r="A42" s="34"/>
      <c r="B42" s="25" t="s">
        <v>241</v>
      </c>
      <c r="C42" s="82">
        <v>117.56621459943445</v>
      </c>
      <c r="D42" s="82">
        <v>94.464292215836124</v>
      </c>
      <c r="E42" s="82">
        <v>115.04100719229974</v>
      </c>
      <c r="F42" s="27"/>
      <c r="G42" s="38">
        <v>-2.147902282759091</v>
      </c>
      <c r="H42" s="24">
        <v>21.782532313320104</v>
      </c>
    </row>
    <row r="43" spans="1:8" x14ac:dyDescent="0.2">
      <c r="A43" s="30" t="s">
        <v>21</v>
      </c>
      <c r="B43" s="31" t="s">
        <v>3</v>
      </c>
      <c r="C43" s="80">
        <v>20.722429564660558</v>
      </c>
      <c r="D43" s="80">
        <v>24.818293969888266</v>
      </c>
      <c r="E43" s="83">
        <v>32.436773128175687</v>
      </c>
      <c r="F43" s="22" t="s">
        <v>240</v>
      </c>
      <c r="G43" s="37">
        <v>56.529778648602274</v>
      </c>
      <c r="H43" s="33">
        <v>30.697030051827198</v>
      </c>
    </row>
    <row r="44" spans="1:8" x14ac:dyDescent="0.2">
      <c r="A44" s="34"/>
      <c r="B44" s="25" t="s">
        <v>241</v>
      </c>
      <c r="C44" s="82">
        <v>14.981208407038613</v>
      </c>
      <c r="D44" s="82">
        <v>17.769368585182118</v>
      </c>
      <c r="E44" s="82">
        <v>23.298889809723661</v>
      </c>
      <c r="F44" s="27"/>
      <c r="G44" s="28">
        <v>55.520764258089883</v>
      </c>
      <c r="H44" s="29">
        <v>31.118276364375788</v>
      </c>
    </row>
    <row r="45" spans="1:8" x14ac:dyDescent="0.2">
      <c r="A45" s="30" t="s">
        <v>189</v>
      </c>
      <c r="B45" s="31" t="s">
        <v>3</v>
      </c>
      <c r="C45" s="80">
        <v>726.58150310037558</v>
      </c>
      <c r="D45" s="80">
        <v>679.71148863471353</v>
      </c>
      <c r="E45" s="83">
        <v>647.26334366703361</v>
      </c>
      <c r="F45" s="22" t="s">
        <v>240</v>
      </c>
      <c r="G45" s="37">
        <v>-10.916622442889846</v>
      </c>
      <c r="H45" s="33">
        <v>-4.7738114641634297</v>
      </c>
    </row>
    <row r="46" spans="1:8" x14ac:dyDescent="0.2">
      <c r="A46" s="34"/>
      <c r="B46" s="25" t="s">
        <v>241</v>
      </c>
      <c r="C46" s="82">
        <v>569.61279042313561</v>
      </c>
      <c r="D46" s="82">
        <v>501.73708414323522</v>
      </c>
      <c r="E46" s="82">
        <v>487.27431933464459</v>
      </c>
      <c r="F46" s="27"/>
      <c r="G46" s="28">
        <v>-14.455165416374527</v>
      </c>
      <c r="H46" s="29">
        <v>-2.8825385377457593</v>
      </c>
    </row>
    <row r="47" spans="1:8" x14ac:dyDescent="0.2">
      <c r="A47" s="39" t="s">
        <v>12</v>
      </c>
      <c r="B47" s="31" t="s">
        <v>3</v>
      </c>
      <c r="C47" s="80">
        <v>13.774586753330446</v>
      </c>
      <c r="D47" s="80">
        <v>20.478960578864299</v>
      </c>
      <c r="E47" s="83">
        <v>48.108991842336145</v>
      </c>
      <c r="F47" s="22" t="s">
        <v>240</v>
      </c>
      <c r="G47" s="37">
        <v>249.25905730496243</v>
      </c>
      <c r="H47" s="33">
        <v>134.91910957623477</v>
      </c>
    </row>
    <row r="48" spans="1:8" x14ac:dyDescent="0.2">
      <c r="A48" s="34"/>
      <c r="B48" s="25" t="s">
        <v>241</v>
      </c>
      <c r="C48" s="82">
        <v>7.5110301719169259</v>
      </c>
      <c r="D48" s="82">
        <v>12.227780051015101</v>
      </c>
      <c r="E48" s="82">
        <v>27.843569896314094</v>
      </c>
      <c r="F48" s="27"/>
      <c r="G48" s="28">
        <v>270.70241044189555</v>
      </c>
      <c r="H48" s="29">
        <v>127.70748067227976</v>
      </c>
    </row>
    <row r="49" spans="1:8" x14ac:dyDescent="0.2">
      <c r="A49" s="39" t="s">
        <v>23</v>
      </c>
      <c r="B49" s="31" t="s">
        <v>3</v>
      </c>
      <c r="C49" s="80">
        <v>38.14258987904995</v>
      </c>
      <c r="D49" s="80">
        <v>31.288874071004166</v>
      </c>
      <c r="E49" s="83">
        <v>33.060430252570349</v>
      </c>
      <c r="F49" s="22" t="s">
        <v>240</v>
      </c>
      <c r="G49" s="23">
        <v>-13.32410736291142</v>
      </c>
      <c r="H49" s="24">
        <v>5.6619365003226676</v>
      </c>
    </row>
    <row r="50" spans="1:8" x14ac:dyDescent="0.2">
      <c r="A50" s="34"/>
      <c r="B50" s="25" t="s">
        <v>241</v>
      </c>
      <c r="C50" s="82">
        <v>26.626410638165474</v>
      </c>
      <c r="D50" s="82">
        <v>23.96595202145237</v>
      </c>
      <c r="E50" s="82">
        <v>24.527845891180625</v>
      </c>
      <c r="F50" s="27"/>
      <c r="G50" s="38">
        <v>-7.8815157457867429</v>
      </c>
      <c r="H50" s="24">
        <v>2.3445505908769633</v>
      </c>
    </row>
    <row r="51" spans="1:8" x14ac:dyDescent="0.2">
      <c r="A51" s="30" t="s">
        <v>24</v>
      </c>
      <c r="B51" s="31" t="s">
        <v>3</v>
      </c>
      <c r="C51" s="80">
        <v>623.4639880470022</v>
      </c>
      <c r="D51" s="80">
        <v>471.30077820443415</v>
      </c>
      <c r="E51" s="83">
        <v>554.46476624576633</v>
      </c>
      <c r="F51" s="22" t="s">
        <v>240</v>
      </c>
      <c r="G51" s="37">
        <v>-11.06707414126285</v>
      </c>
      <c r="H51" s="33">
        <v>17.645629264218712</v>
      </c>
    </row>
    <row r="52" spans="1:8" ht="13.5" thickBot="1" x14ac:dyDescent="0.25">
      <c r="A52" s="41"/>
      <c r="B52" s="42" t="s">
        <v>241</v>
      </c>
      <c r="C52" s="86">
        <v>451.63216813974611</v>
      </c>
      <c r="D52" s="86">
        <v>355.37766207964</v>
      </c>
      <c r="E52" s="86">
        <v>412.45996329882689</v>
      </c>
      <c r="F52" s="44"/>
      <c r="G52" s="45">
        <v>-8.6734753643142568</v>
      </c>
      <c r="H52" s="46">
        <v>16.06243366145921</v>
      </c>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17</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151</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58</v>
      </c>
      <c r="B7" s="19" t="s">
        <v>3</v>
      </c>
      <c r="C7" s="20">
        <v>8509.7790693877541</v>
      </c>
      <c r="D7" s="20">
        <v>8798.6610285714287</v>
      </c>
      <c r="E7" s="79">
        <v>8715.8690944668379</v>
      </c>
      <c r="F7" s="22" t="s">
        <v>240</v>
      </c>
      <c r="G7" s="23">
        <v>2.4218022982576741</v>
      </c>
      <c r="H7" s="24">
        <v>-0.94096060566198503</v>
      </c>
    </row>
    <row r="8" spans="1:9" x14ac:dyDescent="0.2">
      <c r="A8" s="206"/>
      <c r="B8" s="25" t="s">
        <v>241</v>
      </c>
      <c r="C8" s="26">
        <v>6161.3536816326532</v>
      </c>
      <c r="D8" s="26">
        <v>6310.199289795918</v>
      </c>
      <c r="E8" s="26">
        <v>6270.6122612244899</v>
      </c>
      <c r="F8" s="27"/>
      <c r="G8" s="28">
        <v>1.7732885537401017</v>
      </c>
      <c r="H8" s="29">
        <v>-0.62734989424887999</v>
      </c>
    </row>
    <row r="9" spans="1:9" x14ac:dyDescent="0.2">
      <c r="A9" s="30" t="s">
        <v>9</v>
      </c>
      <c r="B9" s="31" t="s">
        <v>3</v>
      </c>
      <c r="C9" s="20">
        <v>8061.5764571428572</v>
      </c>
      <c r="D9" s="20">
        <v>8180.3375999999998</v>
      </c>
      <c r="E9" s="21">
        <v>8130.9945099421675</v>
      </c>
      <c r="F9" s="22" t="s">
        <v>240</v>
      </c>
      <c r="G9" s="32">
        <v>0.86109774146969187</v>
      </c>
      <c r="H9" s="33">
        <v>-0.60319136532741879</v>
      </c>
    </row>
    <row r="10" spans="1:9" x14ac:dyDescent="0.2">
      <c r="A10" s="34"/>
      <c r="B10" s="25" t="s">
        <v>241</v>
      </c>
      <c r="C10" s="26">
        <v>5855.4833142857142</v>
      </c>
      <c r="D10" s="26">
        <v>5839.2130857142856</v>
      </c>
      <c r="E10" s="26">
        <v>5837.5694857142862</v>
      </c>
      <c r="F10" s="27"/>
      <c r="G10" s="35">
        <v>-0.30593253553850275</v>
      </c>
      <c r="H10" s="29">
        <v>-2.8147628385411849E-2</v>
      </c>
    </row>
    <row r="11" spans="1:9" x14ac:dyDescent="0.2">
      <c r="A11" s="30" t="s">
        <v>46</v>
      </c>
      <c r="B11" s="31" t="s">
        <v>3</v>
      </c>
      <c r="C11" s="20">
        <v>449.20261224489798</v>
      </c>
      <c r="D11" s="20">
        <v>618.32342857142862</v>
      </c>
      <c r="E11" s="21">
        <v>590.30556449687447</v>
      </c>
      <c r="F11" s="22" t="s">
        <v>240</v>
      </c>
      <c r="G11" s="37">
        <v>31.411872595043917</v>
      </c>
      <c r="H11" s="33">
        <v>-4.5312635394208627</v>
      </c>
    </row>
    <row r="12" spans="1:9" ht="13.5" thickBot="1" x14ac:dyDescent="0.25">
      <c r="A12" s="56"/>
      <c r="B12" s="42" t="s">
        <v>241</v>
      </c>
      <c r="C12" s="43">
        <v>306.87036734693879</v>
      </c>
      <c r="D12" s="43">
        <v>470.98620408163265</v>
      </c>
      <c r="E12" s="43">
        <v>433.04277551020408</v>
      </c>
      <c r="F12" s="44"/>
      <c r="G12" s="57">
        <v>41.115865716880506</v>
      </c>
      <c r="H12" s="46">
        <v>-8.0561656037067593</v>
      </c>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59</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58</v>
      </c>
      <c r="B35" s="19" t="s">
        <v>3</v>
      </c>
      <c r="C35" s="80">
        <v>1776.8332046777336</v>
      </c>
      <c r="D35" s="80">
        <v>1811.9238978132253</v>
      </c>
      <c r="E35" s="81">
        <v>1906.6036910976118</v>
      </c>
      <c r="F35" s="22" t="s">
        <v>240</v>
      </c>
      <c r="G35" s="23">
        <v>7.3034703582891751</v>
      </c>
      <c r="H35" s="24">
        <v>5.22537361523041</v>
      </c>
    </row>
    <row r="36" spans="1:9" ht="12.75" customHeight="1" x14ac:dyDescent="0.2">
      <c r="A36" s="206"/>
      <c r="B36" s="25" t="s">
        <v>241</v>
      </c>
      <c r="C36" s="82">
        <v>1346.5649977752037</v>
      </c>
      <c r="D36" s="82">
        <v>1366.2038966588648</v>
      </c>
      <c r="E36" s="82">
        <v>1440.0241776834368</v>
      </c>
      <c r="F36" s="27"/>
      <c r="G36" s="28">
        <v>6.940562101543307</v>
      </c>
      <c r="H36" s="29">
        <v>5.4033136053193829</v>
      </c>
    </row>
    <row r="37" spans="1:9" x14ac:dyDescent="0.2">
      <c r="A37" s="30" t="s">
        <v>9</v>
      </c>
      <c r="B37" s="31" t="s">
        <v>3</v>
      </c>
      <c r="C37" s="80">
        <v>1313.0264236824203</v>
      </c>
      <c r="D37" s="80">
        <v>1308.5133755640504</v>
      </c>
      <c r="E37" s="83">
        <v>1350.5480270047856</v>
      </c>
      <c r="F37" s="22" t="s">
        <v>240</v>
      </c>
      <c r="G37" s="32">
        <v>2.8576426677792881</v>
      </c>
      <c r="H37" s="33">
        <v>3.2123975364497568</v>
      </c>
    </row>
    <row r="38" spans="1:9" x14ac:dyDescent="0.2">
      <c r="A38" s="34"/>
      <c r="B38" s="25" t="s">
        <v>241</v>
      </c>
      <c r="C38" s="82">
        <v>978.72109732522574</v>
      </c>
      <c r="D38" s="82">
        <v>987.90478217487976</v>
      </c>
      <c r="E38" s="82">
        <v>1015.286424524348</v>
      </c>
      <c r="F38" s="27"/>
      <c r="G38" s="35">
        <v>3.7360313677770733</v>
      </c>
      <c r="H38" s="29">
        <v>2.7716884100092614</v>
      </c>
    </row>
    <row r="39" spans="1:9" x14ac:dyDescent="0.2">
      <c r="A39" s="30" t="s">
        <v>46</v>
      </c>
      <c r="B39" s="31" t="s">
        <v>3</v>
      </c>
      <c r="C39" s="80">
        <v>463.80678099531292</v>
      </c>
      <c r="D39" s="80">
        <v>503.41052224917502</v>
      </c>
      <c r="E39" s="83">
        <v>555.31928005959674</v>
      </c>
      <c r="F39" s="22" t="s">
        <v>240</v>
      </c>
      <c r="G39" s="37">
        <v>19.730737629126779</v>
      </c>
      <c r="H39" s="33">
        <v>10.311416928374854</v>
      </c>
    </row>
    <row r="40" spans="1:9" ht="13.5" thickBot="1" x14ac:dyDescent="0.25">
      <c r="A40" s="56"/>
      <c r="B40" s="42" t="s">
        <v>241</v>
      </c>
      <c r="C40" s="86">
        <v>367.84390044997804</v>
      </c>
      <c r="D40" s="86">
        <v>378.29911448398508</v>
      </c>
      <c r="E40" s="86">
        <v>424.73775315908881</v>
      </c>
      <c r="F40" s="44"/>
      <c r="G40" s="57">
        <v>15.466846844412345</v>
      </c>
      <c r="H40" s="46">
        <v>12.275640332504565</v>
      </c>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18</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152</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x14ac:dyDescent="0.2">
      <c r="A7" s="205" t="s">
        <v>57</v>
      </c>
      <c r="B7" s="19" t="s">
        <v>3</v>
      </c>
      <c r="C7" s="20">
        <v>5522</v>
      </c>
      <c r="D7" s="20">
        <v>5593</v>
      </c>
      <c r="E7" s="79">
        <v>6317.8001748084698</v>
      </c>
      <c r="F7" s="22" t="s">
        <v>240</v>
      </c>
      <c r="G7" s="23">
        <v>14.411448294249723</v>
      </c>
      <c r="H7" s="24">
        <v>12.959059088297337</v>
      </c>
    </row>
    <row r="8" spans="1:9" x14ac:dyDescent="0.2">
      <c r="A8" s="206"/>
      <c r="B8" s="25" t="s">
        <v>241</v>
      </c>
      <c r="C8" s="26">
        <v>3966</v>
      </c>
      <c r="D8" s="26">
        <v>3726</v>
      </c>
      <c r="E8" s="26">
        <v>4313</v>
      </c>
      <c r="F8" s="27"/>
      <c r="G8" s="28">
        <v>8.7493696419566334</v>
      </c>
      <c r="H8" s="29">
        <v>15.754159957058505</v>
      </c>
    </row>
    <row r="9" spans="1:9" x14ac:dyDescent="0.2">
      <c r="A9" s="30" t="s">
        <v>9</v>
      </c>
      <c r="B9" s="31" t="s">
        <v>3</v>
      </c>
      <c r="C9" s="20">
        <v>1891</v>
      </c>
      <c r="D9" s="20">
        <v>1642</v>
      </c>
      <c r="E9" s="21">
        <v>2302.1616375596782</v>
      </c>
      <c r="F9" s="22" t="s">
        <v>240</v>
      </c>
      <c r="G9" s="32">
        <v>21.743079722880921</v>
      </c>
      <c r="H9" s="33">
        <v>40.204728231405483</v>
      </c>
    </row>
    <row r="10" spans="1:9" x14ac:dyDescent="0.2">
      <c r="A10" s="34"/>
      <c r="B10" s="25" t="s">
        <v>241</v>
      </c>
      <c r="C10" s="26">
        <v>1223</v>
      </c>
      <c r="D10" s="26">
        <v>1212</v>
      </c>
      <c r="E10" s="26">
        <v>1622.8524590163934</v>
      </c>
      <c r="F10" s="27"/>
      <c r="G10" s="35">
        <v>32.69439566773454</v>
      </c>
      <c r="H10" s="29">
        <v>33.898717740626523</v>
      </c>
    </row>
    <row r="11" spans="1:9" x14ac:dyDescent="0.2">
      <c r="A11" s="30" t="s">
        <v>46</v>
      </c>
      <c r="B11" s="31" t="s">
        <v>3</v>
      </c>
      <c r="C11" s="20">
        <v>2194</v>
      </c>
      <c r="D11" s="20">
        <v>2574</v>
      </c>
      <c r="E11" s="21">
        <v>2479.8147124810248</v>
      </c>
      <c r="F11" s="22" t="s">
        <v>240</v>
      </c>
      <c r="G11" s="37">
        <v>13.027106311806051</v>
      </c>
      <c r="H11" s="33">
        <v>-3.6591020792142643</v>
      </c>
    </row>
    <row r="12" spans="1:9" x14ac:dyDescent="0.2">
      <c r="A12" s="34"/>
      <c r="B12" s="25" t="s">
        <v>241</v>
      </c>
      <c r="C12" s="26">
        <v>1637</v>
      </c>
      <c r="D12" s="26">
        <v>1837.5</v>
      </c>
      <c r="E12" s="26">
        <v>1796.1475409836066</v>
      </c>
      <c r="F12" s="27"/>
      <c r="G12" s="28">
        <v>9.7219023203180654</v>
      </c>
      <c r="H12" s="29">
        <v>-2.2504739600758228</v>
      </c>
    </row>
    <row r="13" spans="1:9" x14ac:dyDescent="0.2">
      <c r="A13" s="30" t="s">
        <v>24</v>
      </c>
      <c r="B13" s="31" t="s">
        <v>3</v>
      </c>
      <c r="C13" s="20">
        <v>1442</v>
      </c>
      <c r="D13" s="20">
        <v>1383</v>
      </c>
      <c r="E13" s="21">
        <v>1395.8879690565434</v>
      </c>
      <c r="F13" s="22" t="s">
        <v>240</v>
      </c>
      <c r="G13" s="23">
        <v>-3.1977830057875565</v>
      </c>
      <c r="H13" s="24">
        <v>0.93188496431983481</v>
      </c>
    </row>
    <row r="14" spans="1:9" ht="13.5" thickBot="1" x14ac:dyDescent="0.25">
      <c r="A14" s="56"/>
      <c r="B14" s="42" t="s">
        <v>241</v>
      </c>
      <c r="C14" s="43">
        <v>1119</v>
      </c>
      <c r="D14" s="43">
        <v>944.5</v>
      </c>
      <c r="E14" s="43">
        <v>993</v>
      </c>
      <c r="F14" s="44"/>
      <c r="G14" s="57">
        <v>-11.260053619302951</v>
      </c>
      <c r="H14" s="46">
        <v>5.1349920592906244</v>
      </c>
    </row>
    <row r="15" spans="1:9" x14ac:dyDescent="0.2">
      <c r="A15" s="58"/>
      <c r="B15" s="62"/>
      <c r="C15" s="21"/>
      <c r="D15" s="21"/>
      <c r="E15" s="21"/>
      <c r="F15" s="63"/>
      <c r="G15" s="38"/>
      <c r="H15" s="60"/>
      <c r="I15" s="61"/>
    </row>
    <row r="16" spans="1:9" x14ac:dyDescent="0.2">
      <c r="A16" s="58"/>
      <c r="B16" s="62"/>
      <c r="C16" s="21"/>
      <c r="D16" s="21"/>
      <c r="E16" s="21"/>
      <c r="F16" s="63"/>
      <c r="G16" s="38"/>
      <c r="H16" s="60"/>
      <c r="I16" s="61"/>
    </row>
    <row r="17" spans="1:9" x14ac:dyDescent="0.2">
      <c r="A17" s="58"/>
      <c r="B17" s="62"/>
      <c r="C17" s="21"/>
      <c r="D17" s="21"/>
      <c r="E17" s="21"/>
      <c r="F17" s="63"/>
      <c r="G17" s="38"/>
      <c r="H17" s="60"/>
      <c r="I17" s="61"/>
    </row>
    <row r="18" spans="1:9" x14ac:dyDescent="0.2">
      <c r="A18" s="58"/>
      <c r="B18" s="62"/>
      <c r="C18" s="21"/>
      <c r="D18" s="21"/>
      <c r="E18" s="21"/>
      <c r="F18" s="63"/>
      <c r="G18" s="38"/>
      <c r="H18" s="60"/>
      <c r="I18" s="61"/>
    </row>
    <row r="19" spans="1:9" x14ac:dyDescent="0.2">
      <c r="A19" s="58"/>
      <c r="B19" s="62"/>
      <c r="C19" s="21"/>
      <c r="D19" s="21"/>
      <c r="E19" s="21"/>
      <c r="F19" s="63"/>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66" t="s">
        <v>73</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57</v>
      </c>
      <c r="B35" s="19" t="s">
        <v>3</v>
      </c>
      <c r="C35" s="80">
        <v>2036.0218121420889</v>
      </c>
      <c r="D35" s="80">
        <v>2387.3848808729372</v>
      </c>
      <c r="E35" s="81">
        <v>3021.36411270808</v>
      </c>
      <c r="F35" s="22" t="s">
        <v>240</v>
      </c>
      <c r="G35" s="23">
        <v>48.395468785735517</v>
      </c>
      <c r="H35" s="24">
        <v>26.555384383741725</v>
      </c>
    </row>
    <row r="36" spans="1:9" ht="12.75" customHeight="1" x14ac:dyDescent="0.2">
      <c r="A36" s="206"/>
      <c r="B36" s="25" t="s">
        <v>241</v>
      </c>
      <c r="C36" s="82">
        <v>1496.9494315651555</v>
      </c>
      <c r="D36" s="82">
        <v>1784.3249974431346</v>
      </c>
      <c r="E36" s="82">
        <v>2245.7735524287955</v>
      </c>
      <c r="F36" s="27"/>
      <c r="G36" s="28">
        <v>50.023341141236614</v>
      </c>
      <c r="H36" s="29">
        <v>25.861239160292996</v>
      </c>
    </row>
    <row r="37" spans="1:9" x14ac:dyDescent="0.2">
      <c r="A37" s="30" t="s">
        <v>9</v>
      </c>
      <c r="B37" s="31" t="s">
        <v>3</v>
      </c>
      <c r="C37" s="80">
        <v>357.14071684871595</v>
      </c>
      <c r="D37" s="80">
        <v>384.77035960993015</v>
      </c>
      <c r="E37" s="83">
        <v>456.99957896791011</v>
      </c>
      <c r="F37" s="22" t="s">
        <v>240</v>
      </c>
      <c r="G37" s="32">
        <v>27.960648956611166</v>
      </c>
      <c r="H37" s="33">
        <v>18.772033124174129</v>
      </c>
    </row>
    <row r="38" spans="1:9" x14ac:dyDescent="0.2">
      <c r="A38" s="34"/>
      <c r="B38" s="25" t="s">
        <v>241</v>
      </c>
      <c r="C38" s="82">
        <v>265.97273170646224</v>
      </c>
      <c r="D38" s="82">
        <v>291.55325470475083</v>
      </c>
      <c r="E38" s="82">
        <v>344.27969981690131</v>
      </c>
      <c r="F38" s="27"/>
      <c r="G38" s="35">
        <v>29.44172795760943</v>
      </c>
      <c r="H38" s="29">
        <v>18.084670385705465</v>
      </c>
    </row>
    <row r="39" spans="1:9" x14ac:dyDescent="0.2">
      <c r="A39" s="30" t="s">
        <v>46</v>
      </c>
      <c r="B39" s="31" t="s">
        <v>3</v>
      </c>
      <c r="C39" s="80">
        <v>1188.1828645132478</v>
      </c>
      <c r="D39" s="80">
        <v>1414.7660732440925</v>
      </c>
      <c r="E39" s="83">
        <v>1793.7387258279941</v>
      </c>
      <c r="F39" s="22" t="s">
        <v>240</v>
      </c>
      <c r="G39" s="37">
        <v>50.964870761944468</v>
      </c>
      <c r="H39" s="33">
        <v>26.786948015717414</v>
      </c>
    </row>
    <row r="40" spans="1:9" x14ac:dyDescent="0.2">
      <c r="A40" s="34"/>
      <c r="B40" s="25" t="s">
        <v>241</v>
      </c>
      <c r="C40" s="82">
        <v>870.4372887693379</v>
      </c>
      <c r="D40" s="82">
        <v>1060.6335779406249</v>
      </c>
      <c r="E40" s="82">
        <v>1334.3567485073279</v>
      </c>
      <c r="F40" s="27"/>
      <c r="G40" s="28">
        <v>53.297286975595853</v>
      </c>
      <c r="H40" s="29">
        <v>25.807515079635365</v>
      </c>
    </row>
    <row r="41" spans="1:9" x14ac:dyDescent="0.2">
      <c r="A41" s="30" t="s">
        <v>24</v>
      </c>
      <c r="B41" s="31" t="s">
        <v>3</v>
      </c>
      <c r="C41" s="80">
        <v>490.69823078012507</v>
      </c>
      <c r="D41" s="80">
        <v>587.84844801891472</v>
      </c>
      <c r="E41" s="83">
        <v>771.62061935464533</v>
      </c>
      <c r="F41" s="22" t="s">
        <v>240</v>
      </c>
      <c r="G41" s="23">
        <v>57.249521386678396</v>
      </c>
      <c r="H41" s="24">
        <v>31.26182810468481</v>
      </c>
    </row>
    <row r="42" spans="1:9" ht="13.5" thickBot="1" x14ac:dyDescent="0.25">
      <c r="A42" s="56"/>
      <c r="B42" s="42" t="s">
        <v>241</v>
      </c>
      <c r="C42" s="86">
        <v>360.5394110893555</v>
      </c>
      <c r="D42" s="86">
        <v>432.13816479775892</v>
      </c>
      <c r="E42" s="86">
        <v>567.13710410456679</v>
      </c>
      <c r="F42" s="44"/>
      <c r="G42" s="57">
        <v>57.302388216307492</v>
      </c>
      <c r="H42" s="46">
        <v>31.239763183144788</v>
      </c>
    </row>
    <row r="43" spans="1:9" x14ac:dyDescent="0.2">
      <c r="A43" s="58"/>
      <c r="B43" s="62"/>
      <c r="C43" s="21"/>
      <c r="D43" s="21"/>
      <c r="E43" s="21"/>
      <c r="F43" s="63"/>
      <c r="G43" s="38"/>
      <c r="H43" s="60"/>
    </row>
    <row r="44" spans="1:9" x14ac:dyDescent="0.2">
      <c r="A44" s="58"/>
      <c r="B44" s="62"/>
      <c r="C44" s="21"/>
      <c r="D44" s="21"/>
      <c r="E44" s="21"/>
      <c r="F44" s="63"/>
      <c r="G44" s="38"/>
      <c r="H44" s="60"/>
    </row>
    <row r="45" spans="1:9" x14ac:dyDescent="0.2">
      <c r="A45" s="58"/>
      <c r="B45" s="62"/>
      <c r="C45" s="21"/>
      <c r="D45" s="21"/>
      <c r="E45" s="21"/>
      <c r="F45" s="63"/>
      <c r="G45" s="38"/>
      <c r="H45" s="60"/>
    </row>
    <row r="46" spans="1:9" x14ac:dyDescent="0.2">
      <c r="A46" s="58"/>
      <c r="B46" s="62"/>
      <c r="C46" s="21"/>
      <c r="D46" s="21"/>
      <c r="E46" s="21"/>
      <c r="F46" s="63"/>
      <c r="G46" s="38"/>
      <c r="H46" s="60"/>
    </row>
    <row r="47" spans="1:9" x14ac:dyDescent="0.2">
      <c r="A47" s="58"/>
      <c r="B47" s="62"/>
      <c r="C47" s="21"/>
      <c r="D47" s="21"/>
      <c r="E47" s="21"/>
      <c r="F47" s="63"/>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19</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9" ht="5.25" customHeight="1" x14ac:dyDescent="0.2"/>
    <row r="2" spans="1:9" x14ac:dyDescent="0.2">
      <c r="A2" s="92" t="s">
        <v>0</v>
      </c>
      <c r="B2" s="2"/>
      <c r="C2" s="2"/>
      <c r="D2" s="2"/>
      <c r="E2" s="2"/>
      <c r="F2" s="2"/>
      <c r="G2" s="2"/>
    </row>
    <row r="3" spans="1:9" ht="6" customHeight="1" x14ac:dyDescent="0.25">
      <c r="A3" s="3"/>
      <c r="B3" s="2"/>
      <c r="C3" s="2"/>
      <c r="D3" s="2"/>
      <c r="E3" s="2"/>
      <c r="F3" s="2"/>
      <c r="G3" s="2"/>
    </row>
    <row r="4" spans="1:9" ht="16.5" thickBot="1" x14ac:dyDescent="0.3">
      <c r="A4" s="4" t="s">
        <v>153</v>
      </c>
      <c r="B4" s="5"/>
      <c r="C4" s="5"/>
      <c r="D4" s="5"/>
      <c r="E4" s="5"/>
      <c r="F4" s="5"/>
      <c r="G4" s="5"/>
      <c r="H4" s="6"/>
    </row>
    <row r="5" spans="1:9" x14ac:dyDescent="0.2">
      <c r="A5" s="7"/>
      <c r="B5" s="8"/>
      <c r="C5" s="9"/>
      <c r="D5" s="8"/>
      <c r="E5" s="10"/>
      <c r="F5" s="11"/>
      <c r="G5" s="203" t="s">
        <v>1</v>
      </c>
      <c r="H5" s="204"/>
    </row>
    <row r="6" spans="1:9" x14ac:dyDescent="0.2">
      <c r="A6" s="12"/>
      <c r="B6" s="13"/>
      <c r="C6" s="14" t="s">
        <v>235</v>
      </c>
      <c r="D6" s="15" t="s">
        <v>236</v>
      </c>
      <c r="E6" s="15" t="s">
        <v>237</v>
      </c>
      <c r="F6" s="16"/>
      <c r="G6" s="17" t="s">
        <v>238</v>
      </c>
      <c r="H6" s="18" t="s">
        <v>239</v>
      </c>
    </row>
    <row r="7" spans="1:9" ht="12.75" customHeight="1" x14ac:dyDescent="0.2">
      <c r="A7" s="205" t="s">
        <v>60</v>
      </c>
      <c r="B7" s="19" t="s">
        <v>3</v>
      </c>
      <c r="C7" s="20">
        <v>27600.996666666666</v>
      </c>
      <c r="D7" s="20">
        <v>31589.073333333334</v>
      </c>
      <c r="E7" s="79">
        <v>38517.896988678702</v>
      </c>
      <c r="F7" s="22" t="s">
        <v>240</v>
      </c>
      <c r="G7" s="23">
        <v>39.552558387126027</v>
      </c>
      <c r="H7" s="24">
        <v>21.934241572176646</v>
      </c>
    </row>
    <row r="8" spans="1:9" ht="13.7" customHeight="1" thickBot="1" x14ac:dyDescent="0.25">
      <c r="A8" s="211"/>
      <c r="B8" s="42" t="s">
        <v>241</v>
      </c>
      <c r="C8" s="43">
        <v>19809.1175</v>
      </c>
      <c r="D8" s="43">
        <v>22635.919999999998</v>
      </c>
      <c r="E8" s="43">
        <v>27615.32</v>
      </c>
      <c r="F8" s="44"/>
      <c r="G8" s="57">
        <v>39.407118969333169</v>
      </c>
      <c r="H8" s="46">
        <v>21.997780518750744</v>
      </c>
    </row>
    <row r="9" spans="1:9" x14ac:dyDescent="0.2">
      <c r="A9" s="58"/>
      <c r="B9" s="58"/>
      <c r="C9" s="21"/>
      <c r="D9" s="21"/>
      <c r="E9" s="21"/>
      <c r="F9" s="59"/>
      <c r="G9" s="38"/>
      <c r="H9" s="60"/>
      <c r="I9" s="61"/>
    </row>
    <row r="10" spans="1:9" x14ac:dyDescent="0.2">
      <c r="A10" s="58"/>
      <c r="B10" s="58"/>
      <c r="C10" s="21"/>
      <c r="D10" s="21"/>
      <c r="E10" s="21"/>
      <c r="F10" s="59"/>
      <c r="G10" s="38"/>
      <c r="H10" s="60"/>
      <c r="I10" s="61"/>
    </row>
    <row r="11" spans="1:9" x14ac:dyDescent="0.2">
      <c r="A11" s="58"/>
      <c r="B11" s="58"/>
      <c r="C11" s="21"/>
      <c r="D11" s="21"/>
      <c r="E11" s="21"/>
      <c r="F11" s="59"/>
      <c r="G11" s="38"/>
      <c r="H11" s="60"/>
      <c r="I11" s="61"/>
    </row>
    <row r="12" spans="1:9" x14ac:dyDescent="0.2">
      <c r="A12" s="58"/>
      <c r="B12" s="58"/>
      <c r="C12" s="21"/>
      <c r="D12" s="21"/>
      <c r="E12" s="21"/>
      <c r="F12" s="59"/>
      <c r="G12" s="38"/>
      <c r="H12" s="60"/>
      <c r="I12" s="61"/>
    </row>
    <row r="13" spans="1:9" x14ac:dyDescent="0.2">
      <c r="A13" s="58"/>
      <c r="B13" s="58"/>
      <c r="C13" s="21"/>
      <c r="D13" s="21"/>
      <c r="E13" s="21"/>
      <c r="F13" s="59"/>
      <c r="G13" s="38"/>
      <c r="H13" s="60"/>
      <c r="I13" s="61"/>
    </row>
    <row r="14" spans="1:9" x14ac:dyDescent="0.2">
      <c r="A14" s="58"/>
      <c r="B14" s="62"/>
      <c r="C14" s="21"/>
      <c r="D14" s="21"/>
      <c r="E14" s="21"/>
      <c r="F14" s="63"/>
      <c r="G14" s="38"/>
      <c r="H14" s="60"/>
      <c r="I14" s="61"/>
    </row>
    <row r="15" spans="1:9" x14ac:dyDescent="0.2">
      <c r="A15" s="58"/>
      <c r="B15" s="58"/>
      <c r="C15" s="21"/>
      <c r="D15" s="21"/>
      <c r="E15" s="21"/>
      <c r="F15" s="59"/>
      <c r="G15" s="38"/>
      <c r="H15" s="60"/>
      <c r="I15" s="61"/>
    </row>
    <row r="16" spans="1:9" x14ac:dyDescent="0.2">
      <c r="A16" s="58"/>
      <c r="B16" s="62"/>
      <c r="C16" s="21"/>
      <c r="D16" s="21"/>
      <c r="E16" s="21"/>
      <c r="F16" s="63"/>
      <c r="G16" s="38"/>
      <c r="H16" s="60"/>
      <c r="I16" s="61"/>
    </row>
    <row r="17" spans="1:9" x14ac:dyDescent="0.2">
      <c r="A17" s="58"/>
      <c r="B17" s="58"/>
      <c r="C17" s="21"/>
      <c r="D17" s="21"/>
      <c r="E17" s="21"/>
      <c r="F17" s="59"/>
      <c r="G17" s="38"/>
      <c r="H17" s="60"/>
      <c r="I17" s="61"/>
    </row>
    <row r="18" spans="1:9" x14ac:dyDescent="0.2">
      <c r="A18" s="58"/>
      <c r="B18" s="62"/>
      <c r="C18" s="21"/>
      <c r="D18" s="21"/>
      <c r="E18" s="21"/>
      <c r="F18" s="63"/>
      <c r="G18" s="38"/>
      <c r="H18" s="60"/>
      <c r="I18" s="61"/>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60</v>
      </c>
      <c r="B35" s="19" t="s">
        <v>3</v>
      </c>
      <c r="C35" s="80">
        <v>790.99551165503715</v>
      </c>
      <c r="D35" s="80">
        <v>1120.2980383203794</v>
      </c>
      <c r="E35" s="81">
        <v>764.60301332990491</v>
      </c>
      <c r="F35" s="22" t="s">
        <v>240</v>
      </c>
      <c r="G35" s="23">
        <v>-3.3366179625861463</v>
      </c>
      <c r="H35" s="24">
        <v>-31.750035510528491</v>
      </c>
    </row>
    <row r="36" spans="1:9" ht="12.75" customHeight="1" thickBot="1" x14ac:dyDescent="0.25">
      <c r="A36" s="211"/>
      <c r="B36" s="42" t="s">
        <v>241</v>
      </c>
      <c r="C36" s="86">
        <v>621.67456663159805</v>
      </c>
      <c r="D36" s="86">
        <v>720.86371230413943</v>
      </c>
      <c r="E36" s="86">
        <v>523.63218490281838</v>
      </c>
      <c r="F36" s="44"/>
      <c r="G36" s="57">
        <v>-15.77069209377504</v>
      </c>
      <c r="H36" s="46">
        <v>-27.360446091938556</v>
      </c>
    </row>
    <row r="37" spans="1:9" x14ac:dyDescent="0.2">
      <c r="A37" s="58"/>
      <c r="B37" s="58"/>
      <c r="C37" s="21"/>
      <c r="D37" s="21"/>
      <c r="E37" s="21"/>
      <c r="F37" s="59"/>
      <c r="G37" s="38"/>
      <c r="H37" s="60"/>
      <c r="I37" s="61"/>
    </row>
    <row r="38" spans="1:9" x14ac:dyDescent="0.2">
      <c r="A38" s="58"/>
      <c r="B38" s="62"/>
      <c r="C38" s="21"/>
      <c r="D38" s="21"/>
      <c r="E38" s="21"/>
      <c r="F38" s="63"/>
      <c r="G38" s="38"/>
      <c r="H38" s="60"/>
      <c r="I38" s="61"/>
    </row>
    <row r="39" spans="1:9" x14ac:dyDescent="0.2">
      <c r="A39" s="58"/>
      <c r="B39" s="58"/>
      <c r="C39" s="21"/>
      <c r="D39" s="21"/>
      <c r="E39" s="21"/>
      <c r="F39" s="59"/>
      <c r="G39" s="38"/>
      <c r="H39" s="60"/>
      <c r="I39" s="61"/>
    </row>
    <row r="40" spans="1:9" x14ac:dyDescent="0.2">
      <c r="A40" s="58"/>
      <c r="B40" s="62"/>
      <c r="C40" s="21"/>
      <c r="D40" s="21"/>
      <c r="E40" s="21"/>
      <c r="F40" s="63"/>
      <c r="G40" s="38"/>
      <c r="H40" s="60"/>
      <c r="I40" s="61"/>
    </row>
    <row r="41" spans="1:9" x14ac:dyDescent="0.2">
      <c r="A41" s="58"/>
      <c r="B41" s="58"/>
      <c r="C41" s="21"/>
      <c r="D41" s="21"/>
      <c r="E41" s="21"/>
      <c r="F41" s="59"/>
      <c r="G41" s="38"/>
      <c r="H41" s="60"/>
      <c r="I41" s="61"/>
    </row>
    <row r="42" spans="1:9" x14ac:dyDescent="0.2">
      <c r="A42" s="58"/>
      <c r="B42" s="62"/>
      <c r="C42" s="21"/>
      <c r="D42" s="21"/>
      <c r="E42" s="21"/>
      <c r="F42" s="63"/>
      <c r="G42" s="38"/>
      <c r="H42" s="60"/>
      <c r="I42" s="61"/>
    </row>
    <row r="43" spans="1:9" x14ac:dyDescent="0.2">
      <c r="A43" s="58"/>
      <c r="B43" s="58"/>
      <c r="C43" s="21"/>
      <c r="D43" s="21"/>
      <c r="E43" s="21"/>
      <c r="F43" s="59"/>
      <c r="G43" s="38"/>
      <c r="H43" s="60"/>
      <c r="I43" s="61"/>
    </row>
    <row r="44" spans="1:9" x14ac:dyDescent="0.2">
      <c r="A44" s="58"/>
      <c r="B44" s="62"/>
      <c r="C44" s="21"/>
      <c r="D44" s="21"/>
      <c r="E44" s="21"/>
      <c r="F44" s="63"/>
      <c r="G44" s="38"/>
      <c r="H44" s="60"/>
      <c r="I44" s="61"/>
    </row>
    <row r="45" spans="1:9" x14ac:dyDescent="0.2">
      <c r="A45" s="58"/>
      <c r="B45" s="58"/>
      <c r="C45" s="21"/>
      <c r="D45" s="21"/>
      <c r="E45" s="21"/>
      <c r="F45" s="59"/>
      <c r="G45" s="38"/>
      <c r="H45" s="60"/>
      <c r="I45" s="61"/>
    </row>
    <row r="46" spans="1:9" x14ac:dyDescent="0.2">
      <c r="A46" s="58"/>
      <c r="B46" s="62"/>
      <c r="C46" s="21"/>
      <c r="D46" s="21"/>
      <c r="E46" s="21"/>
      <c r="F46" s="63"/>
      <c r="G46" s="38"/>
      <c r="H46" s="60"/>
      <c r="I46" s="61"/>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20</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212</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193</v>
      </c>
      <c r="B7" s="115" t="s">
        <v>3</v>
      </c>
      <c r="C7" s="20">
        <v>6379</v>
      </c>
      <c r="D7" s="20">
        <v>7894</v>
      </c>
      <c r="E7" s="79">
        <v>8838.6315256294893</v>
      </c>
      <c r="F7" s="22" t="s">
        <v>240</v>
      </c>
      <c r="G7" s="116">
        <v>38.558261884770161</v>
      </c>
      <c r="H7" s="117">
        <v>11.966449526596023</v>
      </c>
    </row>
    <row r="8" spans="1:8" ht="12.75" customHeight="1" x14ac:dyDescent="0.2">
      <c r="A8" s="217"/>
      <c r="B8" s="118" t="s">
        <v>241</v>
      </c>
      <c r="C8" s="26">
        <v>4715</v>
      </c>
      <c r="D8" s="26">
        <v>5145</v>
      </c>
      <c r="E8" s="26">
        <v>5997</v>
      </c>
      <c r="F8" s="27"/>
      <c r="G8" s="119">
        <v>27.189819724284206</v>
      </c>
      <c r="H8" s="120">
        <v>16.559766763848401</v>
      </c>
    </row>
    <row r="9" spans="1:8" x14ac:dyDescent="0.2">
      <c r="A9" s="121" t="s">
        <v>194</v>
      </c>
      <c r="B9" s="122" t="s">
        <v>3</v>
      </c>
      <c r="C9" s="20">
        <v>2198</v>
      </c>
      <c r="D9" s="20">
        <v>2696</v>
      </c>
      <c r="E9" s="20">
        <v>3027.3558406278748</v>
      </c>
      <c r="F9" s="22" t="s">
        <v>240</v>
      </c>
      <c r="G9" s="123">
        <v>37.73229484203253</v>
      </c>
      <c r="H9" s="124">
        <v>12.29064690756212</v>
      </c>
    </row>
    <row r="10" spans="1:8" x14ac:dyDescent="0.2">
      <c r="A10" s="125"/>
      <c r="B10" s="118" t="s">
        <v>241</v>
      </c>
      <c r="C10" s="26">
        <v>1654</v>
      </c>
      <c r="D10" s="26">
        <v>1606</v>
      </c>
      <c r="E10" s="26">
        <v>1938</v>
      </c>
      <c r="F10" s="27"/>
      <c r="G10" s="126">
        <v>17.170495767835561</v>
      </c>
      <c r="H10" s="120">
        <v>20.672478206724776</v>
      </c>
    </row>
    <row r="11" spans="1:8" x14ac:dyDescent="0.2">
      <c r="A11" s="121" t="s">
        <v>195</v>
      </c>
      <c r="B11" s="122" t="s">
        <v>3</v>
      </c>
      <c r="C11" s="20">
        <v>616</v>
      </c>
      <c r="D11" s="20">
        <v>770</v>
      </c>
      <c r="E11" s="20">
        <v>931.54237811348401</v>
      </c>
      <c r="F11" s="22" t="s">
        <v>240</v>
      </c>
      <c r="G11" s="127">
        <v>51.224412031409742</v>
      </c>
      <c r="H11" s="124">
        <v>20.979529625127796</v>
      </c>
    </row>
    <row r="12" spans="1:8" x14ac:dyDescent="0.2">
      <c r="A12" s="125"/>
      <c r="B12" s="118" t="s">
        <v>241</v>
      </c>
      <c r="C12" s="26">
        <v>443</v>
      </c>
      <c r="D12" s="26">
        <v>468</v>
      </c>
      <c r="E12" s="26">
        <v>597</v>
      </c>
      <c r="F12" s="27"/>
      <c r="G12" s="119">
        <v>34.762979683972901</v>
      </c>
      <c r="H12" s="120">
        <v>27.564102564102555</v>
      </c>
    </row>
    <row r="13" spans="1:8" x14ac:dyDescent="0.2">
      <c r="A13" s="121" t="s">
        <v>228</v>
      </c>
      <c r="B13" s="122" t="s">
        <v>3</v>
      </c>
      <c r="C13" s="20">
        <v>153</v>
      </c>
      <c r="D13" s="20">
        <v>287</v>
      </c>
      <c r="E13" s="20">
        <v>278.40804597701151</v>
      </c>
      <c r="F13" s="22" t="s">
        <v>240</v>
      </c>
      <c r="G13" s="116">
        <v>81.966043122229735</v>
      </c>
      <c r="H13" s="117">
        <v>-2.9937122031318779</v>
      </c>
    </row>
    <row r="14" spans="1:8" x14ac:dyDescent="0.2">
      <c r="A14" s="125"/>
      <c r="B14" s="118" t="s">
        <v>241</v>
      </c>
      <c r="C14" s="26">
        <v>102</v>
      </c>
      <c r="D14" s="26">
        <v>203</v>
      </c>
      <c r="E14" s="26">
        <v>193</v>
      </c>
      <c r="F14" s="27"/>
      <c r="G14" s="128">
        <v>89.215686274509807</v>
      </c>
      <c r="H14" s="117">
        <v>-4.926108374384242</v>
      </c>
    </row>
    <row r="15" spans="1:8" x14ac:dyDescent="0.2">
      <c r="A15" s="121" t="s">
        <v>196</v>
      </c>
      <c r="B15" s="122" t="s">
        <v>3</v>
      </c>
      <c r="C15" s="20">
        <v>2248</v>
      </c>
      <c r="D15" s="20">
        <v>3006</v>
      </c>
      <c r="E15" s="20">
        <v>3570.3911602179965</v>
      </c>
      <c r="F15" s="22" t="s">
        <v>240</v>
      </c>
      <c r="G15" s="127">
        <v>58.825229547063913</v>
      </c>
      <c r="H15" s="124">
        <v>18.775487698536139</v>
      </c>
    </row>
    <row r="16" spans="1:8" x14ac:dyDescent="0.2">
      <c r="A16" s="125"/>
      <c r="B16" s="118" t="s">
        <v>241</v>
      </c>
      <c r="C16" s="26">
        <v>1642</v>
      </c>
      <c r="D16" s="26">
        <v>1796</v>
      </c>
      <c r="E16" s="26">
        <v>2271</v>
      </c>
      <c r="F16" s="27"/>
      <c r="G16" s="119">
        <v>38.306942752740554</v>
      </c>
      <c r="H16" s="120">
        <v>26.44766146993318</v>
      </c>
    </row>
    <row r="17" spans="1:9" x14ac:dyDescent="0.2">
      <c r="A17" s="121" t="s">
        <v>197</v>
      </c>
      <c r="B17" s="122" t="s">
        <v>3</v>
      </c>
      <c r="C17" s="20">
        <v>489</v>
      </c>
      <c r="D17" s="20">
        <v>635</v>
      </c>
      <c r="E17" s="20">
        <v>710.8689264723522</v>
      </c>
      <c r="F17" s="22" t="s">
        <v>240</v>
      </c>
      <c r="G17" s="127">
        <v>45.371968603753004</v>
      </c>
      <c r="H17" s="124">
        <v>11.947862436590896</v>
      </c>
    </row>
    <row r="18" spans="1:9" x14ac:dyDescent="0.2">
      <c r="A18" s="121"/>
      <c r="B18" s="118" t="s">
        <v>241</v>
      </c>
      <c r="C18" s="26">
        <v>350</v>
      </c>
      <c r="D18" s="26">
        <v>397</v>
      </c>
      <c r="E18" s="26">
        <v>464</v>
      </c>
      <c r="F18" s="27"/>
      <c r="G18" s="119">
        <v>32.571428571428555</v>
      </c>
      <c r="H18" s="120">
        <v>16.876574307304779</v>
      </c>
    </row>
    <row r="19" spans="1:9" x14ac:dyDescent="0.2">
      <c r="A19" s="129" t="s">
        <v>198</v>
      </c>
      <c r="B19" s="122" t="s">
        <v>3</v>
      </c>
      <c r="C19" s="20">
        <v>20</v>
      </c>
      <c r="D19" s="20">
        <v>30</v>
      </c>
      <c r="E19" s="20">
        <v>50.833333333333336</v>
      </c>
      <c r="F19" s="22" t="s">
        <v>240</v>
      </c>
      <c r="G19" s="116">
        <v>154.16666666666669</v>
      </c>
      <c r="H19" s="117">
        <v>69.444444444444429</v>
      </c>
    </row>
    <row r="20" spans="1:9" x14ac:dyDescent="0.2">
      <c r="A20" s="125"/>
      <c r="B20" s="118" t="s">
        <v>241</v>
      </c>
      <c r="C20" s="26">
        <v>15</v>
      </c>
      <c r="D20" s="26">
        <v>16</v>
      </c>
      <c r="E20" s="26">
        <v>30</v>
      </c>
      <c r="F20" s="27"/>
      <c r="G20" s="128">
        <v>100</v>
      </c>
      <c r="H20" s="117">
        <v>87.5</v>
      </c>
    </row>
    <row r="21" spans="1:9" x14ac:dyDescent="0.2">
      <c r="A21" s="129" t="s">
        <v>199</v>
      </c>
      <c r="B21" s="122" t="s">
        <v>3</v>
      </c>
      <c r="C21" s="20">
        <v>13</v>
      </c>
      <c r="D21" s="20">
        <v>22</v>
      </c>
      <c r="E21" s="20">
        <v>15.194444444444443</v>
      </c>
      <c r="F21" s="22" t="s">
        <v>240</v>
      </c>
      <c r="G21" s="127">
        <v>16.880341880341859</v>
      </c>
      <c r="H21" s="124">
        <v>-30.934343434343432</v>
      </c>
    </row>
    <row r="22" spans="1:9" x14ac:dyDescent="0.2">
      <c r="A22" s="125"/>
      <c r="B22" s="118" t="s">
        <v>241</v>
      </c>
      <c r="C22" s="26">
        <v>8</v>
      </c>
      <c r="D22" s="26">
        <v>15</v>
      </c>
      <c r="E22" s="26">
        <v>10</v>
      </c>
      <c r="F22" s="27"/>
      <c r="G22" s="119">
        <v>25</v>
      </c>
      <c r="H22" s="120">
        <v>-33.333333333333343</v>
      </c>
    </row>
    <row r="23" spans="1:9" x14ac:dyDescent="0.2">
      <c r="A23" s="129" t="s">
        <v>200</v>
      </c>
      <c r="B23" s="122" t="s">
        <v>3</v>
      </c>
      <c r="C23" s="20">
        <v>454</v>
      </c>
      <c r="D23" s="20">
        <v>535</v>
      </c>
      <c r="E23" s="20">
        <v>585.21893939393931</v>
      </c>
      <c r="F23" s="22" t="s">
        <v>240</v>
      </c>
      <c r="G23" s="127">
        <v>28.902850086770769</v>
      </c>
      <c r="H23" s="124">
        <v>9.3867176437269819</v>
      </c>
    </row>
    <row r="24" spans="1:9" x14ac:dyDescent="0.2">
      <c r="A24" s="125"/>
      <c r="B24" s="118" t="s">
        <v>241</v>
      </c>
      <c r="C24" s="26">
        <v>330</v>
      </c>
      <c r="D24" s="26">
        <v>320</v>
      </c>
      <c r="E24" s="26">
        <v>372</v>
      </c>
      <c r="F24" s="27"/>
      <c r="G24" s="119">
        <v>12.72727272727272</v>
      </c>
      <c r="H24" s="120">
        <v>16.250000000000014</v>
      </c>
    </row>
    <row r="25" spans="1:9" x14ac:dyDescent="0.2">
      <c r="A25" s="121" t="s">
        <v>24</v>
      </c>
      <c r="B25" s="122" t="s">
        <v>3</v>
      </c>
      <c r="C25" s="20">
        <v>1553</v>
      </c>
      <c r="D25" s="20">
        <v>2497</v>
      </c>
      <c r="E25" s="20">
        <v>2530.0811678955843</v>
      </c>
      <c r="F25" s="22" t="s">
        <v>240</v>
      </c>
      <c r="G25" s="116">
        <v>62.915722337127136</v>
      </c>
      <c r="H25" s="117">
        <v>1.3248365196469365</v>
      </c>
      <c r="I25" s="130"/>
    </row>
    <row r="26" spans="1:9" ht="13.5" thickBot="1" x14ac:dyDescent="0.25">
      <c r="A26" s="131"/>
      <c r="B26" s="132" t="s">
        <v>241</v>
      </c>
      <c r="C26" s="43">
        <v>1150</v>
      </c>
      <c r="D26" s="43">
        <v>1881</v>
      </c>
      <c r="E26" s="43">
        <v>1895</v>
      </c>
      <c r="F26" s="44"/>
      <c r="G26" s="133">
        <v>64.782608695652186</v>
      </c>
      <c r="H26" s="134">
        <v>0.74428495481126333</v>
      </c>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213</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193</v>
      </c>
      <c r="B35" s="115" t="s">
        <v>3</v>
      </c>
      <c r="C35" s="80">
        <v>1443.9436886190492</v>
      </c>
      <c r="D35" s="80">
        <v>1934.5070014632761</v>
      </c>
      <c r="E35" s="81">
        <v>2136.4953945677426</v>
      </c>
      <c r="F35" s="22" t="s">
        <v>240</v>
      </c>
      <c r="G35" s="116">
        <v>47.962514840937615</v>
      </c>
      <c r="H35" s="117">
        <v>10.441336885918773</v>
      </c>
    </row>
    <row r="36" spans="1:8" ht="12.75" customHeight="1" x14ac:dyDescent="0.2">
      <c r="A36" s="217"/>
      <c r="B36" s="118" t="s">
        <v>241</v>
      </c>
      <c r="C36" s="82">
        <v>1072.5941125280385</v>
      </c>
      <c r="D36" s="82">
        <v>1422.9412700764178</v>
      </c>
      <c r="E36" s="82">
        <v>1576.6554695881948</v>
      </c>
      <c r="F36" s="27"/>
      <c r="G36" s="119">
        <v>46.994604125890135</v>
      </c>
      <c r="H36" s="120">
        <v>10.802568085155187</v>
      </c>
    </row>
    <row r="37" spans="1:8" x14ac:dyDescent="0.2">
      <c r="A37" s="121" t="s">
        <v>194</v>
      </c>
      <c r="B37" s="122" t="s">
        <v>3</v>
      </c>
      <c r="C37" s="80">
        <v>688.2422473786678</v>
      </c>
      <c r="D37" s="80">
        <v>863.05560912347437</v>
      </c>
      <c r="E37" s="80">
        <v>973.51819500498925</v>
      </c>
      <c r="F37" s="22" t="s">
        <v>240</v>
      </c>
      <c r="G37" s="123">
        <v>41.449932594644082</v>
      </c>
      <c r="H37" s="124">
        <v>12.799011409438776</v>
      </c>
    </row>
    <row r="38" spans="1:8" x14ac:dyDescent="0.2">
      <c r="A38" s="125"/>
      <c r="B38" s="118" t="s">
        <v>241</v>
      </c>
      <c r="C38" s="82">
        <v>531.99841509250166</v>
      </c>
      <c r="D38" s="82">
        <v>648.8070919707942</v>
      </c>
      <c r="E38" s="82">
        <v>738.608536154989</v>
      </c>
      <c r="F38" s="27"/>
      <c r="G38" s="126">
        <v>38.836604621568824</v>
      </c>
      <c r="H38" s="120">
        <v>13.841008413058049</v>
      </c>
    </row>
    <row r="39" spans="1:8" x14ac:dyDescent="0.2">
      <c r="A39" s="121" t="s">
        <v>195</v>
      </c>
      <c r="B39" s="122" t="s">
        <v>3</v>
      </c>
      <c r="C39" s="80">
        <v>109.81435476733348</v>
      </c>
      <c r="D39" s="80">
        <v>121.5662117554343</v>
      </c>
      <c r="E39" s="80">
        <v>154.77911340604891</v>
      </c>
      <c r="F39" s="22" t="s">
        <v>240</v>
      </c>
      <c r="G39" s="127">
        <v>40.946157480033861</v>
      </c>
      <c r="H39" s="124">
        <v>27.320832960915169</v>
      </c>
    </row>
    <row r="40" spans="1:8" x14ac:dyDescent="0.2">
      <c r="A40" s="125"/>
      <c r="B40" s="118" t="s">
        <v>241</v>
      </c>
      <c r="C40" s="82">
        <v>75.960946431562718</v>
      </c>
      <c r="D40" s="82">
        <v>85.703387908849265</v>
      </c>
      <c r="E40" s="82">
        <v>108.42482019687364</v>
      </c>
      <c r="F40" s="27"/>
      <c r="G40" s="119">
        <v>42.737584627857899</v>
      </c>
      <c r="H40" s="120">
        <v>26.511708396160486</v>
      </c>
    </row>
    <row r="41" spans="1:8" x14ac:dyDescent="0.2">
      <c r="A41" s="121" t="s">
        <v>228</v>
      </c>
      <c r="B41" s="122" t="s">
        <v>3</v>
      </c>
      <c r="C41" s="80">
        <v>139.54863849828595</v>
      </c>
      <c r="D41" s="80">
        <v>259.88181809067305</v>
      </c>
      <c r="E41" s="80">
        <v>307.17999377370234</v>
      </c>
      <c r="F41" s="22" t="s">
        <v>240</v>
      </c>
      <c r="G41" s="116">
        <v>120.12396328572947</v>
      </c>
      <c r="H41" s="117">
        <v>18.199878710455565</v>
      </c>
    </row>
    <row r="42" spans="1:8" x14ac:dyDescent="0.2">
      <c r="A42" s="125"/>
      <c r="B42" s="118" t="s">
        <v>241</v>
      </c>
      <c r="C42" s="82">
        <v>97.714580196964633</v>
      </c>
      <c r="D42" s="82">
        <v>170.3347856451702</v>
      </c>
      <c r="E42" s="82">
        <v>205.72160141178338</v>
      </c>
      <c r="F42" s="27"/>
      <c r="G42" s="128">
        <v>110.53316812814165</v>
      </c>
      <c r="H42" s="117">
        <v>20.77486147798875</v>
      </c>
    </row>
    <row r="43" spans="1:8" x14ac:dyDescent="0.2">
      <c r="A43" s="121" t="s">
        <v>196</v>
      </c>
      <c r="B43" s="122" t="s">
        <v>3</v>
      </c>
      <c r="C43" s="80">
        <v>54.389097560952472</v>
      </c>
      <c r="D43" s="80">
        <v>71.710858376738784</v>
      </c>
      <c r="E43" s="80">
        <v>88.404378645796612</v>
      </c>
      <c r="F43" s="22" t="s">
        <v>240</v>
      </c>
      <c r="G43" s="127">
        <v>62.54062415123559</v>
      </c>
      <c r="H43" s="124">
        <v>23.278929644597298</v>
      </c>
    </row>
    <row r="44" spans="1:8" x14ac:dyDescent="0.2">
      <c r="A44" s="125"/>
      <c r="B44" s="118" t="s">
        <v>241</v>
      </c>
      <c r="C44" s="82">
        <v>41.847031035401933</v>
      </c>
      <c r="D44" s="82">
        <v>55.394160876320917</v>
      </c>
      <c r="E44" s="82">
        <v>68.198788104909767</v>
      </c>
      <c r="F44" s="27"/>
      <c r="G44" s="119">
        <v>62.971628852748637</v>
      </c>
      <c r="H44" s="120">
        <v>23.115481895606038</v>
      </c>
    </row>
    <row r="45" spans="1:8" x14ac:dyDescent="0.2">
      <c r="A45" s="121" t="s">
        <v>197</v>
      </c>
      <c r="B45" s="122" t="s">
        <v>3</v>
      </c>
      <c r="C45" s="80">
        <v>22.229165078190494</v>
      </c>
      <c r="D45" s="80">
        <v>27.703010589347755</v>
      </c>
      <c r="E45" s="80">
        <v>29.598071349781037</v>
      </c>
      <c r="F45" s="22" t="s">
        <v>240</v>
      </c>
      <c r="G45" s="127">
        <v>33.149721303839385</v>
      </c>
      <c r="H45" s="124">
        <v>6.8406311087429827</v>
      </c>
    </row>
    <row r="46" spans="1:8" x14ac:dyDescent="0.2">
      <c r="A46" s="121"/>
      <c r="B46" s="118" t="s">
        <v>241</v>
      </c>
      <c r="C46" s="82">
        <v>15.024930633080384</v>
      </c>
      <c r="D46" s="82">
        <v>18.789824931264185</v>
      </c>
      <c r="E46" s="82">
        <v>20.051942500981951</v>
      </c>
      <c r="F46" s="27"/>
      <c r="G46" s="119">
        <v>33.457804170047865</v>
      </c>
      <c r="H46" s="120">
        <v>6.7170267649367048</v>
      </c>
    </row>
    <row r="47" spans="1:8" x14ac:dyDescent="0.2">
      <c r="A47" s="129" t="s">
        <v>198</v>
      </c>
      <c r="B47" s="122" t="s">
        <v>3</v>
      </c>
      <c r="C47" s="80">
        <v>10.160402538190496</v>
      </c>
      <c r="D47" s="80">
        <v>13.782414659347756</v>
      </c>
      <c r="E47" s="80">
        <v>16.935679437729213</v>
      </c>
      <c r="F47" s="22" t="s">
        <v>240</v>
      </c>
      <c r="G47" s="116">
        <v>66.683154275355633</v>
      </c>
      <c r="H47" s="117">
        <v>22.878899353407519</v>
      </c>
    </row>
    <row r="48" spans="1:8" x14ac:dyDescent="0.2">
      <c r="A48" s="125"/>
      <c r="B48" s="118" t="s">
        <v>241</v>
      </c>
      <c r="C48" s="82">
        <v>7.856347633080385</v>
      </c>
      <c r="D48" s="82">
        <v>10.661651901264181</v>
      </c>
      <c r="E48" s="82">
        <v>13.099015800981952</v>
      </c>
      <c r="F48" s="27"/>
      <c r="G48" s="128">
        <v>66.731621521258688</v>
      </c>
      <c r="H48" s="117">
        <v>22.86103431522433</v>
      </c>
    </row>
    <row r="49" spans="1:9" x14ac:dyDescent="0.2">
      <c r="A49" s="129" t="s">
        <v>199</v>
      </c>
      <c r="B49" s="122" t="s">
        <v>3</v>
      </c>
      <c r="C49" s="80">
        <v>9.1592425381904974</v>
      </c>
      <c r="D49" s="80">
        <v>13.016409659347755</v>
      </c>
      <c r="E49" s="80">
        <v>14.17992032859825</v>
      </c>
      <c r="F49" s="22" t="s">
        <v>240</v>
      </c>
      <c r="G49" s="127">
        <v>54.815425724053796</v>
      </c>
      <c r="H49" s="124">
        <v>8.9387987909163513</v>
      </c>
    </row>
    <row r="50" spans="1:9" x14ac:dyDescent="0.2">
      <c r="A50" s="125"/>
      <c r="B50" s="118" t="s">
        <v>241</v>
      </c>
      <c r="C50" s="82">
        <v>7.266397633080385</v>
      </c>
      <c r="D50" s="82">
        <v>9.9359979012641819</v>
      </c>
      <c r="E50" s="82">
        <v>10.96231980098195</v>
      </c>
      <c r="F50" s="27"/>
      <c r="G50" s="119">
        <v>50.863197343836845</v>
      </c>
      <c r="H50" s="120">
        <v>10.329328869797621</v>
      </c>
    </row>
    <row r="51" spans="1:9" x14ac:dyDescent="0.2">
      <c r="A51" s="129" t="s">
        <v>200</v>
      </c>
      <c r="B51" s="122" t="s">
        <v>3</v>
      </c>
      <c r="C51" s="80">
        <v>158.7355576909525</v>
      </c>
      <c r="D51" s="80">
        <v>171.73617129673877</v>
      </c>
      <c r="E51" s="80">
        <v>192.35862134381858</v>
      </c>
      <c r="F51" s="22" t="s">
        <v>240</v>
      </c>
      <c r="G51" s="127">
        <v>21.181809634819146</v>
      </c>
      <c r="H51" s="124">
        <v>12.008215794823315</v>
      </c>
    </row>
    <row r="52" spans="1:9" x14ac:dyDescent="0.2">
      <c r="A52" s="125"/>
      <c r="B52" s="118" t="s">
        <v>241</v>
      </c>
      <c r="C52" s="82">
        <v>115.20709616540194</v>
      </c>
      <c r="D52" s="82">
        <v>121.26623350632092</v>
      </c>
      <c r="E52" s="82">
        <v>137.06580400490978</v>
      </c>
      <c r="F52" s="27"/>
      <c r="G52" s="119">
        <v>18.973404041123885</v>
      </c>
      <c r="H52" s="120">
        <v>13.028829247644879</v>
      </c>
    </row>
    <row r="53" spans="1:9" x14ac:dyDescent="0.2">
      <c r="A53" s="121" t="s">
        <v>24</v>
      </c>
      <c r="B53" s="122" t="s">
        <v>3</v>
      </c>
      <c r="C53" s="80">
        <v>251.66498256828595</v>
      </c>
      <c r="D53" s="80">
        <v>392.05449791217308</v>
      </c>
      <c r="E53" s="80">
        <v>365.69192343862107</v>
      </c>
      <c r="F53" s="22" t="s">
        <v>240</v>
      </c>
      <c r="G53" s="116">
        <v>45.309021424701172</v>
      </c>
      <c r="H53" s="117">
        <v>-6.7242117139178106</v>
      </c>
      <c r="I53" s="130"/>
    </row>
    <row r="54" spans="1:9" ht="13.5" thickBot="1" x14ac:dyDescent="0.25">
      <c r="A54" s="131"/>
      <c r="B54" s="132" t="s">
        <v>241</v>
      </c>
      <c r="C54" s="86">
        <v>179.71836770696461</v>
      </c>
      <c r="D54" s="86">
        <v>302.04813543517025</v>
      </c>
      <c r="E54" s="86">
        <v>274.5226416117834</v>
      </c>
      <c r="F54" s="44"/>
      <c r="G54" s="133">
        <v>52.751577434422046</v>
      </c>
      <c r="H54" s="134">
        <v>-9.1129494256701804</v>
      </c>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21</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214</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201</v>
      </c>
      <c r="B7" s="115" t="s">
        <v>3</v>
      </c>
      <c r="C7" s="20">
        <v>1472</v>
      </c>
      <c r="D7" s="20">
        <v>1922</v>
      </c>
      <c r="E7" s="79">
        <v>1993.7623361539738</v>
      </c>
      <c r="F7" s="22" t="s">
        <v>240</v>
      </c>
      <c r="G7" s="116">
        <v>35.445810880025391</v>
      </c>
      <c r="H7" s="117">
        <v>3.7337323701339216</v>
      </c>
    </row>
    <row r="8" spans="1:8" ht="12.75" customHeight="1" x14ac:dyDescent="0.2">
      <c r="A8" s="217"/>
      <c r="B8" s="118" t="s">
        <v>241</v>
      </c>
      <c r="C8" s="26">
        <v>1127</v>
      </c>
      <c r="D8" s="26">
        <v>1435</v>
      </c>
      <c r="E8" s="26">
        <v>1501</v>
      </c>
      <c r="F8" s="27"/>
      <c r="G8" s="119">
        <v>33.185448092280382</v>
      </c>
      <c r="H8" s="120">
        <v>4.5993031358885048</v>
      </c>
    </row>
    <row r="9" spans="1:8" x14ac:dyDescent="0.2">
      <c r="A9" s="121" t="s">
        <v>202</v>
      </c>
      <c r="B9" s="122" t="s">
        <v>3</v>
      </c>
      <c r="C9" s="20">
        <v>477</v>
      </c>
      <c r="D9" s="20">
        <v>584</v>
      </c>
      <c r="E9" s="20">
        <v>559.19713797788665</v>
      </c>
      <c r="F9" s="22" t="s">
        <v>240</v>
      </c>
      <c r="G9" s="123">
        <v>17.232104397879809</v>
      </c>
      <c r="H9" s="124">
        <v>-4.2470654147454354</v>
      </c>
    </row>
    <row r="10" spans="1:8" x14ac:dyDescent="0.2">
      <c r="A10" s="125"/>
      <c r="B10" s="118" t="s">
        <v>241</v>
      </c>
      <c r="C10" s="26">
        <v>363</v>
      </c>
      <c r="D10" s="26">
        <v>442</v>
      </c>
      <c r="E10" s="26">
        <v>424</v>
      </c>
      <c r="F10" s="27"/>
      <c r="G10" s="126">
        <v>16.80440771349862</v>
      </c>
      <c r="H10" s="120">
        <v>-4.0723981900452486</v>
      </c>
    </row>
    <row r="11" spans="1:8" x14ac:dyDescent="0.2">
      <c r="A11" s="121" t="s">
        <v>203</v>
      </c>
      <c r="B11" s="122" t="s">
        <v>3</v>
      </c>
      <c r="C11" s="20">
        <v>121</v>
      </c>
      <c r="D11" s="20">
        <v>174</v>
      </c>
      <c r="E11" s="20">
        <v>149.26482539682539</v>
      </c>
      <c r="F11" s="22" t="s">
        <v>240</v>
      </c>
      <c r="G11" s="127">
        <v>23.359359832087108</v>
      </c>
      <c r="H11" s="124">
        <v>-14.215617588031378</v>
      </c>
    </row>
    <row r="12" spans="1:8" x14ac:dyDescent="0.2">
      <c r="A12" s="125"/>
      <c r="B12" s="118" t="s">
        <v>241</v>
      </c>
      <c r="C12" s="26">
        <v>84</v>
      </c>
      <c r="D12" s="26">
        <v>125</v>
      </c>
      <c r="E12" s="26">
        <v>106</v>
      </c>
      <c r="F12" s="27"/>
      <c r="G12" s="119">
        <v>26.19047619047619</v>
      </c>
      <c r="H12" s="120">
        <v>-15.200000000000003</v>
      </c>
    </row>
    <row r="13" spans="1:8" x14ac:dyDescent="0.2">
      <c r="A13" s="121" t="s">
        <v>204</v>
      </c>
      <c r="B13" s="122" t="s">
        <v>3</v>
      </c>
      <c r="C13" s="20">
        <v>66</v>
      </c>
      <c r="D13" s="20">
        <v>91</v>
      </c>
      <c r="E13" s="20">
        <v>74.03365384615384</v>
      </c>
      <c r="F13" s="22" t="s">
        <v>240</v>
      </c>
      <c r="G13" s="116">
        <v>12.172202797202786</v>
      </c>
      <c r="H13" s="117">
        <v>-18.644336432797985</v>
      </c>
    </row>
    <row r="14" spans="1:8" x14ac:dyDescent="0.2">
      <c r="A14" s="125"/>
      <c r="B14" s="118" t="s">
        <v>241</v>
      </c>
      <c r="C14" s="26">
        <v>52</v>
      </c>
      <c r="D14" s="26">
        <v>64</v>
      </c>
      <c r="E14" s="26">
        <v>54</v>
      </c>
      <c r="F14" s="27"/>
      <c r="G14" s="128">
        <v>3.8461538461538538</v>
      </c>
      <c r="H14" s="117">
        <v>-15.625</v>
      </c>
    </row>
    <row r="15" spans="1:8" x14ac:dyDescent="0.2">
      <c r="A15" s="121" t="s">
        <v>205</v>
      </c>
      <c r="B15" s="122" t="s">
        <v>3</v>
      </c>
      <c r="C15" s="20">
        <v>7</v>
      </c>
      <c r="D15" s="20">
        <v>9</v>
      </c>
      <c r="E15" s="20">
        <v>21.755555555555553</v>
      </c>
      <c r="F15" s="22" t="s">
        <v>240</v>
      </c>
      <c r="G15" s="127">
        <v>210.79365079365073</v>
      </c>
      <c r="H15" s="124">
        <v>141.72839506172838</v>
      </c>
    </row>
    <row r="16" spans="1:8" x14ac:dyDescent="0.2">
      <c r="A16" s="125"/>
      <c r="B16" s="118" t="s">
        <v>241</v>
      </c>
      <c r="C16" s="26">
        <v>3</v>
      </c>
      <c r="D16" s="26">
        <v>5</v>
      </c>
      <c r="E16" s="26">
        <v>11</v>
      </c>
      <c r="F16" s="27"/>
      <c r="G16" s="119">
        <v>266.66666666666663</v>
      </c>
      <c r="H16" s="120">
        <v>120.00000000000003</v>
      </c>
    </row>
    <row r="17" spans="1:9" x14ac:dyDescent="0.2">
      <c r="A17" s="121" t="s">
        <v>206</v>
      </c>
      <c r="B17" s="122" t="s">
        <v>3</v>
      </c>
      <c r="C17" s="20">
        <v>68</v>
      </c>
      <c r="D17" s="20">
        <v>86</v>
      </c>
      <c r="E17" s="20">
        <v>82.39774604099874</v>
      </c>
      <c r="F17" s="22" t="s">
        <v>240</v>
      </c>
      <c r="G17" s="127">
        <v>21.173155942645224</v>
      </c>
      <c r="H17" s="124">
        <v>-4.1886673941875046</v>
      </c>
    </row>
    <row r="18" spans="1:9" x14ac:dyDescent="0.2">
      <c r="A18" s="125"/>
      <c r="B18" s="118" t="s">
        <v>241</v>
      </c>
      <c r="C18" s="26">
        <v>47</v>
      </c>
      <c r="D18" s="26">
        <v>73</v>
      </c>
      <c r="E18" s="26">
        <v>65</v>
      </c>
      <c r="F18" s="27"/>
      <c r="G18" s="119">
        <v>38.297872340425556</v>
      </c>
      <c r="H18" s="120">
        <v>-10.958904109589042</v>
      </c>
    </row>
    <row r="19" spans="1:9" x14ac:dyDescent="0.2">
      <c r="A19" s="121" t="s">
        <v>207</v>
      </c>
      <c r="B19" s="122" t="s">
        <v>3</v>
      </c>
      <c r="C19" s="20">
        <v>775</v>
      </c>
      <c r="D19" s="20">
        <v>985</v>
      </c>
      <c r="E19" s="20">
        <v>1139.2173492885927</v>
      </c>
      <c r="F19" s="22" t="s">
        <v>240</v>
      </c>
      <c r="G19" s="116">
        <v>46.995787004979718</v>
      </c>
      <c r="H19" s="117">
        <v>15.656583684121088</v>
      </c>
    </row>
    <row r="20" spans="1:9" ht="13.5" thickBot="1" x14ac:dyDescent="0.25">
      <c r="A20" s="131"/>
      <c r="B20" s="132" t="s">
        <v>241</v>
      </c>
      <c r="C20" s="43">
        <v>579</v>
      </c>
      <c r="D20" s="43">
        <v>728</v>
      </c>
      <c r="E20" s="43">
        <v>845</v>
      </c>
      <c r="F20" s="44"/>
      <c r="G20" s="133">
        <v>45.941278065630399</v>
      </c>
      <c r="H20" s="134">
        <v>16.071428571428584</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215</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201</v>
      </c>
      <c r="B35" s="115" t="s">
        <v>3</v>
      </c>
      <c r="C35" s="80">
        <v>590.1806121196131</v>
      </c>
      <c r="D35" s="80">
        <v>604.64367061974201</v>
      </c>
      <c r="E35" s="81">
        <v>605.04948248313735</v>
      </c>
      <c r="F35" s="22" t="s">
        <v>240</v>
      </c>
      <c r="G35" s="116">
        <v>2.5193762821389782</v>
      </c>
      <c r="H35" s="117">
        <v>6.7115870572067138E-2</v>
      </c>
    </row>
    <row r="36" spans="1:8" ht="12.75" customHeight="1" x14ac:dyDescent="0.2">
      <c r="A36" s="217"/>
      <c r="B36" s="118" t="s">
        <v>241</v>
      </c>
      <c r="C36" s="82">
        <v>494.28345973779921</v>
      </c>
      <c r="D36" s="82">
        <v>480.08089587660135</v>
      </c>
      <c r="E36" s="82">
        <v>488.87138603305453</v>
      </c>
      <c r="F36" s="27"/>
      <c r="G36" s="119">
        <v>-1.0949332003979322</v>
      </c>
      <c r="H36" s="120">
        <v>1.8310435245298038</v>
      </c>
    </row>
    <row r="37" spans="1:8" x14ac:dyDescent="0.2">
      <c r="A37" s="121" t="s">
        <v>202</v>
      </c>
      <c r="B37" s="122" t="s">
        <v>3</v>
      </c>
      <c r="C37" s="80">
        <v>292.01322818698333</v>
      </c>
      <c r="D37" s="80">
        <v>308.46656184659793</v>
      </c>
      <c r="E37" s="80">
        <v>292.88193754653008</v>
      </c>
      <c r="F37" s="22" t="s">
        <v>240</v>
      </c>
      <c r="G37" s="123">
        <v>0.29748972844151922</v>
      </c>
      <c r="H37" s="124">
        <v>-5.0522896896092533</v>
      </c>
    </row>
    <row r="38" spans="1:8" x14ac:dyDescent="0.2">
      <c r="A38" s="125"/>
      <c r="B38" s="118" t="s">
        <v>241</v>
      </c>
      <c r="C38" s="82">
        <v>247.37767701316753</v>
      </c>
      <c r="D38" s="82">
        <v>248.45634000289678</v>
      </c>
      <c r="E38" s="82">
        <v>239.83785055145285</v>
      </c>
      <c r="F38" s="27"/>
      <c r="G38" s="126">
        <v>-3.0479009071272714</v>
      </c>
      <c r="H38" s="120">
        <v>-3.4688144610612284</v>
      </c>
    </row>
    <row r="39" spans="1:8" x14ac:dyDescent="0.2">
      <c r="A39" s="121" t="s">
        <v>203</v>
      </c>
      <c r="B39" s="122" t="s">
        <v>3</v>
      </c>
      <c r="C39" s="80">
        <v>76.889624110334239</v>
      </c>
      <c r="D39" s="80">
        <v>88.260294782787142</v>
      </c>
      <c r="E39" s="80">
        <v>66.883466972130009</v>
      </c>
      <c r="F39" s="22" t="s">
        <v>240</v>
      </c>
      <c r="G39" s="127">
        <v>-13.013663747199118</v>
      </c>
      <c r="H39" s="124">
        <v>-24.220208943632628</v>
      </c>
    </row>
    <row r="40" spans="1:8" x14ac:dyDescent="0.2">
      <c r="A40" s="125"/>
      <c r="B40" s="118" t="s">
        <v>241</v>
      </c>
      <c r="C40" s="82">
        <v>60.286528075425856</v>
      </c>
      <c r="D40" s="82">
        <v>69.582157733022228</v>
      </c>
      <c r="E40" s="82">
        <v>52.632805247724903</v>
      </c>
      <c r="F40" s="27"/>
      <c r="G40" s="119">
        <v>-12.695577390234192</v>
      </c>
      <c r="H40" s="120">
        <v>-24.358762414827382</v>
      </c>
    </row>
    <row r="41" spans="1:8" x14ac:dyDescent="0.2">
      <c r="A41" s="121" t="s">
        <v>204</v>
      </c>
      <c r="B41" s="122" t="s">
        <v>3</v>
      </c>
      <c r="C41" s="80">
        <v>39.094210398372923</v>
      </c>
      <c r="D41" s="80">
        <v>37.832628796081949</v>
      </c>
      <c r="E41" s="80">
        <v>32.249521061091571</v>
      </c>
      <c r="F41" s="22" t="s">
        <v>240</v>
      </c>
      <c r="G41" s="116">
        <v>-17.508191794983091</v>
      </c>
      <c r="H41" s="117">
        <v>-14.757387769915113</v>
      </c>
    </row>
    <row r="42" spans="1:8" x14ac:dyDescent="0.2">
      <c r="A42" s="125"/>
      <c r="B42" s="118" t="s">
        <v>241</v>
      </c>
      <c r="C42" s="82">
        <v>32.062046501645945</v>
      </c>
      <c r="D42" s="82">
        <v>30.667032125362102</v>
      </c>
      <c r="E42" s="82">
        <v>26.242977578113816</v>
      </c>
      <c r="F42" s="27"/>
      <c r="G42" s="128">
        <v>-18.149399550129772</v>
      </c>
      <c r="H42" s="117">
        <v>-14.426092910339122</v>
      </c>
    </row>
    <row r="43" spans="1:8" x14ac:dyDescent="0.2">
      <c r="A43" s="121" t="s">
        <v>205</v>
      </c>
      <c r="B43" s="122" t="s">
        <v>3</v>
      </c>
      <c r="C43" s="80">
        <v>4.1513737711961314</v>
      </c>
      <c r="D43" s="80">
        <v>5.5139225422974203</v>
      </c>
      <c r="E43" s="80">
        <v>6.4758928073105775</v>
      </c>
      <c r="F43" s="22" t="s">
        <v>240</v>
      </c>
      <c r="G43" s="127">
        <v>55.993971254597113</v>
      </c>
      <c r="H43" s="124">
        <v>17.446205630091143</v>
      </c>
    </row>
    <row r="44" spans="1:8" x14ac:dyDescent="0.2">
      <c r="A44" s="125"/>
      <c r="B44" s="118" t="s">
        <v>241</v>
      </c>
      <c r="C44" s="82">
        <v>3.3864963573779923</v>
      </c>
      <c r="D44" s="82">
        <v>3.4162771607660138</v>
      </c>
      <c r="E44" s="82">
        <v>4.3619564497305454</v>
      </c>
      <c r="F44" s="27"/>
      <c r="G44" s="119">
        <v>28.804404003783048</v>
      </c>
      <c r="H44" s="120">
        <v>27.681573960834214</v>
      </c>
    </row>
    <row r="45" spans="1:8" x14ac:dyDescent="0.2">
      <c r="A45" s="121" t="s">
        <v>206</v>
      </c>
      <c r="B45" s="122" t="s">
        <v>3</v>
      </c>
      <c r="C45" s="80">
        <v>31.627181855980655</v>
      </c>
      <c r="D45" s="80">
        <v>37.334640711487104</v>
      </c>
      <c r="E45" s="80">
        <v>42.783802989110768</v>
      </c>
      <c r="F45" s="22" t="s">
        <v>240</v>
      </c>
      <c r="G45" s="127">
        <v>35.27541968150544</v>
      </c>
      <c r="H45" s="124">
        <v>14.595459267261873</v>
      </c>
    </row>
    <row r="46" spans="1:8" x14ac:dyDescent="0.2">
      <c r="A46" s="125"/>
      <c r="B46" s="118" t="s">
        <v>241</v>
      </c>
      <c r="C46" s="82">
        <v>26.012621786889962</v>
      </c>
      <c r="D46" s="82">
        <v>32.862758803830069</v>
      </c>
      <c r="E46" s="82">
        <v>36.798050248652729</v>
      </c>
      <c r="F46" s="27"/>
      <c r="G46" s="119">
        <v>41.462289153792597</v>
      </c>
      <c r="H46" s="120">
        <v>11.974927206549708</v>
      </c>
    </row>
    <row r="47" spans="1:8" x14ac:dyDescent="0.2">
      <c r="A47" s="121" t="s">
        <v>207</v>
      </c>
      <c r="B47" s="122" t="s">
        <v>3</v>
      </c>
      <c r="C47" s="80">
        <v>146.40499379674586</v>
      </c>
      <c r="D47" s="80">
        <v>127.23562194049053</v>
      </c>
      <c r="E47" s="80">
        <v>165.36185827110543</v>
      </c>
      <c r="F47" s="22" t="s">
        <v>240</v>
      </c>
      <c r="G47" s="116">
        <v>12.948236247103281</v>
      </c>
      <c r="H47" s="117">
        <v>29.96506461723979</v>
      </c>
    </row>
    <row r="48" spans="1:8" ht="13.5" thickBot="1" x14ac:dyDescent="0.25">
      <c r="A48" s="131"/>
      <c r="B48" s="132" t="s">
        <v>241</v>
      </c>
      <c r="C48" s="86">
        <v>125.1580900032919</v>
      </c>
      <c r="D48" s="86">
        <v>95.096330050724205</v>
      </c>
      <c r="E48" s="86">
        <v>128.99774595737966</v>
      </c>
      <c r="F48" s="44"/>
      <c r="G48" s="133">
        <v>3.0678447985158357</v>
      </c>
      <c r="H48" s="134">
        <v>35.649552289318109</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22</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8"/>
  <sheetViews>
    <sheetView showGridLines="0" showRowColHeaders="0" zoomScaleNormal="100" workbookViewId="0"/>
  </sheetViews>
  <sheetFormatPr defaultColWidth="11.42578125" defaultRowHeight="12.75" x14ac:dyDescent="0.2"/>
  <cols>
    <col min="1" max="1" width="26.42578125" style="98" customWidth="1"/>
    <col min="2" max="2" width="8.140625" style="98" customWidth="1"/>
    <col min="3" max="4" width="10.42578125" style="98" customWidth="1"/>
    <col min="5" max="5" width="9.85546875" style="98" customWidth="1"/>
    <col min="6" max="6" width="1.5703125" style="98" customWidth="1"/>
    <col min="7" max="7" width="7.5703125" style="98" customWidth="1"/>
    <col min="8" max="8" width="8.85546875" style="98" customWidth="1"/>
    <col min="9" max="16384" width="11.42578125" style="98"/>
  </cols>
  <sheetData>
    <row r="1" spans="1:8" ht="5.25" customHeight="1" x14ac:dyDescent="0.2"/>
    <row r="2" spans="1:8" x14ac:dyDescent="0.2">
      <c r="A2" s="92" t="s">
        <v>0</v>
      </c>
      <c r="B2" s="99"/>
      <c r="C2" s="99"/>
      <c r="D2" s="99"/>
      <c r="E2" s="99"/>
      <c r="F2" s="99"/>
      <c r="G2" s="99"/>
    </row>
    <row r="3" spans="1:8" ht="6" customHeight="1" x14ac:dyDescent="0.25">
      <c r="A3" s="3"/>
      <c r="B3" s="99"/>
      <c r="C3" s="99"/>
      <c r="D3" s="99"/>
      <c r="E3" s="99"/>
      <c r="F3" s="99"/>
      <c r="G3" s="99"/>
    </row>
    <row r="4" spans="1:8" ht="16.5" thickBot="1" x14ac:dyDescent="0.3">
      <c r="A4" s="100" t="s">
        <v>216</v>
      </c>
      <c r="B4" s="101"/>
      <c r="C4" s="101"/>
      <c r="D4" s="101"/>
      <c r="E4" s="101"/>
      <c r="F4" s="101"/>
      <c r="G4" s="101"/>
      <c r="H4" s="102"/>
    </row>
    <row r="5" spans="1:8" x14ac:dyDescent="0.2">
      <c r="A5" s="103"/>
      <c r="B5" s="104"/>
      <c r="C5" s="105"/>
      <c r="D5" s="104"/>
      <c r="E5" s="106"/>
      <c r="F5" s="107"/>
      <c r="G5" s="214" t="s">
        <v>1</v>
      </c>
      <c r="H5" s="215"/>
    </row>
    <row r="6" spans="1:8" x14ac:dyDescent="0.2">
      <c r="A6" s="108"/>
      <c r="B6" s="109"/>
      <c r="C6" s="110" t="s">
        <v>235</v>
      </c>
      <c r="D6" s="111" t="s">
        <v>236</v>
      </c>
      <c r="E6" s="111" t="s">
        <v>237</v>
      </c>
      <c r="F6" s="112"/>
      <c r="G6" s="113" t="s">
        <v>238</v>
      </c>
      <c r="H6" s="114" t="s">
        <v>239</v>
      </c>
    </row>
    <row r="7" spans="1:8" ht="12.75" customHeight="1" x14ac:dyDescent="0.2">
      <c r="A7" s="216" t="s">
        <v>208</v>
      </c>
      <c r="B7" s="115" t="s">
        <v>3</v>
      </c>
      <c r="C7" s="20">
        <v>343016</v>
      </c>
      <c r="D7" s="20">
        <v>430654</v>
      </c>
      <c r="E7" s="79">
        <v>504081.12161508191</v>
      </c>
      <c r="F7" s="22" t="s">
        <v>240</v>
      </c>
      <c r="G7" s="116">
        <v>46.95557105647606</v>
      </c>
      <c r="H7" s="117">
        <v>17.050142716677868</v>
      </c>
    </row>
    <row r="8" spans="1:8" ht="12.75" customHeight="1" x14ac:dyDescent="0.2">
      <c r="A8" s="217"/>
      <c r="B8" s="118" t="s">
        <v>241</v>
      </c>
      <c r="C8" s="26">
        <v>233131.40685714287</v>
      </c>
      <c r="D8" s="26">
        <v>305821</v>
      </c>
      <c r="E8" s="26">
        <v>352691.6114285714</v>
      </c>
      <c r="F8" s="27"/>
      <c r="G8" s="119">
        <v>51.284469211259932</v>
      </c>
      <c r="H8" s="120">
        <v>15.326158579224909</v>
      </c>
    </row>
    <row r="9" spans="1:8" x14ac:dyDescent="0.2">
      <c r="A9" s="121" t="s">
        <v>227</v>
      </c>
      <c r="B9" s="122" t="s">
        <v>3</v>
      </c>
      <c r="C9" s="20">
        <v>12932</v>
      </c>
      <c r="D9" s="20">
        <v>14329</v>
      </c>
      <c r="E9" s="20">
        <v>16459.827566140084</v>
      </c>
      <c r="F9" s="22" t="s">
        <v>240</v>
      </c>
      <c r="G9" s="123">
        <v>27.279829617538539</v>
      </c>
      <c r="H9" s="124">
        <v>14.870734637030395</v>
      </c>
    </row>
    <row r="10" spans="1:8" x14ac:dyDescent="0.2">
      <c r="A10" s="125"/>
      <c r="B10" s="118" t="s">
        <v>241</v>
      </c>
      <c r="C10" s="26">
        <v>10206.232</v>
      </c>
      <c r="D10" s="26">
        <v>10144</v>
      </c>
      <c r="E10" s="26">
        <v>12066.77</v>
      </c>
      <c r="F10" s="27"/>
      <c r="G10" s="126">
        <v>18.229430802670365</v>
      </c>
      <c r="H10" s="120">
        <v>18.954751577287084</v>
      </c>
    </row>
    <row r="11" spans="1:8" x14ac:dyDescent="0.2">
      <c r="A11" s="121" t="s">
        <v>230</v>
      </c>
      <c r="B11" s="122" t="s">
        <v>3</v>
      </c>
      <c r="C11" s="20">
        <v>166709</v>
      </c>
      <c r="D11" s="20">
        <v>242248</v>
      </c>
      <c r="E11" s="20">
        <v>302348.84551159438</v>
      </c>
      <c r="F11" s="22" t="s">
        <v>240</v>
      </c>
      <c r="G11" s="127">
        <v>81.363241043731506</v>
      </c>
      <c r="H11" s="124">
        <v>24.809635378452825</v>
      </c>
    </row>
    <row r="12" spans="1:8" x14ac:dyDescent="0.2">
      <c r="A12" s="125"/>
      <c r="B12" s="118" t="s">
        <v>241</v>
      </c>
      <c r="C12" s="26">
        <v>112355.7136</v>
      </c>
      <c r="D12" s="26">
        <v>164355</v>
      </c>
      <c r="E12" s="26">
        <v>204675.89600000001</v>
      </c>
      <c r="F12" s="27"/>
      <c r="G12" s="119">
        <v>82.167768279832273</v>
      </c>
      <c r="H12" s="120">
        <v>24.532807641994452</v>
      </c>
    </row>
    <row r="13" spans="1:8" x14ac:dyDescent="0.2">
      <c r="A13" s="121" t="s">
        <v>209</v>
      </c>
      <c r="B13" s="122" t="s">
        <v>3</v>
      </c>
      <c r="C13" s="20">
        <v>135318</v>
      </c>
      <c r="D13" s="20">
        <v>135335</v>
      </c>
      <c r="E13" s="20">
        <v>131701.94333728962</v>
      </c>
      <c r="F13" s="22" t="s">
        <v>240</v>
      </c>
      <c r="G13" s="116">
        <v>-2.6722658202976532</v>
      </c>
      <c r="H13" s="117">
        <v>-2.6844915673775347</v>
      </c>
    </row>
    <row r="14" spans="1:8" x14ac:dyDescent="0.2">
      <c r="A14" s="125"/>
      <c r="B14" s="118" t="s">
        <v>241</v>
      </c>
      <c r="C14" s="26">
        <v>94269.713600000003</v>
      </c>
      <c r="D14" s="26">
        <v>104664</v>
      </c>
      <c r="E14" s="26">
        <v>98247.896000000008</v>
      </c>
      <c r="F14" s="27"/>
      <c r="G14" s="128">
        <v>4.2200005156268929</v>
      </c>
      <c r="H14" s="117">
        <v>-6.13019185202171</v>
      </c>
    </row>
    <row r="15" spans="1:8" x14ac:dyDescent="0.2">
      <c r="A15" s="121" t="s">
        <v>210</v>
      </c>
      <c r="B15" s="122" t="s">
        <v>3</v>
      </c>
      <c r="C15" s="20">
        <v>18521</v>
      </c>
      <c r="D15" s="20">
        <v>26769</v>
      </c>
      <c r="E15" s="20">
        <v>38417.432192724402</v>
      </c>
      <c r="F15" s="22" t="s">
        <v>240</v>
      </c>
      <c r="G15" s="127">
        <v>107.42633871132443</v>
      </c>
      <c r="H15" s="124">
        <v>43.514633317361131</v>
      </c>
    </row>
    <row r="16" spans="1:8" x14ac:dyDescent="0.2">
      <c r="A16" s="125"/>
      <c r="B16" s="118" t="s">
        <v>241</v>
      </c>
      <c r="C16" s="26">
        <v>11906.785599999999</v>
      </c>
      <c r="D16" s="26">
        <v>17314</v>
      </c>
      <c r="E16" s="26">
        <v>24797.815999999999</v>
      </c>
      <c r="F16" s="27"/>
      <c r="G16" s="119">
        <v>108.26625113666276</v>
      </c>
      <c r="H16" s="120">
        <v>43.224073004505016</v>
      </c>
    </row>
    <row r="17" spans="1:9" x14ac:dyDescent="0.2">
      <c r="A17" s="121" t="s">
        <v>211</v>
      </c>
      <c r="B17" s="122" t="s">
        <v>3</v>
      </c>
      <c r="C17" s="20">
        <v>23038</v>
      </c>
      <c r="D17" s="20">
        <v>28312</v>
      </c>
      <c r="E17" s="20">
        <v>36893.448838665907</v>
      </c>
      <c r="F17" s="22" t="s">
        <v>240</v>
      </c>
      <c r="G17" s="116">
        <v>60.141717330783536</v>
      </c>
      <c r="H17" s="117">
        <v>30.310288353581171</v>
      </c>
    </row>
    <row r="18" spans="1:9" ht="13.5" thickBot="1" x14ac:dyDescent="0.25">
      <c r="A18" s="131"/>
      <c r="B18" s="132" t="s">
        <v>241</v>
      </c>
      <c r="C18" s="43">
        <v>17691.571199999998</v>
      </c>
      <c r="D18" s="43">
        <v>20575</v>
      </c>
      <c r="E18" s="43">
        <v>27299.631999999998</v>
      </c>
      <c r="F18" s="44"/>
      <c r="G18" s="133">
        <v>54.308691361454663</v>
      </c>
      <c r="H18" s="134">
        <v>32.683509113001207</v>
      </c>
    </row>
    <row r="25" spans="1:9" x14ac:dyDescent="0.2">
      <c r="I25" s="130"/>
    </row>
    <row r="26" spans="1:9" x14ac:dyDescent="0.2">
      <c r="I26" s="130"/>
    </row>
    <row r="27" spans="1:9" x14ac:dyDescent="0.2">
      <c r="A27" s="135"/>
      <c r="B27" s="135"/>
      <c r="C27" s="64"/>
      <c r="D27" s="64"/>
      <c r="E27" s="21"/>
      <c r="F27" s="59"/>
      <c r="G27" s="128"/>
      <c r="H27" s="136"/>
      <c r="I27" s="130"/>
    </row>
    <row r="28" spans="1:9" x14ac:dyDescent="0.2">
      <c r="A28" s="135"/>
      <c r="B28" s="135"/>
      <c r="C28" s="64"/>
      <c r="D28" s="64"/>
      <c r="E28" s="21"/>
      <c r="F28" s="59"/>
      <c r="G28" s="128"/>
      <c r="H28" s="136"/>
      <c r="I28" s="130"/>
    </row>
    <row r="29" spans="1:9" x14ac:dyDescent="0.2">
      <c r="A29" s="135"/>
      <c r="B29" s="135"/>
      <c r="C29" s="64"/>
      <c r="D29" s="64"/>
      <c r="E29" s="21"/>
      <c r="F29" s="59"/>
      <c r="G29" s="128"/>
      <c r="H29" s="136"/>
      <c r="I29" s="130"/>
    </row>
    <row r="30" spans="1:9" x14ac:dyDescent="0.2">
      <c r="A30" s="137"/>
      <c r="B30" s="138"/>
      <c r="C30" s="21"/>
      <c r="D30" s="21"/>
      <c r="E30" s="21"/>
      <c r="F30" s="63"/>
      <c r="G30" s="128"/>
      <c r="H30" s="136"/>
      <c r="I30" s="130"/>
    </row>
    <row r="31" spans="1:9" x14ac:dyDescent="0.2">
      <c r="A31" s="139"/>
      <c r="B31" s="140"/>
      <c r="C31" s="49"/>
      <c r="D31" s="55"/>
      <c r="E31" s="49"/>
      <c r="F31" s="49"/>
      <c r="G31" s="141"/>
      <c r="H31" s="142"/>
      <c r="I31" s="130"/>
    </row>
    <row r="32" spans="1:9" ht="16.5" thickBot="1" x14ac:dyDescent="0.3">
      <c r="A32" s="100" t="s">
        <v>217</v>
      </c>
      <c r="B32" s="101"/>
      <c r="C32" s="101"/>
      <c r="D32" s="101"/>
      <c r="E32" s="101"/>
      <c r="F32" s="101"/>
      <c r="G32" s="101"/>
      <c r="H32" s="102"/>
    </row>
    <row r="33" spans="1:8" x14ac:dyDescent="0.2">
      <c r="A33" s="103"/>
      <c r="B33" s="104"/>
      <c r="C33" s="218" t="s">
        <v>16</v>
      </c>
      <c r="D33" s="214"/>
      <c r="E33" s="214"/>
      <c r="F33" s="219"/>
      <c r="G33" s="214" t="s">
        <v>1</v>
      </c>
      <c r="H33" s="215"/>
    </row>
    <row r="34" spans="1:8" x14ac:dyDescent="0.2">
      <c r="A34" s="108"/>
      <c r="B34" s="109"/>
      <c r="C34" s="110" t="s">
        <v>235</v>
      </c>
      <c r="D34" s="111" t="s">
        <v>236</v>
      </c>
      <c r="E34" s="111" t="s">
        <v>237</v>
      </c>
      <c r="F34" s="112"/>
      <c r="G34" s="113" t="s">
        <v>238</v>
      </c>
      <c r="H34" s="114" t="s">
        <v>239</v>
      </c>
    </row>
    <row r="35" spans="1:8" ht="12.75" customHeight="1" x14ac:dyDescent="0.2">
      <c r="A35" s="216" t="s">
        <v>208</v>
      </c>
      <c r="B35" s="115" t="s">
        <v>3</v>
      </c>
      <c r="C35" s="80">
        <v>1456.5722955892095</v>
      </c>
      <c r="D35" s="80">
        <v>1704.7751721129084</v>
      </c>
      <c r="E35" s="81">
        <v>2083.6626511659874</v>
      </c>
      <c r="F35" s="22" t="s">
        <v>240</v>
      </c>
      <c r="G35" s="116">
        <v>43.052470342579767</v>
      </c>
      <c r="H35" s="117">
        <v>22.225070217528085</v>
      </c>
    </row>
    <row r="36" spans="1:8" ht="12.75" customHeight="1" x14ac:dyDescent="0.2">
      <c r="A36" s="217"/>
      <c r="B36" s="118" t="s">
        <v>241</v>
      </c>
      <c r="C36" s="82">
        <v>992.97695116972727</v>
      </c>
      <c r="D36" s="82">
        <v>1182.7403741772171</v>
      </c>
      <c r="E36" s="82">
        <v>1437.1313267940177</v>
      </c>
      <c r="F36" s="27"/>
      <c r="G36" s="119">
        <v>44.729575555714206</v>
      </c>
      <c r="H36" s="120">
        <v>21.508604776747362</v>
      </c>
    </row>
    <row r="37" spans="1:8" x14ac:dyDescent="0.2">
      <c r="A37" s="121" t="s">
        <v>227</v>
      </c>
      <c r="B37" s="122" t="s">
        <v>3</v>
      </c>
      <c r="C37" s="80">
        <v>443.4755699491252</v>
      </c>
      <c r="D37" s="80">
        <v>526.161549591984</v>
      </c>
      <c r="E37" s="80">
        <v>626.03723759725813</v>
      </c>
      <c r="F37" s="22" t="s">
        <v>240</v>
      </c>
      <c r="G37" s="123">
        <v>41.166116020568182</v>
      </c>
      <c r="H37" s="124">
        <v>18.981943489166682</v>
      </c>
    </row>
    <row r="38" spans="1:8" x14ac:dyDescent="0.2">
      <c r="A38" s="125"/>
      <c r="B38" s="118" t="s">
        <v>241</v>
      </c>
      <c r="C38" s="82">
        <v>295.67739086050733</v>
      </c>
      <c r="D38" s="82">
        <v>359.34079379125086</v>
      </c>
      <c r="E38" s="82">
        <v>424.11141472496581</v>
      </c>
      <c r="F38" s="27"/>
      <c r="G38" s="126">
        <v>43.437214962793746</v>
      </c>
      <c r="H38" s="120">
        <v>18.024844952989568</v>
      </c>
    </row>
    <row r="39" spans="1:8" x14ac:dyDescent="0.2">
      <c r="A39" s="121" t="s">
        <v>230</v>
      </c>
      <c r="B39" s="122" t="s">
        <v>3</v>
      </c>
      <c r="C39" s="80">
        <v>269.37084535231759</v>
      </c>
      <c r="D39" s="80">
        <v>333.48805947324126</v>
      </c>
      <c r="E39" s="80">
        <v>428.85112626970073</v>
      </c>
      <c r="F39" s="22" t="s">
        <v>240</v>
      </c>
      <c r="G39" s="127">
        <v>59.204729713341663</v>
      </c>
      <c r="H39" s="124">
        <v>28.595646556908065</v>
      </c>
    </row>
    <row r="40" spans="1:8" x14ac:dyDescent="0.2">
      <c r="A40" s="125"/>
      <c r="B40" s="118" t="s">
        <v>241</v>
      </c>
      <c r="C40" s="82">
        <v>183.98409064243182</v>
      </c>
      <c r="D40" s="82">
        <v>224.83228826181474</v>
      </c>
      <c r="E40" s="82">
        <v>290.37588809101004</v>
      </c>
      <c r="F40" s="27"/>
      <c r="G40" s="119">
        <v>57.826628963994409</v>
      </c>
      <c r="H40" s="120">
        <v>29.15221845399293</v>
      </c>
    </row>
    <row r="41" spans="1:8" x14ac:dyDescent="0.2">
      <c r="A41" s="121" t="s">
        <v>209</v>
      </c>
      <c r="B41" s="122" t="s">
        <v>3</v>
      </c>
      <c r="C41" s="80">
        <v>501.75703808684722</v>
      </c>
      <c r="D41" s="80">
        <v>565.42085865239414</v>
      </c>
      <c r="E41" s="80">
        <v>656.24324588306445</v>
      </c>
      <c r="F41" s="22" t="s">
        <v>240</v>
      </c>
      <c r="G41" s="116">
        <v>30.789046504511163</v>
      </c>
      <c r="H41" s="117">
        <v>16.062793906672184</v>
      </c>
    </row>
    <row r="42" spans="1:8" x14ac:dyDescent="0.2">
      <c r="A42" s="125"/>
      <c r="B42" s="118" t="s">
        <v>241</v>
      </c>
      <c r="C42" s="82">
        <v>339.99546620781547</v>
      </c>
      <c r="D42" s="82">
        <v>405.1289090214305</v>
      </c>
      <c r="E42" s="82">
        <v>461.3753647636396</v>
      </c>
      <c r="F42" s="27"/>
      <c r="G42" s="128">
        <v>35.700446217607237</v>
      </c>
      <c r="H42" s="117">
        <v>13.883594700281861</v>
      </c>
    </row>
    <row r="43" spans="1:8" x14ac:dyDescent="0.2">
      <c r="A43" s="121" t="s">
        <v>210</v>
      </c>
      <c r="B43" s="122" t="s">
        <v>3</v>
      </c>
      <c r="C43" s="80">
        <v>98.631765388184178</v>
      </c>
      <c r="D43" s="80">
        <v>125.46354583305788</v>
      </c>
      <c r="E43" s="80">
        <v>167.79236381096587</v>
      </c>
      <c r="F43" s="22" t="s">
        <v>240</v>
      </c>
      <c r="G43" s="127">
        <v>70.120004595463655</v>
      </c>
      <c r="H43" s="124">
        <v>33.737941723909842</v>
      </c>
    </row>
    <row r="44" spans="1:8" x14ac:dyDescent="0.2">
      <c r="A44" s="125"/>
      <c r="B44" s="118" t="s">
        <v>241</v>
      </c>
      <c r="C44" s="82">
        <v>64.775150881794545</v>
      </c>
      <c r="D44" s="82">
        <v>82.182821036544411</v>
      </c>
      <c r="E44" s="82">
        <v>110.00474047088063</v>
      </c>
      <c r="F44" s="27"/>
      <c r="G44" s="119">
        <v>69.825525642732458</v>
      </c>
      <c r="H44" s="120">
        <v>33.853692393894079</v>
      </c>
    </row>
    <row r="45" spans="1:8" x14ac:dyDescent="0.2">
      <c r="A45" s="121" t="s">
        <v>211</v>
      </c>
      <c r="B45" s="122" t="s">
        <v>3</v>
      </c>
      <c r="C45" s="80">
        <v>143.33707681273535</v>
      </c>
      <c r="D45" s="80">
        <v>154.24115856223145</v>
      </c>
      <c r="E45" s="80">
        <v>206.38798449318881</v>
      </c>
      <c r="F45" s="22" t="s">
        <v>240</v>
      </c>
      <c r="G45" s="116">
        <v>43.987856514492165</v>
      </c>
      <c r="H45" s="117">
        <v>33.808632155675724</v>
      </c>
    </row>
    <row r="46" spans="1:8" ht="13.5" thickBot="1" x14ac:dyDescent="0.25">
      <c r="A46" s="131"/>
      <c r="B46" s="132" t="s">
        <v>241</v>
      </c>
      <c r="C46" s="86">
        <v>108.54485257717819</v>
      </c>
      <c r="D46" s="86">
        <v>111.25556206617678</v>
      </c>
      <c r="E46" s="86">
        <v>151.26391874352143</v>
      </c>
      <c r="F46" s="44"/>
      <c r="G46" s="133">
        <v>39.356141863999369</v>
      </c>
      <c r="H46" s="134">
        <v>35.96076990159554</v>
      </c>
    </row>
    <row r="53" spans="1:9" x14ac:dyDescent="0.2">
      <c r="I53" s="130"/>
    </row>
    <row r="54" spans="1:9" x14ac:dyDescent="0.2">
      <c r="I54" s="130"/>
    </row>
    <row r="55" spans="1:9" x14ac:dyDescent="0.2">
      <c r="A55" s="137"/>
      <c r="B55" s="138"/>
      <c r="C55" s="21"/>
      <c r="D55" s="21"/>
      <c r="E55" s="21"/>
      <c r="F55" s="63"/>
      <c r="G55" s="128"/>
      <c r="H55" s="136"/>
      <c r="I55" s="130"/>
    </row>
    <row r="56" spans="1:9" x14ac:dyDescent="0.2">
      <c r="A56" s="137"/>
      <c r="B56" s="138"/>
      <c r="C56" s="21"/>
      <c r="D56" s="21"/>
      <c r="E56" s="21"/>
      <c r="F56" s="63"/>
      <c r="G56" s="128"/>
      <c r="H56" s="136"/>
      <c r="I56" s="130"/>
    </row>
    <row r="57" spans="1:9" x14ac:dyDescent="0.2">
      <c r="A57" s="137"/>
      <c r="B57" s="138"/>
      <c r="C57" s="21"/>
      <c r="D57" s="21"/>
      <c r="E57" s="21"/>
      <c r="F57" s="63"/>
      <c r="G57" s="128"/>
      <c r="H57" s="136"/>
      <c r="I57" s="130"/>
    </row>
    <row r="58" spans="1:9" x14ac:dyDescent="0.2">
      <c r="A58" s="137"/>
      <c r="B58" s="138"/>
      <c r="C58" s="21"/>
      <c r="D58" s="21"/>
      <c r="E58" s="21"/>
      <c r="F58" s="63"/>
      <c r="G58" s="128"/>
      <c r="H58" s="136"/>
      <c r="I58" s="130"/>
    </row>
    <row r="59" spans="1:9" x14ac:dyDescent="0.2">
      <c r="A59" s="139"/>
      <c r="B59" s="140"/>
      <c r="C59" s="49"/>
      <c r="D59" s="49"/>
      <c r="E59" s="49"/>
      <c r="F59" s="49"/>
      <c r="G59" s="141"/>
      <c r="H59" s="142"/>
      <c r="I59" s="130"/>
    </row>
    <row r="60" spans="1:9" x14ac:dyDescent="0.2">
      <c r="A60" s="143"/>
      <c r="B60" s="143"/>
      <c r="C60" s="143"/>
      <c r="D60" s="143"/>
      <c r="E60" s="143"/>
      <c r="F60" s="143"/>
      <c r="G60" s="143"/>
      <c r="H60" s="143"/>
    </row>
    <row r="61" spans="1:9" ht="12.75" customHeight="1" x14ac:dyDescent="0.2">
      <c r="A61" s="144" t="s">
        <v>242</v>
      </c>
      <c r="G61" s="145"/>
      <c r="H61" s="212">
        <v>23</v>
      </c>
    </row>
    <row r="62" spans="1:9" ht="12.75" customHeight="1" x14ac:dyDescent="0.2">
      <c r="A62" s="144" t="s">
        <v>243</v>
      </c>
      <c r="G62" s="145"/>
      <c r="H62" s="213"/>
    </row>
    <row r="67" ht="12.75" customHeight="1" x14ac:dyDescent="0.2"/>
    <row r="68" ht="12.75" customHeight="1" x14ac:dyDescent="0.2"/>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heetViews>
  <sheetFormatPr defaultColWidth="11.42578125" defaultRowHeight="12.75" customHeight="1" x14ac:dyDescent="0.2"/>
  <cols>
    <col min="1" max="1" width="11.42578125" style="89" customWidth="1"/>
    <col min="2" max="2" width="27.140625" style="1" customWidth="1"/>
    <col min="3" max="5" width="10.5703125" style="1" customWidth="1"/>
    <col min="6" max="8" width="7.5703125" style="1" customWidth="1"/>
    <col min="9" max="16384" width="11.42578125" style="1"/>
  </cols>
  <sheetData>
    <row r="2" spans="1:8" ht="12.75" customHeight="1" x14ac:dyDescent="0.2">
      <c r="B2" s="2"/>
      <c r="C2" s="2"/>
      <c r="D2" s="2"/>
      <c r="E2" s="2"/>
      <c r="F2" s="2"/>
      <c r="G2" s="2"/>
    </row>
    <row r="3" spans="1:8" ht="12.75" customHeight="1" x14ac:dyDescent="0.2">
      <c r="A3" s="90"/>
      <c r="B3" s="2"/>
      <c r="C3" s="2"/>
      <c r="D3" s="2"/>
      <c r="E3" s="2"/>
      <c r="F3" s="2"/>
      <c r="G3" s="2"/>
    </row>
    <row r="4" spans="1:8" ht="12.75" customHeight="1" x14ac:dyDescent="0.25">
      <c r="A4" s="90"/>
      <c r="C4" s="74"/>
      <c r="D4" s="74" t="s">
        <v>88</v>
      </c>
      <c r="E4" s="74"/>
      <c r="F4" s="74"/>
      <c r="G4" s="74"/>
      <c r="H4" s="74"/>
    </row>
    <row r="5" spans="1:8" ht="12.75" customHeight="1" x14ac:dyDescent="0.25">
      <c r="A5" s="90"/>
      <c r="B5" s="75"/>
      <c r="C5" s="74"/>
      <c r="D5" s="74"/>
      <c r="E5" s="74"/>
      <c r="F5" s="74"/>
      <c r="G5" s="74"/>
      <c r="H5" s="74"/>
    </row>
    <row r="6" spans="1:8" ht="12.75" customHeight="1" x14ac:dyDescent="0.25">
      <c r="A6" s="90"/>
      <c r="B6" s="73"/>
      <c r="C6" s="73"/>
      <c r="D6" s="73"/>
      <c r="E6" s="73"/>
      <c r="F6" s="73"/>
      <c r="G6" s="73"/>
      <c r="H6" s="73"/>
    </row>
    <row r="7" spans="1:8" ht="12.75" customHeight="1" x14ac:dyDescent="0.25">
      <c r="A7" s="90"/>
      <c r="B7" s="73"/>
      <c r="C7" s="73"/>
      <c r="D7" s="73"/>
      <c r="E7" s="73"/>
      <c r="F7" s="73"/>
      <c r="G7" s="73"/>
      <c r="H7" s="73"/>
    </row>
    <row r="8" spans="1:8" ht="12.75" customHeight="1" x14ac:dyDescent="0.25">
      <c r="A8" s="91" t="s">
        <v>114</v>
      </c>
      <c r="B8" s="73" t="s">
        <v>89</v>
      </c>
      <c r="C8" s="73"/>
      <c r="D8" s="73"/>
      <c r="E8" s="73"/>
      <c r="F8" s="73"/>
      <c r="G8" s="73"/>
      <c r="H8" s="76">
        <v>2</v>
      </c>
    </row>
    <row r="9" spans="1:8" ht="12.75" customHeight="1" x14ac:dyDescent="0.25">
      <c r="B9" s="73"/>
      <c r="C9" s="73"/>
      <c r="D9" s="73"/>
      <c r="E9" s="73"/>
      <c r="F9" s="73"/>
      <c r="G9" s="73"/>
      <c r="H9" s="76"/>
    </row>
    <row r="10" spans="1:8" ht="12.75" customHeight="1" x14ac:dyDescent="0.25">
      <c r="B10" s="73" t="s">
        <v>90</v>
      </c>
      <c r="C10" s="73"/>
      <c r="D10" s="73"/>
      <c r="E10" s="73"/>
      <c r="F10" s="73"/>
      <c r="G10" s="73"/>
      <c r="H10" s="76"/>
    </row>
    <row r="11" spans="1:8" ht="12.75" customHeight="1" x14ac:dyDescent="0.25">
      <c r="A11" s="91" t="s">
        <v>115</v>
      </c>
      <c r="B11" s="73" t="str">
        <f>+'Tab2'!A6&amp;" ……………………………………………"</f>
        <v>Figur 1. Antall meldte skader etter bransjer  ……………………………………………</v>
      </c>
      <c r="C11" s="73"/>
      <c r="D11" s="73"/>
      <c r="E11" s="73"/>
      <c r="F11" s="73"/>
      <c r="G11" s="73"/>
      <c r="H11" s="76">
        <v>4</v>
      </c>
    </row>
    <row r="12" spans="1:8" ht="12.75" customHeight="1" x14ac:dyDescent="0.25">
      <c r="B12" s="73" t="str">
        <f>+'Tab2'!A32&amp;" ……………………………"</f>
        <v>Figur 2. Antall meldte skader etter bransjer  ……………………………</v>
      </c>
      <c r="C12" s="73"/>
      <c r="D12" s="73"/>
      <c r="E12" s="73"/>
      <c r="F12" s="73"/>
      <c r="G12" s="73"/>
      <c r="H12" s="76">
        <v>4</v>
      </c>
    </row>
    <row r="13" spans="1:8" ht="12.75" customHeight="1" x14ac:dyDescent="0.25">
      <c r="B13" s="73" t="str">
        <f>+'Tab2'!I6&amp;"  ………………………………………………………………………………………………….."</f>
        <v>Figur 3. Anslått erstatning etter bransje, pr.   …………………………………………………………………………………………………..</v>
      </c>
      <c r="C13" s="73"/>
      <c r="D13" s="73"/>
      <c r="E13" s="73"/>
      <c r="F13" s="73"/>
      <c r="G13" s="73"/>
      <c r="H13" s="76">
        <v>5</v>
      </c>
    </row>
    <row r="14" spans="1:8" ht="12.75" customHeight="1" x14ac:dyDescent="0.25">
      <c r="B14" s="73" t="str">
        <f>+'Tab2'!I32&amp;"  ………………………………………………………………………………………………….."</f>
        <v>Figur 4. Vannskader pr. kvartal  …………………………………………………………………………………………………..</v>
      </c>
      <c r="C14" s="73"/>
      <c r="D14" s="73"/>
      <c r="E14" s="73"/>
      <c r="F14" s="73"/>
      <c r="G14" s="73"/>
      <c r="H14" s="76">
        <v>5</v>
      </c>
    </row>
    <row r="15" spans="1:8" ht="12.75" customHeight="1" x14ac:dyDescent="0.25">
      <c r="B15" s="73" t="str">
        <f>+'Tab2'!P6&amp;" ……………………………"</f>
        <v>Figur 5. Antall meldte skader i motorvogn kvartalsvis (i 1000) ……………………………</v>
      </c>
      <c r="C15" s="73"/>
      <c r="D15" s="73"/>
      <c r="E15" s="73"/>
      <c r="F15" s="73"/>
      <c r="G15" s="73"/>
      <c r="H15" s="76">
        <v>6</v>
      </c>
    </row>
    <row r="16" spans="1:8" ht="12.75" customHeight="1" x14ac:dyDescent="0.25">
      <c r="B16" s="73" t="str">
        <f>+'Tab2'!P32&amp;" ……………………………"</f>
        <v>Figur 6. Anslått erstatning etter skadetype, motorvogn  2022 ……………………………</v>
      </c>
      <c r="C16" s="73"/>
      <c r="D16" s="73"/>
      <c r="E16" s="73"/>
      <c r="F16" s="73"/>
      <c r="G16" s="73"/>
      <c r="H16" s="76">
        <v>6</v>
      </c>
    </row>
    <row r="17" spans="1:14" ht="12.75" customHeight="1" x14ac:dyDescent="0.25">
      <c r="B17" s="73" t="str">
        <f>+'Tab2'!W6&amp;" ……………………………………………………………"</f>
        <v>Figur 7. Antall meldte skader i de Brann-kombinerte bransjer etter skadetype  ……………………………………………………………</v>
      </c>
      <c r="C17" s="73"/>
      <c r="D17" s="73"/>
      <c r="E17" s="73"/>
      <c r="F17" s="73"/>
      <c r="G17" s="73"/>
      <c r="H17" s="76">
        <v>7</v>
      </c>
    </row>
    <row r="18" spans="1:14" ht="12.75" customHeight="1" x14ac:dyDescent="0.25">
      <c r="B18" s="73" t="str">
        <f>+'Tab2'!W32&amp;" ……………………………………………………………"</f>
        <v>Figur 8. Anslått erstatning i de Brann-kombinerte bransjer etter skadetype  ……………………………………………………………</v>
      </c>
      <c r="C18" s="73"/>
      <c r="D18" s="73"/>
      <c r="E18" s="73"/>
      <c r="F18" s="73"/>
      <c r="G18" s="73"/>
      <c r="H18" s="76">
        <v>7</v>
      </c>
    </row>
    <row r="19" spans="1:14" ht="12.75" customHeight="1" x14ac:dyDescent="0.25">
      <c r="B19" s="73" t="str">
        <f>+'Tab2'!AD6&amp;"  ………………………………………………………………………………………………….."</f>
        <v>Figur 9. Brannskader pr. kvartal  …………………………………………………………………………………………………..</v>
      </c>
      <c r="C19" s="73"/>
      <c r="D19" s="73"/>
      <c r="E19" s="73"/>
      <c r="F19" s="73"/>
      <c r="G19" s="73"/>
      <c r="H19" s="76">
        <v>8</v>
      </c>
    </row>
    <row r="20" spans="1:14" ht="12.75" customHeight="1" x14ac:dyDescent="0.25">
      <c r="B20" s="73" t="str">
        <f>+'Tab2'!AD32&amp;"  ………………………………………………………………………………………………….."</f>
        <v>Figur 10. Innbrudd, tyverier og ran pr. kvartal  …………………………………………………………………………………………………..</v>
      </c>
      <c r="C20" s="73"/>
      <c r="D20" s="73"/>
      <c r="E20" s="73"/>
      <c r="F20" s="73"/>
      <c r="G20" s="73"/>
      <c r="H20" s="76">
        <v>8</v>
      </c>
    </row>
    <row r="22" spans="1:14" ht="12.75" customHeight="1" x14ac:dyDescent="0.25">
      <c r="B22" s="73" t="s">
        <v>91</v>
      </c>
      <c r="C22" s="73"/>
      <c r="D22" s="73"/>
      <c r="E22" s="73"/>
      <c r="F22" s="73"/>
      <c r="G22" s="73"/>
      <c r="H22" s="76"/>
    </row>
    <row r="23" spans="1:14" ht="12.75" customHeight="1" x14ac:dyDescent="0.25">
      <c r="A23" s="91" t="s">
        <v>116</v>
      </c>
      <c r="B23" s="73" t="s">
        <v>131</v>
      </c>
      <c r="C23" s="73"/>
      <c r="D23" s="73"/>
      <c r="E23" s="73"/>
      <c r="F23" s="73"/>
      <c r="G23" s="73"/>
      <c r="H23" s="76">
        <v>9</v>
      </c>
    </row>
    <row r="24" spans="1:14" ht="12.75" customHeight="1" x14ac:dyDescent="0.25">
      <c r="A24" s="91" t="s">
        <v>117</v>
      </c>
      <c r="B24" s="73" t="s">
        <v>93</v>
      </c>
      <c r="C24" s="73"/>
      <c r="D24" s="73"/>
      <c r="E24" s="73"/>
      <c r="F24" s="73"/>
      <c r="G24" s="73"/>
      <c r="H24" s="76">
        <f>H23+1</f>
        <v>10</v>
      </c>
    </row>
    <row r="25" spans="1:14" ht="12.75" customHeight="1" x14ac:dyDescent="0.25">
      <c r="B25" s="73"/>
      <c r="C25" s="73"/>
      <c r="D25" s="73"/>
      <c r="E25" s="73"/>
      <c r="F25" s="73"/>
      <c r="G25" s="73"/>
      <c r="H25" s="76"/>
    </row>
    <row r="26" spans="1:14" ht="12.75" customHeight="1" x14ac:dyDescent="0.25">
      <c r="A26" s="91" t="s">
        <v>118</v>
      </c>
      <c r="B26" s="73" t="s">
        <v>132</v>
      </c>
      <c r="C26" s="73"/>
      <c r="D26" s="73"/>
      <c r="E26" s="73"/>
      <c r="F26" s="73"/>
      <c r="G26" s="73"/>
      <c r="H26" s="76">
        <f>+H24+1</f>
        <v>11</v>
      </c>
    </row>
    <row r="27" spans="1:14" ht="12.75" customHeight="1" x14ac:dyDescent="0.25">
      <c r="B27" s="73" t="s">
        <v>94</v>
      </c>
      <c r="C27" s="73"/>
      <c r="D27" s="73"/>
      <c r="E27" s="73"/>
      <c r="F27" s="73"/>
      <c r="G27" s="73"/>
      <c r="H27" s="76">
        <f>+H26</f>
        <v>11</v>
      </c>
      <c r="N27" s="77"/>
    </row>
    <row r="28" spans="1:14" ht="12.75" customHeight="1" x14ac:dyDescent="0.25">
      <c r="A28" s="91" t="s">
        <v>119</v>
      </c>
      <c r="B28" s="73" t="s">
        <v>133</v>
      </c>
      <c r="C28" s="73"/>
      <c r="D28" s="73"/>
      <c r="E28" s="73"/>
      <c r="F28" s="73"/>
      <c r="G28" s="73"/>
      <c r="H28" s="76">
        <f>+H26+1</f>
        <v>12</v>
      </c>
      <c r="N28" s="77"/>
    </row>
    <row r="29" spans="1:14" ht="12.75" customHeight="1" x14ac:dyDescent="0.25">
      <c r="B29" s="73" t="s">
        <v>95</v>
      </c>
      <c r="C29" s="73"/>
      <c r="D29" s="73"/>
      <c r="E29" s="73"/>
      <c r="F29" s="73"/>
      <c r="G29" s="73"/>
      <c r="H29" s="76">
        <f>+H28</f>
        <v>12</v>
      </c>
      <c r="N29" s="77"/>
    </row>
    <row r="30" spans="1:14" ht="12.75" customHeight="1" x14ac:dyDescent="0.25">
      <c r="B30" s="73"/>
      <c r="C30" s="73"/>
      <c r="D30" s="73"/>
      <c r="E30" s="73"/>
      <c r="F30" s="73"/>
      <c r="G30" s="73"/>
      <c r="H30" s="76"/>
      <c r="N30" s="77"/>
    </row>
    <row r="31" spans="1:14" ht="12.75" customHeight="1" x14ac:dyDescent="0.25">
      <c r="A31" s="91" t="s">
        <v>120</v>
      </c>
      <c r="B31" s="73" t="s">
        <v>134</v>
      </c>
      <c r="C31" s="73"/>
      <c r="D31" s="73"/>
      <c r="E31" s="73"/>
      <c r="F31" s="73"/>
      <c r="G31" s="73"/>
      <c r="H31" s="76">
        <f>+H29+1</f>
        <v>13</v>
      </c>
      <c r="N31" s="77"/>
    </row>
    <row r="32" spans="1:14" ht="12.75" customHeight="1" x14ac:dyDescent="0.25">
      <c r="B32" s="73" t="s">
        <v>96</v>
      </c>
      <c r="C32" s="73"/>
      <c r="D32" s="73"/>
      <c r="E32" s="73"/>
      <c r="F32" s="73"/>
      <c r="G32" s="73"/>
      <c r="H32" s="76">
        <f>+H31</f>
        <v>13</v>
      </c>
      <c r="N32" s="77"/>
    </row>
    <row r="33" spans="1:14" ht="12.75" customHeight="1" x14ac:dyDescent="0.25">
      <c r="A33" s="91" t="s">
        <v>121</v>
      </c>
      <c r="B33" s="73" t="s">
        <v>135</v>
      </c>
      <c r="C33" s="73"/>
      <c r="D33" s="73"/>
      <c r="E33" s="73"/>
      <c r="F33" s="73"/>
      <c r="G33" s="73"/>
      <c r="H33" s="76">
        <f>+H31+1</f>
        <v>14</v>
      </c>
      <c r="N33" s="77"/>
    </row>
    <row r="34" spans="1:14" ht="12.75" customHeight="1" x14ac:dyDescent="0.25">
      <c r="B34" s="73" t="s">
        <v>97</v>
      </c>
      <c r="C34" s="73"/>
      <c r="D34" s="73"/>
      <c r="E34" s="73"/>
      <c r="F34" s="73"/>
      <c r="G34" s="73"/>
      <c r="H34" s="76">
        <f>+H33</f>
        <v>14</v>
      </c>
      <c r="N34" s="77"/>
    </row>
    <row r="35" spans="1:14" ht="12.75" customHeight="1" x14ac:dyDescent="0.25">
      <c r="A35" s="91" t="s">
        <v>122</v>
      </c>
      <c r="B35" s="73" t="s">
        <v>136</v>
      </c>
      <c r="C35" s="73"/>
      <c r="D35" s="73"/>
      <c r="E35" s="73"/>
      <c r="F35" s="73"/>
      <c r="G35" s="73"/>
      <c r="H35" s="76">
        <f>+H34+1</f>
        <v>15</v>
      </c>
      <c r="N35" s="77"/>
    </row>
    <row r="36" spans="1:14" ht="12.75" customHeight="1" x14ac:dyDescent="0.25">
      <c r="B36" s="73" t="s">
        <v>100</v>
      </c>
      <c r="C36" s="73"/>
      <c r="D36" s="73"/>
      <c r="E36" s="73"/>
      <c r="F36" s="73"/>
      <c r="G36" s="73"/>
      <c r="H36" s="76">
        <f>+H35</f>
        <v>15</v>
      </c>
      <c r="N36" s="77"/>
    </row>
    <row r="37" spans="1:14" ht="12.75" customHeight="1" x14ac:dyDescent="0.25">
      <c r="A37" s="91" t="s">
        <v>123</v>
      </c>
      <c r="B37" s="73" t="s">
        <v>137</v>
      </c>
      <c r="C37" s="73"/>
      <c r="D37" s="73"/>
      <c r="E37" s="73"/>
      <c r="F37" s="73"/>
      <c r="G37" s="73"/>
      <c r="H37" s="76">
        <f>+H36+1</f>
        <v>16</v>
      </c>
      <c r="N37" s="77"/>
    </row>
    <row r="38" spans="1:14" ht="12.75" customHeight="1" x14ac:dyDescent="0.25">
      <c r="B38" s="73" t="s">
        <v>101</v>
      </c>
      <c r="C38" s="73"/>
      <c r="D38" s="73"/>
      <c r="E38" s="73"/>
      <c r="F38" s="73"/>
      <c r="G38" s="73"/>
      <c r="H38" s="76">
        <f>+H37</f>
        <v>16</v>
      </c>
      <c r="N38" s="77"/>
    </row>
    <row r="39" spans="1:14" ht="12.75" customHeight="1" x14ac:dyDescent="0.25">
      <c r="B39" s="73"/>
      <c r="C39" s="73"/>
      <c r="D39" s="73"/>
      <c r="E39" s="73"/>
      <c r="F39" s="73"/>
      <c r="G39" s="73"/>
      <c r="H39" s="76"/>
      <c r="N39" s="77"/>
    </row>
    <row r="40" spans="1:14" ht="12.75" customHeight="1" x14ac:dyDescent="0.25">
      <c r="A40" s="91" t="s">
        <v>124</v>
      </c>
      <c r="B40" s="73" t="s">
        <v>166</v>
      </c>
      <c r="C40" s="73"/>
      <c r="D40" s="73"/>
      <c r="E40" s="73"/>
      <c r="F40" s="73"/>
      <c r="G40" s="73"/>
      <c r="H40" s="76">
        <f>+H38+1</f>
        <v>17</v>
      </c>
      <c r="N40" s="77"/>
    </row>
    <row r="41" spans="1:14" ht="12.75" customHeight="1" x14ac:dyDescent="0.25">
      <c r="B41" s="73" t="s">
        <v>167</v>
      </c>
      <c r="C41" s="73"/>
      <c r="D41" s="73"/>
      <c r="E41" s="73"/>
      <c r="F41" s="73"/>
      <c r="G41" s="73"/>
      <c r="H41" s="76">
        <f>+H40</f>
        <v>17</v>
      </c>
      <c r="N41" s="77"/>
    </row>
    <row r="42" spans="1:14" ht="12.75" customHeight="1" x14ac:dyDescent="0.25">
      <c r="B42" s="73"/>
      <c r="C42" s="73"/>
      <c r="D42" s="73"/>
      <c r="E42" s="73"/>
      <c r="F42" s="73"/>
      <c r="G42" s="73"/>
      <c r="H42" s="76"/>
      <c r="N42" s="77"/>
    </row>
    <row r="43" spans="1:14" ht="12.75" customHeight="1" x14ac:dyDescent="0.25">
      <c r="A43" s="91" t="s">
        <v>172</v>
      </c>
      <c r="B43" s="73" t="s">
        <v>138</v>
      </c>
      <c r="H43" s="76">
        <f>+H40+1</f>
        <v>18</v>
      </c>
      <c r="N43" s="77"/>
    </row>
    <row r="44" spans="1:14" ht="12.75" customHeight="1" x14ac:dyDescent="0.25">
      <c r="B44" s="73" t="s">
        <v>104</v>
      </c>
      <c r="H44" s="76">
        <f>+H43</f>
        <v>18</v>
      </c>
      <c r="N44" s="77"/>
    </row>
    <row r="45" spans="1:14" ht="12.75" customHeight="1" x14ac:dyDescent="0.25">
      <c r="A45" s="91" t="s">
        <v>125</v>
      </c>
      <c r="B45" s="73" t="s">
        <v>139</v>
      </c>
      <c r="H45" s="76">
        <f>+H43+1</f>
        <v>19</v>
      </c>
      <c r="N45" s="77"/>
    </row>
    <row r="46" spans="1:14" ht="12.75" customHeight="1" x14ac:dyDescent="0.25">
      <c r="B46" s="73" t="s">
        <v>102</v>
      </c>
      <c r="H46" s="76">
        <f>+H45</f>
        <v>19</v>
      </c>
      <c r="N46" s="77"/>
    </row>
    <row r="47" spans="1:14" ht="12.75" customHeight="1" x14ac:dyDescent="0.25">
      <c r="A47" s="91" t="s">
        <v>126</v>
      </c>
      <c r="B47" s="73" t="s">
        <v>140</v>
      </c>
      <c r="H47" s="76">
        <f>+H46+1</f>
        <v>20</v>
      </c>
      <c r="N47" s="77"/>
    </row>
    <row r="48" spans="1:14" ht="12.75" customHeight="1" x14ac:dyDescent="0.25">
      <c r="B48" s="73" t="s">
        <v>103</v>
      </c>
      <c r="H48" s="76">
        <f>H47</f>
        <v>20</v>
      </c>
      <c r="N48" s="77"/>
    </row>
    <row r="49" spans="1:14" ht="12.75" customHeight="1" x14ac:dyDescent="0.25">
      <c r="A49" s="91"/>
      <c r="B49" s="73"/>
      <c r="C49" s="73"/>
      <c r="D49" s="73"/>
      <c r="E49" s="73"/>
      <c r="F49" s="73"/>
      <c r="G49" s="73"/>
      <c r="H49" s="76"/>
      <c r="N49" s="77"/>
    </row>
    <row r="50" spans="1:14" ht="12.75" customHeight="1" x14ac:dyDescent="0.25">
      <c r="A50" s="91"/>
      <c r="B50" s="73"/>
      <c r="C50" s="73"/>
      <c r="D50" s="73"/>
      <c r="E50" s="73"/>
      <c r="F50" s="73"/>
      <c r="G50" s="73"/>
      <c r="H50" s="76"/>
      <c r="N50" s="77"/>
    </row>
    <row r="51" spans="1:14" ht="12.75" customHeight="1" x14ac:dyDescent="0.25">
      <c r="A51" s="91"/>
      <c r="B51" s="73"/>
      <c r="C51" s="73"/>
      <c r="D51" s="73"/>
      <c r="E51" s="73"/>
      <c r="F51" s="73"/>
      <c r="G51" s="73"/>
      <c r="H51" s="76"/>
      <c r="N51" s="77"/>
    </row>
    <row r="52" spans="1:14" ht="12.75" customHeight="1" x14ac:dyDescent="0.25">
      <c r="A52" s="91"/>
      <c r="B52" s="73"/>
      <c r="C52" s="73"/>
      <c r="D52" s="73"/>
      <c r="E52" s="73"/>
      <c r="F52" s="73"/>
      <c r="G52" s="73"/>
      <c r="H52" s="76"/>
      <c r="N52" s="77"/>
    </row>
    <row r="53" spans="1:14" ht="12.75" customHeight="1" x14ac:dyDescent="0.25">
      <c r="A53" s="91"/>
      <c r="B53" s="73"/>
      <c r="C53" s="73"/>
      <c r="D53" s="73"/>
      <c r="E53" s="73"/>
      <c r="F53" s="73"/>
      <c r="G53" s="73"/>
      <c r="H53" s="76"/>
      <c r="N53" s="77"/>
    </row>
    <row r="54" spans="1:14" ht="12.75" customHeight="1" x14ac:dyDescent="0.25">
      <c r="A54" s="91"/>
      <c r="B54" s="73"/>
      <c r="C54" s="73"/>
      <c r="D54" s="73"/>
      <c r="E54" s="73"/>
      <c r="F54" s="73"/>
      <c r="G54" s="73"/>
      <c r="H54" s="76"/>
      <c r="N54" s="77"/>
    </row>
    <row r="55" spans="1:14" ht="12.75" customHeight="1" x14ac:dyDescent="0.25">
      <c r="A55" s="91"/>
      <c r="B55" s="73"/>
      <c r="C55" s="73"/>
      <c r="D55" s="73"/>
      <c r="E55" s="73"/>
      <c r="F55" s="73"/>
      <c r="G55" s="73"/>
      <c r="H55" s="76"/>
      <c r="N55" s="77"/>
    </row>
    <row r="56" spans="1:14" ht="12.75" customHeight="1" x14ac:dyDescent="0.25">
      <c r="A56" s="91"/>
      <c r="B56" s="73"/>
      <c r="C56" s="73"/>
      <c r="D56" s="73"/>
      <c r="E56" s="73"/>
      <c r="F56" s="73"/>
      <c r="G56" s="73"/>
      <c r="H56" s="76"/>
      <c r="N56" s="77"/>
    </row>
    <row r="57" spans="1:14" ht="12.75" customHeight="1" x14ac:dyDescent="0.25">
      <c r="A57" s="91"/>
      <c r="B57" s="73"/>
      <c r="C57" s="73"/>
      <c r="D57" s="73"/>
      <c r="E57" s="73"/>
      <c r="F57" s="73"/>
      <c r="G57" s="73"/>
      <c r="H57" s="76"/>
      <c r="N57" s="77"/>
    </row>
    <row r="58" spans="1:14" ht="12.75" customHeight="1" x14ac:dyDescent="0.25">
      <c r="B58" s="73"/>
      <c r="C58" s="73"/>
      <c r="D58" s="73"/>
      <c r="E58" s="73"/>
      <c r="F58" s="73"/>
      <c r="G58" s="73"/>
      <c r="H58" s="76"/>
      <c r="N58" s="77"/>
    </row>
    <row r="59" spans="1:14" ht="12.75" customHeight="1" x14ac:dyDescent="0.2">
      <c r="B59" s="48"/>
      <c r="C59" s="49"/>
      <c r="D59" s="49"/>
      <c r="E59" s="97"/>
      <c r="F59" s="49"/>
      <c r="G59" s="50"/>
      <c r="H59" s="51"/>
      <c r="N59" s="77"/>
    </row>
    <row r="60" spans="1:14" ht="12.75" customHeight="1" x14ac:dyDescent="0.2">
      <c r="B60" s="52"/>
      <c r="C60" s="52"/>
      <c r="D60" s="52"/>
      <c r="E60" s="52"/>
      <c r="F60" s="52"/>
      <c r="G60" s="52"/>
      <c r="H60" s="52"/>
      <c r="I60" s="77"/>
    </row>
    <row r="61" spans="1:14" ht="12.75" customHeight="1" x14ac:dyDescent="0.2">
      <c r="B61" s="54" t="str">
        <f>+B123</f>
        <v>Finans Norge / Skadeforsikringsstatistikk</v>
      </c>
      <c r="H61" s="200">
        <v>1</v>
      </c>
      <c r="I61" s="77"/>
    </row>
    <row r="62" spans="1:14" ht="12.75" customHeight="1" x14ac:dyDescent="0.2">
      <c r="B62" s="54" t="str">
        <f>+B124</f>
        <v>Skadestatistikk for landbasert forsikring 3. kvartal 2022</v>
      </c>
      <c r="H62" s="201"/>
      <c r="I62" s="77"/>
    </row>
    <row r="63" spans="1:14" ht="12.75" customHeight="1" x14ac:dyDescent="0.2">
      <c r="I63" s="77"/>
    </row>
    <row r="64" spans="1:14" ht="12.75" customHeight="1" x14ac:dyDescent="0.2">
      <c r="I64" s="77"/>
    </row>
    <row r="66" spans="1:13" ht="12.75" customHeight="1" x14ac:dyDescent="0.25">
      <c r="A66" s="91" t="s">
        <v>127</v>
      </c>
      <c r="B66" s="73" t="s">
        <v>218</v>
      </c>
      <c r="H66" s="76">
        <f>H48+1</f>
        <v>21</v>
      </c>
    </row>
    <row r="67" spans="1:13" ht="12.75" customHeight="1" x14ac:dyDescent="0.25">
      <c r="B67" s="73" t="s">
        <v>219</v>
      </c>
      <c r="H67" s="76">
        <f>H66</f>
        <v>21</v>
      </c>
    </row>
    <row r="68" spans="1:13" ht="12.75" customHeight="1" x14ac:dyDescent="0.25">
      <c r="A68" s="91" t="s">
        <v>128</v>
      </c>
      <c r="B68" s="73" t="s">
        <v>220</v>
      </c>
      <c r="H68" s="76">
        <f>H67+1</f>
        <v>22</v>
      </c>
    </row>
    <row r="69" spans="1:13" ht="12.75" customHeight="1" x14ac:dyDescent="0.25">
      <c r="B69" s="73" t="s">
        <v>221</v>
      </c>
      <c r="H69" s="76">
        <f>H68</f>
        <v>22</v>
      </c>
    </row>
    <row r="70" spans="1:13" ht="12.75" customHeight="1" x14ac:dyDescent="0.25">
      <c r="A70" s="91" t="s">
        <v>129</v>
      </c>
      <c r="B70" s="73" t="s">
        <v>222</v>
      </c>
      <c r="H70" s="76">
        <f>H69+1</f>
        <v>23</v>
      </c>
      <c r="J70"/>
      <c r="K70"/>
      <c r="L70"/>
      <c r="M70"/>
    </row>
    <row r="71" spans="1:13" ht="12.75" customHeight="1" x14ac:dyDescent="0.25">
      <c r="B71" s="73" t="s">
        <v>223</v>
      </c>
      <c r="H71" s="76">
        <f>H70</f>
        <v>23</v>
      </c>
      <c r="J71"/>
      <c r="K71" s="71"/>
      <c r="L71" s="72"/>
      <c r="M71" s="72"/>
    </row>
    <row r="72" spans="1:13" ht="12.75" customHeight="1" x14ac:dyDescent="0.2">
      <c r="J72"/>
      <c r="K72" s="70"/>
      <c r="L72"/>
      <c r="M72"/>
    </row>
    <row r="73" spans="1:13" ht="12.75" customHeight="1" x14ac:dyDescent="0.25">
      <c r="A73" s="91" t="s">
        <v>130</v>
      </c>
      <c r="B73" s="73" t="s">
        <v>141</v>
      </c>
      <c r="C73" s="73"/>
      <c r="D73" s="73"/>
      <c r="E73" s="73"/>
      <c r="F73" s="73"/>
      <c r="G73" s="73"/>
      <c r="H73" s="76">
        <f>+H71+1</f>
        <v>24</v>
      </c>
      <c r="J73"/>
      <c r="K73" s="69"/>
      <c r="L73" s="69"/>
      <c r="M73" s="69"/>
    </row>
    <row r="74" spans="1:13" ht="12.75" customHeight="1" x14ac:dyDescent="0.25">
      <c r="B74" s="73" t="s">
        <v>107</v>
      </c>
      <c r="C74" s="73"/>
      <c r="D74" s="73"/>
      <c r="E74" s="73"/>
      <c r="F74" s="73"/>
      <c r="G74" s="73"/>
      <c r="H74" s="76">
        <f>+H73</f>
        <v>24</v>
      </c>
      <c r="J74"/>
      <c r="K74" s="69"/>
      <c r="L74" s="69"/>
      <c r="M74" s="69"/>
    </row>
    <row r="75" spans="1:13" ht="12.75" customHeight="1" x14ac:dyDescent="0.25">
      <c r="A75" s="91" t="s">
        <v>224</v>
      </c>
      <c r="B75" s="73" t="s">
        <v>142</v>
      </c>
      <c r="C75" s="73"/>
      <c r="D75" s="73"/>
      <c r="E75" s="73"/>
      <c r="F75" s="73"/>
      <c r="G75" s="73"/>
      <c r="H75" s="76">
        <f>+H74+1</f>
        <v>25</v>
      </c>
      <c r="J75"/>
      <c r="K75" s="69"/>
      <c r="L75" s="69"/>
      <c r="M75" s="69"/>
    </row>
    <row r="76" spans="1:13" ht="12.75" customHeight="1" x14ac:dyDescent="0.25">
      <c r="B76" s="73" t="s">
        <v>105</v>
      </c>
      <c r="C76" s="73"/>
      <c r="D76" s="73"/>
      <c r="E76" s="73"/>
      <c r="F76" s="73"/>
      <c r="G76" s="73"/>
      <c r="H76" s="76">
        <f>+H75</f>
        <v>25</v>
      </c>
      <c r="J76"/>
      <c r="K76" s="69"/>
      <c r="L76" s="69"/>
      <c r="M76" s="69"/>
    </row>
    <row r="77" spans="1:13" ht="12.75" customHeight="1" x14ac:dyDescent="0.25">
      <c r="A77" s="91" t="s">
        <v>225</v>
      </c>
      <c r="B77" s="73" t="s">
        <v>143</v>
      </c>
      <c r="C77" s="73"/>
      <c r="D77" s="73"/>
      <c r="E77" s="73"/>
      <c r="F77" s="73"/>
      <c r="G77" s="73"/>
      <c r="H77" s="76">
        <f>+H76+1</f>
        <v>26</v>
      </c>
      <c r="J77"/>
      <c r="K77"/>
      <c r="L77"/>
      <c r="M77"/>
    </row>
    <row r="78" spans="1:13" ht="12.75" customHeight="1" x14ac:dyDescent="0.25">
      <c r="B78" s="73" t="s">
        <v>106</v>
      </c>
      <c r="C78" s="73"/>
      <c r="D78" s="73"/>
      <c r="E78" s="73"/>
      <c r="F78" s="73"/>
      <c r="G78" s="73"/>
      <c r="H78" s="76">
        <f>+H77</f>
        <v>26</v>
      </c>
      <c r="J78"/>
      <c r="K78"/>
      <c r="L78"/>
      <c r="M78"/>
    </row>
    <row r="79" spans="1:13" ht="12.75" customHeight="1" x14ac:dyDescent="0.2">
      <c r="B79"/>
      <c r="C79"/>
      <c r="D79"/>
      <c r="E79"/>
      <c r="F79"/>
      <c r="G79"/>
      <c r="I79"/>
      <c r="J79"/>
      <c r="K79"/>
      <c r="L79"/>
      <c r="M79"/>
    </row>
    <row r="80" spans="1:13" ht="12.75" customHeight="1" x14ac:dyDescent="0.25">
      <c r="A80" s="91" t="s">
        <v>226</v>
      </c>
      <c r="B80" s="73" t="s">
        <v>92</v>
      </c>
      <c r="C80" s="73"/>
      <c r="D80" s="73"/>
      <c r="E80" s="73"/>
      <c r="F80" s="73"/>
      <c r="G80" s="73"/>
      <c r="H80" s="76">
        <f>+H78+1</f>
        <v>27</v>
      </c>
      <c r="I80"/>
      <c r="J80"/>
      <c r="K80"/>
      <c r="L80"/>
      <c r="M80"/>
    </row>
    <row r="81" spans="2:13" ht="12.75" customHeight="1" x14ac:dyDescent="0.2">
      <c r="C81"/>
      <c r="D81"/>
      <c r="E81"/>
      <c r="F81"/>
      <c r="G81"/>
      <c r="I81" s="68"/>
      <c r="J81"/>
      <c r="K81"/>
      <c r="L81"/>
      <c r="M81"/>
    </row>
    <row r="82" spans="2:13" ht="12.75" customHeight="1" x14ac:dyDescent="0.2">
      <c r="C82"/>
      <c r="D82"/>
      <c r="E82"/>
      <c r="F82"/>
      <c r="G82"/>
      <c r="I82" s="68"/>
      <c r="J82"/>
      <c r="K82"/>
      <c r="L82"/>
      <c r="M82"/>
    </row>
    <row r="83" spans="2:13" ht="12.75" customHeight="1" x14ac:dyDescent="0.2">
      <c r="C83"/>
      <c r="D83"/>
      <c r="E83"/>
      <c r="F83"/>
      <c r="G83"/>
      <c r="I83" s="68"/>
      <c r="J83"/>
      <c r="K83"/>
      <c r="L83"/>
      <c r="M83"/>
    </row>
    <row r="84" spans="2:13" ht="12.75" customHeight="1" x14ac:dyDescent="0.2">
      <c r="C84"/>
      <c r="D84"/>
      <c r="E84"/>
      <c r="F84"/>
      <c r="G84"/>
      <c r="I84" s="68"/>
      <c r="J84"/>
      <c r="K84"/>
      <c r="L84"/>
      <c r="M84"/>
    </row>
    <row r="85" spans="2:13" ht="12.75" customHeight="1" x14ac:dyDescent="0.2">
      <c r="C85"/>
      <c r="D85"/>
      <c r="E85"/>
      <c r="F85"/>
      <c r="G85"/>
      <c r="I85" s="68"/>
      <c r="J85"/>
      <c r="K85"/>
      <c r="L85"/>
      <c r="M85"/>
    </row>
    <row r="86" spans="2:13" ht="12.75" customHeight="1" x14ac:dyDescent="0.2">
      <c r="C86"/>
      <c r="D86"/>
      <c r="E86"/>
      <c r="F86"/>
      <c r="G86"/>
      <c r="I86" s="68"/>
      <c r="J86"/>
      <c r="K86"/>
      <c r="L86"/>
      <c r="M86"/>
    </row>
    <row r="87" spans="2:13" ht="12.75" customHeight="1" x14ac:dyDescent="0.2">
      <c r="C87"/>
      <c r="D87"/>
      <c r="E87"/>
      <c r="F87"/>
      <c r="G87"/>
      <c r="I87" s="68"/>
      <c r="J87"/>
      <c r="K87"/>
      <c r="L87"/>
      <c r="M87"/>
    </row>
    <row r="88" spans="2:13" ht="12.75" customHeight="1" x14ac:dyDescent="0.2">
      <c r="C88"/>
      <c r="D88"/>
      <c r="E88"/>
      <c r="F88"/>
      <c r="G88"/>
      <c r="I88" s="68"/>
      <c r="J88"/>
      <c r="K88"/>
      <c r="L88"/>
      <c r="M88"/>
    </row>
    <row r="89" spans="2:13" ht="12.75" customHeight="1" x14ac:dyDescent="0.2">
      <c r="C89"/>
      <c r="D89"/>
      <c r="E89"/>
      <c r="F89"/>
      <c r="G89"/>
      <c r="I89"/>
      <c r="J89"/>
      <c r="K89"/>
      <c r="L89"/>
      <c r="M89"/>
    </row>
    <row r="90" spans="2:13" ht="12.75" customHeight="1" x14ac:dyDescent="0.2">
      <c r="C90"/>
      <c r="D90"/>
      <c r="E90"/>
      <c r="F90"/>
      <c r="G90"/>
      <c r="I90"/>
      <c r="J90"/>
      <c r="K90"/>
      <c r="L90"/>
      <c r="M90"/>
    </row>
    <row r="91" spans="2:13" ht="12.75" customHeight="1" x14ac:dyDescent="0.25">
      <c r="B91" s="88"/>
      <c r="C91"/>
      <c r="D91"/>
      <c r="E91"/>
      <c r="F91"/>
      <c r="G91"/>
      <c r="I91"/>
      <c r="J91"/>
      <c r="K91"/>
      <c r="L91"/>
      <c r="M91"/>
    </row>
    <row r="92" spans="2:13" ht="12.75" customHeight="1" x14ac:dyDescent="0.2">
      <c r="C92"/>
      <c r="D92"/>
      <c r="E92"/>
      <c r="F92"/>
      <c r="G92"/>
      <c r="I92"/>
      <c r="J92"/>
      <c r="K92"/>
      <c r="L92"/>
      <c r="M92"/>
    </row>
    <row r="93" spans="2:13" ht="12.75" customHeight="1" x14ac:dyDescent="0.2">
      <c r="C93"/>
      <c r="D93"/>
      <c r="E93"/>
      <c r="F93"/>
      <c r="G93"/>
      <c r="I93"/>
      <c r="J93"/>
      <c r="K93"/>
      <c r="L93"/>
      <c r="M93"/>
    </row>
    <row r="94" spans="2:13" ht="12.75" customHeight="1" x14ac:dyDescent="0.2">
      <c r="B94"/>
      <c r="C94"/>
      <c r="D94"/>
      <c r="E94"/>
      <c r="F94"/>
      <c r="G94"/>
      <c r="I94"/>
      <c r="J94"/>
      <c r="K94"/>
      <c r="L94"/>
      <c r="M94"/>
    </row>
    <row r="95" spans="2:13" ht="12.75" customHeight="1" x14ac:dyDescent="0.2">
      <c r="B95"/>
      <c r="C95"/>
      <c r="D95"/>
      <c r="E95"/>
      <c r="F95"/>
      <c r="G95"/>
      <c r="I95"/>
      <c r="J95"/>
      <c r="K95"/>
      <c r="L95"/>
      <c r="M95"/>
    </row>
    <row r="96" spans="2:13" ht="12.75" customHeight="1" x14ac:dyDescent="0.2">
      <c r="C96"/>
      <c r="D96"/>
      <c r="E96"/>
      <c r="F96"/>
      <c r="G96"/>
      <c r="I96"/>
      <c r="J96"/>
      <c r="K96"/>
      <c r="L96"/>
      <c r="M96"/>
    </row>
    <row r="97" spans="2:13" ht="12.75" customHeight="1" x14ac:dyDescent="0.2">
      <c r="C97"/>
      <c r="D97"/>
      <c r="E97"/>
      <c r="F97"/>
      <c r="G97"/>
      <c r="I97"/>
      <c r="J97"/>
      <c r="K97"/>
      <c r="L97"/>
      <c r="M97"/>
    </row>
    <row r="98" spans="2:13" ht="12.75" customHeight="1" x14ac:dyDescent="0.2">
      <c r="B98"/>
      <c r="C98"/>
      <c r="D98"/>
      <c r="E98"/>
      <c r="F98"/>
      <c r="G98"/>
      <c r="I98"/>
      <c r="J98"/>
      <c r="K98"/>
      <c r="L98"/>
      <c r="M98"/>
    </row>
    <row r="99" spans="2:13" ht="12.75" customHeight="1" x14ac:dyDescent="0.2">
      <c r="C99"/>
      <c r="D99"/>
      <c r="E99"/>
      <c r="F99"/>
      <c r="G99"/>
      <c r="I99"/>
      <c r="J99"/>
      <c r="K99"/>
      <c r="L99"/>
      <c r="M99"/>
    </row>
    <row r="100" spans="2:13" ht="12.75" customHeight="1" x14ac:dyDescent="0.2">
      <c r="C100"/>
      <c r="D100"/>
      <c r="E100"/>
      <c r="F100"/>
      <c r="G100"/>
      <c r="I100"/>
      <c r="J100"/>
      <c r="K100"/>
      <c r="L100"/>
      <c r="M100"/>
    </row>
    <row r="101" spans="2:13" ht="12.75" customHeight="1" x14ac:dyDescent="0.2">
      <c r="B101"/>
      <c r="C101"/>
      <c r="D101"/>
      <c r="E101"/>
      <c r="F101"/>
      <c r="G101"/>
      <c r="I101"/>
      <c r="J101"/>
      <c r="K101"/>
      <c r="L101"/>
      <c r="M101"/>
    </row>
    <row r="102" spans="2:13" ht="12.75" customHeight="1" x14ac:dyDescent="0.2">
      <c r="B102"/>
      <c r="C102"/>
      <c r="D102"/>
      <c r="E102"/>
      <c r="F102"/>
      <c r="G102"/>
      <c r="I102"/>
      <c r="J102"/>
      <c r="K102"/>
      <c r="L102"/>
      <c r="M102"/>
    </row>
    <row r="103" spans="2:13" ht="12.75" customHeight="1" x14ac:dyDescent="0.2">
      <c r="B103"/>
      <c r="C103"/>
      <c r="D103"/>
      <c r="E103"/>
      <c r="F103"/>
      <c r="G103"/>
      <c r="I103"/>
      <c r="J103"/>
      <c r="K103"/>
      <c r="L103"/>
      <c r="M103"/>
    </row>
    <row r="104" spans="2:13" ht="12.75" customHeight="1" x14ac:dyDescent="0.2">
      <c r="B104"/>
      <c r="C104"/>
      <c r="D104"/>
      <c r="E104"/>
      <c r="F104"/>
      <c r="G104"/>
      <c r="I104"/>
      <c r="J104"/>
      <c r="K104"/>
      <c r="L104"/>
      <c r="M104"/>
    </row>
    <row r="105" spans="2:13" ht="12.75" customHeight="1" x14ac:dyDescent="0.2">
      <c r="B105"/>
      <c r="C105"/>
      <c r="D105"/>
      <c r="E105"/>
      <c r="F105"/>
      <c r="G105"/>
      <c r="I105"/>
      <c r="J105"/>
      <c r="K105"/>
      <c r="L105"/>
      <c r="M105"/>
    </row>
    <row r="106" spans="2:13" ht="12.75" customHeight="1" x14ac:dyDescent="0.2">
      <c r="B106"/>
      <c r="C106"/>
      <c r="D106"/>
      <c r="E106"/>
      <c r="F106"/>
      <c r="G106"/>
      <c r="I106"/>
      <c r="J106"/>
      <c r="K106"/>
      <c r="L106"/>
      <c r="M106"/>
    </row>
    <row r="107" spans="2:13" ht="12.75" customHeight="1" x14ac:dyDescent="0.2">
      <c r="B107"/>
      <c r="C107"/>
      <c r="D107"/>
      <c r="E107"/>
      <c r="F107"/>
      <c r="G107"/>
      <c r="I107"/>
      <c r="J107"/>
      <c r="K107"/>
      <c r="L107"/>
      <c r="M107"/>
    </row>
    <row r="108" spans="2:13" ht="12.75" customHeight="1" x14ac:dyDescent="0.2">
      <c r="B108"/>
      <c r="C108"/>
      <c r="D108"/>
      <c r="E108"/>
      <c r="F108"/>
      <c r="G108"/>
      <c r="I108"/>
      <c r="J108"/>
      <c r="K108"/>
      <c r="L108"/>
      <c r="M108"/>
    </row>
    <row r="109" spans="2:13" ht="12.75" customHeight="1" x14ac:dyDescent="0.2">
      <c r="B109"/>
      <c r="C109"/>
      <c r="D109"/>
      <c r="E109"/>
      <c r="F109"/>
      <c r="G109"/>
      <c r="I109"/>
      <c r="J109"/>
      <c r="K109"/>
      <c r="L109"/>
      <c r="M109"/>
    </row>
    <row r="110" spans="2:13" ht="12.75" customHeight="1" x14ac:dyDescent="0.2">
      <c r="B110"/>
      <c r="C110"/>
      <c r="D110"/>
      <c r="E110"/>
      <c r="F110"/>
      <c r="G110"/>
      <c r="I110"/>
      <c r="J110"/>
      <c r="K110"/>
      <c r="L110"/>
      <c r="M110"/>
    </row>
    <row r="111" spans="2:13" ht="12.75" customHeight="1" x14ac:dyDescent="0.2">
      <c r="B111"/>
      <c r="C111"/>
      <c r="D111"/>
      <c r="E111"/>
      <c r="F111"/>
      <c r="G111"/>
      <c r="I111"/>
      <c r="J111"/>
      <c r="K111"/>
      <c r="L111"/>
      <c r="M111"/>
    </row>
    <row r="112" spans="2:13" ht="12.75" customHeight="1" x14ac:dyDescent="0.2">
      <c r="B112"/>
      <c r="C112"/>
      <c r="D112"/>
      <c r="E112"/>
      <c r="F112"/>
      <c r="G112"/>
      <c r="I112"/>
      <c r="J112"/>
      <c r="K112"/>
      <c r="L112"/>
      <c r="M112"/>
    </row>
    <row r="113" spans="2:13" ht="12.75" customHeight="1" x14ac:dyDescent="0.2">
      <c r="B113"/>
      <c r="C113"/>
      <c r="D113"/>
      <c r="E113"/>
      <c r="F113"/>
      <c r="G113"/>
      <c r="I113"/>
      <c r="J113"/>
      <c r="K113"/>
      <c r="L113"/>
      <c r="M113"/>
    </row>
    <row r="114" spans="2:13" ht="12.75" customHeight="1" x14ac:dyDescent="0.2">
      <c r="B114"/>
      <c r="C114"/>
      <c r="D114"/>
      <c r="E114"/>
      <c r="F114"/>
      <c r="G114"/>
      <c r="I114"/>
      <c r="J114"/>
      <c r="K114"/>
      <c r="L114"/>
      <c r="M114"/>
    </row>
    <row r="115" spans="2:13" ht="12.75" customHeight="1" x14ac:dyDescent="0.2">
      <c r="B115"/>
      <c r="C115"/>
      <c r="D115"/>
      <c r="E115"/>
      <c r="F115"/>
      <c r="G115"/>
      <c r="L115"/>
    </row>
    <row r="116" spans="2:13" ht="12.75" customHeight="1" x14ac:dyDescent="0.2">
      <c r="B116"/>
      <c r="C116"/>
      <c r="D116"/>
      <c r="E116"/>
      <c r="F116"/>
      <c r="G116"/>
      <c r="L116"/>
    </row>
    <row r="117" spans="2:13" ht="12.75" customHeight="1" x14ac:dyDescent="0.2">
      <c r="B117"/>
      <c r="C117"/>
      <c r="D117"/>
      <c r="E117"/>
      <c r="F117"/>
      <c r="G117"/>
      <c r="I117"/>
      <c r="J117"/>
      <c r="K117"/>
      <c r="L117"/>
    </row>
    <row r="118" spans="2:13" ht="12.75" customHeight="1" x14ac:dyDescent="0.2">
      <c r="B118"/>
      <c r="C118"/>
      <c r="D118"/>
      <c r="E118"/>
      <c r="F118"/>
      <c r="G118"/>
      <c r="I118"/>
      <c r="J118"/>
      <c r="K118"/>
      <c r="L118"/>
    </row>
    <row r="119" spans="2:13" ht="12.75" customHeight="1" x14ac:dyDescent="0.2">
      <c r="B119"/>
      <c r="C119"/>
      <c r="D119"/>
      <c r="E119"/>
      <c r="F119"/>
      <c r="G119"/>
      <c r="I119"/>
      <c r="J119"/>
      <c r="K119"/>
      <c r="L119"/>
    </row>
    <row r="120" spans="2:13" ht="12.75" customHeight="1" x14ac:dyDescent="0.2">
      <c r="B120"/>
      <c r="C120"/>
      <c r="D120"/>
      <c r="E120"/>
      <c r="F120"/>
      <c r="G120"/>
      <c r="I120"/>
      <c r="J120"/>
      <c r="K120"/>
      <c r="L120"/>
    </row>
    <row r="121" spans="2:13" ht="12.75" customHeight="1" x14ac:dyDescent="0.2">
      <c r="B121"/>
      <c r="C121"/>
      <c r="D121"/>
      <c r="E121"/>
      <c r="F121"/>
      <c r="G121"/>
      <c r="I121"/>
      <c r="J121"/>
      <c r="K121"/>
      <c r="L121"/>
    </row>
    <row r="122" spans="2:13" ht="12.75" customHeight="1" x14ac:dyDescent="0.2">
      <c r="B122" s="52"/>
      <c r="C122" s="52"/>
      <c r="D122" s="52"/>
      <c r="E122" s="52"/>
      <c r="F122" s="52"/>
      <c r="G122" s="52"/>
      <c r="H122" s="52"/>
      <c r="I122"/>
      <c r="J122" s="69"/>
      <c r="K122" s="69"/>
      <c r="L122" s="69"/>
    </row>
    <row r="123" spans="2:13" ht="12.75" customHeight="1" x14ac:dyDescent="0.2">
      <c r="B123" s="54" t="str">
        <f>"Finans Norge / Skadeforsikringsstatistikk"</f>
        <v>Finans Norge / Skadeforsikringsstatistikk</v>
      </c>
      <c r="H123" s="200">
        <v>2</v>
      </c>
      <c r="I123"/>
      <c r="J123" s="69"/>
      <c r="K123" s="69"/>
      <c r="L123" s="69"/>
    </row>
    <row r="124" spans="2:13" ht="12.75" customHeight="1" x14ac:dyDescent="0.2">
      <c r="B124" s="54" t="str">
        <f>"Skadestatistikk for landbasert forsikring 3. kvartal 2022"</f>
        <v>Skadestatistikk for landbasert forsikring 3. kvartal 2022</v>
      </c>
      <c r="H124" s="201"/>
      <c r="I124"/>
      <c r="J124"/>
      <c r="K124"/>
      <c r="L124"/>
    </row>
    <row r="125" spans="2:13" ht="12.75" customHeight="1" x14ac:dyDescent="0.2">
      <c r="B125" s="78"/>
      <c r="C125"/>
      <c r="D125"/>
      <c r="E125"/>
      <c r="F125"/>
      <c r="G125"/>
      <c r="I125"/>
      <c r="J125"/>
      <c r="K125"/>
      <c r="L125"/>
    </row>
    <row r="126" spans="2:13" ht="12.75" customHeight="1" x14ac:dyDescent="0.2">
      <c r="B126"/>
      <c r="C126"/>
      <c r="D126"/>
      <c r="E126"/>
      <c r="F126"/>
      <c r="G126"/>
      <c r="I126"/>
      <c r="J126"/>
      <c r="K126"/>
      <c r="L126"/>
    </row>
    <row r="127" spans="2:13" ht="12.75" customHeight="1" x14ac:dyDescent="0.2">
      <c r="B127"/>
      <c r="C127"/>
      <c r="D127"/>
      <c r="E127"/>
      <c r="F127"/>
      <c r="G127"/>
      <c r="L127"/>
    </row>
    <row r="128" spans="2:13" ht="12.75" customHeight="1" x14ac:dyDescent="0.2">
      <c r="B128"/>
      <c r="C128"/>
      <c r="D128"/>
      <c r="E128"/>
      <c r="F128"/>
      <c r="G128"/>
      <c r="L128"/>
    </row>
    <row r="129" spans="2:12" ht="12.75" customHeight="1" x14ac:dyDescent="0.2">
      <c r="B129"/>
      <c r="C129"/>
      <c r="D129"/>
      <c r="E129"/>
      <c r="F129"/>
      <c r="G129"/>
      <c r="I129" s="68"/>
      <c r="J129"/>
      <c r="K129"/>
      <c r="L129"/>
    </row>
    <row r="130" spans="2:12" ht="12.75" customHeight="1" x14ac:dyDescent="0.2">
      <c r="B130"/>
      <c r="C130"/>
      <c r="D130"/>
      <c r="E130"/>
      <c r="F130"/>
      <c r="G130"/>
      <c r="I130"/>
      <c r="J130"/>
      <c r="K130"/>
      <c r="L130"/>
    </row>
    <row r="131" spans="2:12" ht="12.75" customHeight="1" x14ac:dyDescent="0.2">
      <c r="B131"/>
      <c r="C131"/>
      <c r="D131"/>
      <c r="E131"/>
      <c r="F131"/>
      <c r="G131"/>
      <c r="I131"/>
      <c r="J131"/>
      <c r="K131"/>
      <c r="L131"/>
    </row>
    <row r="132" spans="2:12" ht="12.75" customHeight="1" x14ac:dyDescent="0.2">
      <c r="B132"/>
      <c r="C132"/>
      <c r="D132"/>
      <c r="E132"/>
      <c r="F132"/>
      <c r="G132"/>
      <c r="I132"/>
      <c r="J132"/>
      <c r="K132" s="69"/>
      <c r="L132" s="69"/>
    </row>
    <row r="133" spans="2:12" ht="12.75" customHeight="1" x14ac:dyDescent="0.2">
      <c r="B133"/>
      <c r="C133"/>
      <c r="D133"/>
      <c r="E133"/>
      <c r="F133"/>
      <c r="G133"/>
      <c r="I133"/>
      <c r="J133"/>
      <c r="K133" s="69"/>
      <c r="L133" s="69"/>
    </row>
    <row r="134" spans="2:12" ht="12.75" customHeight="1" x14ac:dyDescent="0.2">
      <c r="B134"/>
      <c r="C134"/>
      <c r="D134"/>
      <c r="E134"/>
      <c r="F134"/>
      <c r="G134"/>
      <c r="I134"/>
      <c r="J134"/>
      <c r="K134" s="69"/>
      <c r="L134" s="69"/>
    </row>
    <row r="135" spans="2:12" ht="12.75" customHeight="1" x14ac:dyDescent="0.2">
      <c r="B135"/>
      <c r="C135"/>
      <c r="D135"/>
      <c r="E135"/>
      <c r="F135"/>
      <c r="G135"/>
      <c r="I135"/>
      <c r="J135"/>
      <c r="K135"/>
      <c r="L135"/>
    </row>
    <row r="136" spans="2:12" ht="12.75" customHeight="1" x14ac:dyDescent="0.2">
      <c r="B136"/>
      <c r="C136"/>
      <c r="D136"/>
      <c r="E136"/>
      <c r="F136"/>
      <c r="G136"/>
      <c r="I136"/>
      <c r="J136"/>
      <c r="K136"/>
      <c r="L136"/>
    </row>
    <row r="137" spans="2:12" ht="12.75" customHeight="1" x14ac:dyDescent="0.2">
      <c r="B137"/>
      <c r="C137"/>
      <c r="D137"/>
      <c r="E137"/>
      <c r="F137"/>
      <c r="G137"/>
      <c r="I137"/>
      <c r="J137"/>
      <c r="K137"/>
      <c r="L137"/>
    </row>
    <row r="138" spans="2:12" ht="12.75" customHeight="1" x14ac:dyDescent="0.2">
      <c r="B138"/>
      <c r="C138"/>
      <c r="D138"/>
      <c r="E138"/>
      <c r="F138"/>
      <c r="G138"/>
    </row>
    <row r="139" spans="2:12" ht="12.75" customHeight="1" x14ac:dyDescent="0.2">
      <c r="B139"/>
      <c r="C139"/>
      <c r="D139"/>
      <c r="E139"/>
      <c r="F139"/>
      <c r="G139"/>
    </row>
    <row r="140" spans="2:12" ht="12.75" customHeight="1" x14ac:dyDescent="0.2">
      <c r="B140"/>
      <c r="C140"/>
      <c r="D140"/>
      <c r="E140"/>
      <c r="F140"/>
      <c r="G140"/>
      <c r="I140" s="68"/>
      <c r="J140"/>
      <c r="K140"/>
      <c r="L140"/>
    </row>
    <row r="141" spans="2:12" ht="12.75" customHeight="1" x14ac:dyDescent="0.2">
      <c r="B141"/>
      <c r="C141"/>
      <c r="D141"/>
      <c r="E141"/>
      <c r="F141"/>
      <c r="G141"/>
      <c r="I141"/>
      <c r="J141"/>
      <c r="K141"/>
      <c r="L141"/>
    </row>
    <row r="142" spans="2:12" ht="12.75" customHeight="1" x14ac:dyDescent="0.2">
      <c r="B142"/>
      <c r="C142"/>
      <c r="D142"/>
      <c r="E142"/>
      <c r="F142"/>
      <c r="G142"/>
      <c r="I142"/>
      <c r="J142"/>
      <c r="K142"/>
      <c r="L142"/>
    </row>
    <row r="143" spans="2:12" ht="12.75" customHeight="1" x14ac:dyDescent="0.2">
      <c r="B143"/>
      <c r="C143"/>
      <c r="D143"/>
      <c r="E143"/>
      <c r="F143"/>
      <c r="G143"/>
      <c r="I143"/>
      <c r="J143"/>
      <c r="K143" s="69"/>
      <c r="L143" s="69"/>
    </row>
    <row r="144" spans="2:12" ht="12.75" customHeight="1" x14ac:dyDescent="0.2">
      <c r="B144"/>
      <c r="C144"/>
      <c r="D144"/>
      <c r="E144"/>
      <c r="F144"/>
      <c r="G144"/>
      <c r="I144"/>
      <c r="J144"/>
      <c r="K144" s="69"/>
      <c r="L144" s="69"/>
    </row>
    <row r="145" spans="2:12" ht="12.75" customHeight="1" x14ac:dyDescent="0.2">
      <c r="B145"/>
      <c r="C145"/>
      <c r="D145"/>
      <c r="E145"/>
      <c r="F145"/>
      <c r="G145"/>
      <c r="I145"/>
      <c r="J145"/>
      <c r="K145" s="69"/>
      <c r="L145" s="69"/>
    </row>
    <row r="146" spans="2:12" ht="12.75" customHeight="1" x14ac:dyDescent="0.2">
      <c r="B146"/>
      <c r="C146"/>
      <c r="D146"/>
      <c r="E146"/>
      <c r="F146"/>
      <c r="G146"/>
      <c r="I146"/>
      <c r="J146"/>
      <c r="K146"/>
      <c r="L146"/>
    </row>
    <row r="147" spans="2:12" ht="12.75" customHeight="1" x14ac:dyDescent="0.2">
      <c r="B147"/>
      <c r="C147"/>
      <c r="D147"/>
      <c r="E147"/>
      <c r="F147"/>
      <c r="G147"/>
      <c r="H147"/>
      <c r="I147"/>
      <c r="J147"/>
      <c r="K147"/>
      <c r="L147"/>
    </row>
    <row r="148" spans="2:12" ht="12.75" customHeight="1" x14ac:dyDescent="0.2">
      <c r="B148"/>
      <c r="C148"/>
      <c r="D148"/>
      <c r="E148"/>
      <c r="F148"/>
      <c r="G148"/>
      <c r="H148"/>
      <c r="I148"/>
      <c r="J148"/>
      <c r="K148"/>
      <c r="L148"/>
    </row>
    <row r="149" spans="2:12" ht="12.75" customHeight="1" x14ac:dyDescent="0.2">
      <c r="B149"/>
      <c r="C149"/>
      <c r="D149"/>
      <c r="E149"/>
      <c r="F149"/>
      <c r="G149"/>
      <c r="H149"/>
      <c r="I149"/>
      <c r="J149" s="69"/>
      <c r="K149" s="69"/>
    </row>
    <row r="150" spans="2:12" ht="12.75" customHeight="1" x14ac:dyDescent="0.2">
      <c r="B150"/>
      <c r="C150" s="69"/>
      <c r="D150" s="69"/>
      <c r="E150"/>
      <c r="F150"/>
      <c r="G150"/>
      <c r="H150"/>
      <c r="I150"/>
      <c r="J150" s="69"/>
      <c r="K150" s="69"/>
    </row>
    <row r="151" spans="2:12" ht="12.75" customHeight="1" x14ac:dyDescent="0.2">
      <c r="B151"/>
      <c r="C151"/>
      <c r="D151"/>
      <c r="E151"/>
      <c r="G151"/>
      <c r="H151"/>
      <c r="I151"/>
      <c r="J151"/>
      <c r="K151"/>
    </row>
    <row r="152" spans="2:12" ht="12.75" customHeight="1" x14ac:dyDescent="0.2">
      <c r="B152"/>
      <c r="C152"/>
      <c r="D152"/>
      <c r="E152"/>
      <c r="G152"/>
      <c r="H152"/>
      <c r="I152"/>
      <c r="J152"/>
      <c r="K152"/>
    </row>
    <row r="153" spans="2:12" ht="12.75" customHeight="1" x14ac:dyDescent="0.2">
      <c r="B153"/>
      <c r="C153"/>
      <c r="D153"/>
      <c r="E153"/>
      <c r="G153"/>
      <c r="H153"/>
      <c r="I153"/>
      <c r="J153"/>
      <c r="K153"/>
    </row>
    <row r="154" spans="2:12" ht="12.75" customHeight="1" x14ac:dyDescent="0.2">
      <c r="B154"/>
      <c r="C154" s="69"/>
      <c r="D154" s="69"/>
      <c r="E154"/>
      <c r="G154"/>
      <c r="H154"/>
      <c r="I154"/>
      <c r="J154"/>
      <c r="K154"/>
    </row>
    <row r="155" spans="2:12" ht="12.75" customHeight="1" x14ac:dyDescent="0.2">
      <c r="B155"/>
      <c r="C155" s="69"/>
      <c r="D155" s="69"/>
      <c r="E155"/>
      <c r="G155"/>
      <c r="H155"/>
      <c r="I155"/>
      <c r="J155"/>
      <c r="K155"/>
    </row>
    <row r="156" spans="2:12" ht="12.75" customHeight="1" x14ac:dyDescent="0.2">
      <c r="B156"/>
      <c r="C156" s="69"/>
      <c r="D156" s="69"/>
      <c r="E156"/>
      <c r="G156"/>
    </row>
    <row r="157" spans="2:12" ht="12.75" customHeight="1" x14ac:dyDescent="0.2">
      <c r="B157"/>
      <c r="C157"/>
      <c r="D157"/>
      <c r="E157"/>
      <c r="G157"/>
    </row>
    <row r="158" spans="2:12" ht="12.75" customHeight="1" x14ac:dyDescent="0.2">
      <c r="B158"/>
      <c r="C158" s="69"/>
      <c r="D158" s="69"/>
      <c r="E158"/>
      <c r="G158"/>
    </row>
    <row r="159" spans="2:12" ht="12.75" customHeight="1" x14ac:dyDescent="0.2">
      <c r="B159"/>
      <c r="C159" s="69"/>
      <c r="D159" s="69"/>
      <c r="E159"/>
      <c r="G159"/>
    </row>
    <row r="160" spans="2:12" ht="12.75" customHeight="1" x14ac:dyDescent="0.2">
      <c r="B160"/>
      <c r="C160" s="69"/>
      <c r="D160" s="69"/>
      <c r="E160"/>
      <c r="G160"/>
    </row>
    <row r="161" spans="2:7" ht="12.75" customHeight="1" x14ac:dyDescent="0.2">
      <c r="B161"/>
      <c r="C161"/>
      <c r="D161"/>
      <c r="E161"/>
      <c r="G161"/>
    </row>
    <row r="162" spans="2:7" ht="12.75" customHeight="1" x14ac:dyDescent="0.2">
      <c r="B162"/>
      <c r="C162" s="69"/>
      <c r="D162" s="69"/>
      <c r="E162"/>
      <c r="G162"/>
    </row>
    <row r="163" spans="2:7" ht="12.75" customHeight="1" x14ac:dyDescent="0.2">
      <c r="B163"/>
      <c r="C163" s="69"/>
      <c r="D163" s="69"/>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2"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61</v>
      </c>
      <c r="B7" s="19" t="s">
        <v>3</v>
      </c>
      <c r="C7" s="20">
        <v>447542</v>
      </c>
      <c r="D7" s="20">
        <v>169642</v>
      </c>
      <c r="E7" s="79">
        <v>381459.77704088797</v>
      </c>
      <c r="F7" s="22" t="s">
        <v>240</v>
      </c>
      <c r="G7" s="23">
        <v>-14.7655913767003</v>
      </c>
      <c r="H7" s="24">
        <v>124.86163629342261</v>
      </c>
    </row>
    <row r="8" spans="1:8" x14ac:dyDescent="0.2">
      <c r="A8" s="206"/>
      <c r="B8" s="25" t="s">
        <v>241</v>
      </c>
      <c r="C8" s="26">
        <v>375186</v>
      </c>
      <c r="D8" s="26">
        <v>112892.84615384616</v>
      </c>
      <c r="E8" s="26">
        <v>272587</v>
      </c>
      <c r="F8" s="27"/>
      <c r="G8" s="28">
        <v>-27.346169633195274</v>
      </c>
      <c r="H8" s="29">
        <v>141.45639806842021</v>
      </c>
    </row>
    <row r="9" spans="1:8" x14ac:dyDescent="0.2">
      <c r="A9" s="30" t="s">
        <v>62</v>
      </c>
      <c r="B9" s="31" t="s">
        <v>3</v>
      </c>
      <c r="C9" s="20">
        <v>68338</v>
      </c>
      <c r="D9" s="20">
        <v>68285.765704347825</v>
      </c>
      <c r="E9" s="21">
        <v>149361.61342954662</v>
      </c>
      <c r="F9" s="22" t="s">
        <v>240</v>
      </c>
      <c r="G9" s="32">
        <v>118.56304461580177</v>
      </c>
      <c r="H9" s="33">
        <v>118.73023153350482</v>
      </c>
    </row>
    <row r="10" spans="1:8" x14ac:dyDescent="0.2">
      <c r="A10" s="34"/>
      <c r="B10" s="25" t="s">
        <v>241</v>
      </c>
      <c r="C10" s="26">
        <v>49122</v>
      </c>
      <c r="D10" s="26">
        <v>47491.137499999997</v>
      </c>
      <c r="E10" s="26">
        <v>105013.74846959597</v>
      </c>
      <c r="F10" s="27"/>
      <c r="G10" s="35">
        <v>113.7815000806074</v>
      </c>
      <c r="H10" s="29">
        <v>121.12283259080914</v>
      </c>
    </row>
    <row r="11" spans="1:8" x14ac:dyDescent="0.2">
      <c r="A11" s="30" t="s">
        <v>47</v>
      </c>
      <c r="B11" s="31" t="s">
        <v>3</v>
      </c>
      <c r="C11" s="20">
        <v>12266</v>
      </c>
      <c r="D11" s="20">
        <v>10166.449391304348</v>
      </c>
      <c r="E11" s="21">
        <v>19630.299160180017</v>
      </c>
      <c r="F11" s="22" t="s">
        <v>240</v>
      </c>
      <c r="G11" s="37">
        <v>60.038310453122591</v>
      </c>
      <c r="H11" s="33">
        <v>93.089036345081979</v>
      </c>
    </row>
    <row r="12" spans="1:8" x14ac:dyDescent="0.2">
      <c r="A12" s="34"/>
      <c r="B12" s="25" t="s">
        <v>241</v>
      </c>
      <c r="C12" s="26">
        <v>7847</v>
      </c>
      <c r="D12" s="26">
        <v>7647.6062499999998</v>
      </c>
      <c r="E12" s="26">
        <v>13949</v>
      </c>
      <c r="F12" s="27"/>
      <c r="G12" s="28">
        <v>77.762202115458138</v>
      </c>
      <c r="H12" s="29">
        <v>82.39694283423654</v>
      </c>
    </row>
    <row r="13" spans="1:8" x14ac:dyDescent="0.2">
      <c r="A13" s="30" t="s">
        <v>48</v>
      </c>
      <c r="B13" s="31" t="s">
        <v>3</v>
      </c>
      <c r="C13" s="20">
        <v>97572</v>
      </c>
      <c r="D13" s="20">
        <v>31090.407304347827</v>
      </c>
      <c r="E13" s="21">
        <v>91727.240705493197</v>
      </c>
      <c r="F13" s="22" t="s">
        <v>240</v>
      </c>
      <c r="G13" s="23">
        <v>-5.9902013841130639</v>
      </c>
      <c r="H13" s="24">
        <v>195.03389842263545</v>
      </c>
    </row>
    <row r="14" spans="1:8" x14ac:dyDescent="0.2">
      <c r="A14" s="34"/>
      <c r="B14" s="25" t="s">
        <v>241</v>
      </c>
      <c r="C14" s="26">
        <v>82809</v>
      </c>
      <c r="D14" s="26">
        <v>19552.625</v>
      </c>
      <c r="E14" s="26">
        <v>63137.446469868046</v>
      </c>
      <c r="F14" s="27"/>
      <c r="G14" s="38">
        <v>-23.755332790073496</v>
      </c>
      <c r="H14" s="24">
        <v>222.91033285744521</v>
      </c>
    </row>
    <row r="15" spans="1:8" x14ac:dyDescent="0.2">
      <c r="A15" s="30" t="s">
        <v>49</v>
      </c>
      <c r="B15" s="31" t="s">
        <v>3</v>
      </c>
      <c r="C15" s="20">
        <v>292729</v>
      </c>
      <c r="D15" s="20">
        <v>59019.676591304349</v>
      </c>
      <c r="E15" s="21">
        <v>121018.99651368352</v>
      </c>
      <c r="F15" s="22" t="s">
        <v>240</v>
      </c>
      <c r="G15" s="37">
        <v>-58.658350722448574</v>
      </c>
      <c r="H15" s="33">
        <v>105.04855923170854</v>
      </c>
    </row>
    <row r="16" spans="1:8" x14ac:dyDescent="0.2">
      <c r="A16" s="34"/>
      <c r="B16" s="25" t="s">
        <v>241</v>
      </c>
      <c r="C16" s="26">
        <v>201049</v>
      </c>
      <c r="D16" s="26">
        <v>37922.182499999995</v>
      </c>
      <c r="E16" s="26">
        <v>79466.474357230312</v>
      </c>
      <c r="F16" s="27"/>
      <c r="G16" s="28">
        <v>-60.474076291237303</v>
      </c>
      <c r="H16" s="29">
        <v>109.55142641705899</v>
      </c>
    </row>
    <row r="17" spans="1:9" x14ac:dyDescent="0.2">
      <c r="A17" s="30" t="s">
        <v>50</v>
      </c>
      <c r="B17" s="31" t="s">
        <v>3</v>
      </c>
      <c r="C17" s="20">
        <v>52061</v>
      </c>
      <c r="D17" s="20">
        <v>31031.005565217391</v>
      </c>
      <c r="E17" s="21">
        <v>76059.766370396072</v>
      </c>
      <c r="F17" s="22" t="s">
        <v>240</v>
      </c>
      <c r="G17" s="37">
        <v>46.097397995420891</v>
      </c>
      <c r="H17" s="33">
        <v>145.10893213093729</v>
      </c>
    </row>
    <row r="18" spans="1:9" ht="13.5" thickBot="1" x14ac:dyDescent="0.25">
      <c r="A18" s="56"/>
      <c r="B18" s="42" t="s">
        <v>241</v>
      </c>
      <c r="C18" s="43">
        <v>43827</v>
      </c>
      <c r="D18" s="43">
        <v>19692.227500000001</v>
      </c>
      <c r="E18" s="43">
        <v>52582.243504285128</v>
      </c>
      <c r="F18" s="44"/>
      <c r="G18" s="57">
        <v>19.97682593899907</v>
      </c>
      <c r="H18" s="46">
        <v>167.02029267275697</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71</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61</v>
      </c>
      <c r="B35" s="19" t="s">
        <v>3</v>
      </c>
      <c r="C35" s="80">
        <v>2302.5662864483884</v>
      </c>
      <c r="D35" s="80">
        <v>773.78802688841324</v>
      </c>
      <c r="E35" s="81">
        <v>2334.3805730409304</v>
      </c>
      <c r="F35" s="22" t="s">
        <v>240</v>
      </c>
      <c r="G35" s="23">
        <v>1.3816881963304724</v>
      </c>
      <c r="H35" s="24">
        <v>201.68217805437399</v>
      </c>
    </row>
    <row r="36" spans="1:9" ht="12.75" customHeight="1" x14ac:dyDescent="0.2">
      <c r="A36" s="206"/>
      <c r="B36" s="25" t="s">
        <v>241</v>
      </c>
      <c r="C36" s="82">
        <v>2135.9802845817817</v>
      </c>
      <c r="D36" s="82">
        <v>459.27839719113007</v>
      </c>
      <c r="E36" s="82">
        <v>1574.5988207715418</v>
      </c>
      <c r="F36" s="27"/>
      <c r="G36" s="28">
        <v>-26.282146322345696</v>
      </c>
      <c r="H36" s="29">
        <v>242.84190817628809</v>
      </c>
    </row>
    <row r="37" spans="1:9" x14ac:dyDescent="0.2">
      <c r="A37" s="30" t="s">
        <v>62</v>
      </c>
      <c r="B37" s="31" t="s">
        <v>3</v>
      </c>
      <c r="C37" s="80">
        <v>163.35888456341638</v>
      </c>
      <c r="D37" s="80">
        <v>165.50438323851947</v>
      </c>
      <c r="E37" s="83">
        <v>463.72587604433812</v>
      </c>
      <c r="F37" s="22" t="s">
        <v>240</v>
      </c>
      <c r="G37" s="32">
        <v>183.86939423813124</v>
      </c>
      <c r="H37" s="33">
        <v>180.18948318488441</v>
      </c>
    </row>
    <row r="38" spans="1:9" x14ac:dyDescent="0.2">
      <c r="A38" s="34"/>
      <c r="B38" s="25" t="s">
        <v>241</v>
      </c>
      <c r="C38" s="82">
        <v>147.27004715431721</v>
      </c>
      <c r="D38" s="82">
        <v>106.31254480076691</v>
      </c>
      <c r="E38" s="82">
        <v>329.44505876935744</v>
      </c>
      <c r="F38" s="27"/>
      <c r="G38" s="35">
        <v>123.70133311911536</v>
      </c>
      <c r="H38" s="29">
        <v>209.88352257651997</v>
      </c>
    </row>
    <row r="39" spans="1:9" x14ac:dyDescent="0.2">
      <c r="A39" s="30" t="s">
        <v>47</v>
      </c>
      <c r="B39" s="31" t="s">
        <v>3</v>
      </c>
      <c r="C39" s="80">
        <v>175.90463846252987</v>
      </c>
      <c r="D39" s="80">
        <v>138.51362542790139</v>
      </c>
      <c r="E39" s="83">
        <v>252.57312241390306</v>
      </c>
      <c r="F39" s="22" t="s">
        <v>240</v>
      </c>
      <c r="G39" s="37">
        <v>43.585254272703338</v>
      </c>
      <c r="H39" s="33">
        <v>82.345326413661383</v>
      </c>
    </row>
    <row r="40" spans="1:9" x14ac:dyDescent="0.2">
      <c r="A40" s="34"/>
      <c r="B40" s="25" t="s">
        <v>241</v>
      </c>
      <c r="C40" s="82">
        <v>139.79453207412976</v>
      </c>
      <c r="D40" s="82">
        <v>102.81911970091024</v>
      </c>
      <c r="E40" s="82">
        <v>191.7002953799562</v>
      </c>
      <c r="F40" s="27"/>
      <c r="G40" s="28">
        <v>37.130038303860147</v>
      </c>
      <c r="H40" s="29">
        <v>86.444209926706009</v>
      </c>
    </row>
    <row r="41" spans="1:9" x14ac:dyDescent="0.2">
      <c r="A41" s="30" t="s">
        <v>48</v>
      </c>
      <c r="B41" s="31" t="s">
        <v>3</v>
      </c>
      <c r="C41" s="80">
        <v>483.38381541670373</v>
      </c>
      <c r="D41" s="80">
        <v>213.24163166368561</v>
      </c>
      <c r="E41" s="83">
        <v>912.37269813891146</v>
      </c>
      <c r="F41" s="22" t="s">
        <v>240</v>
      </c>
      <c r="G41" s="23">
        <v>88.747051316229005</v>
      </c>
      <c r="H41" s="24">
        <v>327.85861795405015</v>
      </c>
    </row>
    <row r="42" spans="1:9" x14ac:dyDescent="0.2">
      <c r="A42" s="34"/>
      <c r="B42" s="25" t="s">
        <v>241</v>
      </c>
      <c r="C42" s="82">
        <v>475.12685719037825</v>
      </c>
      <c r="D42" s="82">
        <v>105.96727281476289</v>
      </c>
      <c r="E42" s="82">
        <v>542.8583919509332</v>
      </c>
      <c r="F42" s="27"/>
      <c r="G42" s="38">
        <v>14.255463301123299</v>
      </c>
      <c r="H42" s="24">
        <v>412.28872606722837</v>
      </c>
    </row>
    <row r="43" spans="1:9" x14ac:dyDescent="0.2">
      <c r="A43" s="30" t="s">
        <v>49</v>
      </c>
      <c r="B43" s="31" t="s">
        <v>3</v>
      </c>
      <c r="C43" s="80">
        <v>1242.5624347699081</v>
      </c>
      <c r="D43" s="80">
        <v>169.9578574247042</v>
      </c>
      <c r="E43" s="83">
        <v>569.66995124710024</v>
      </c>
      <c r="F43" s="22" t="s">
        <v>240</v>
      </c>
      <c r="G43" s="37">
        <v>-54.153615520125634</v>
      </c>
      <c r="H43" s="33">
        <v>235.18306236560966</v>
      </c>
    </row>
    <row r="44" spans="1:9" x14ac:dyDescent="0.2">
      <c r="A44" s="34"/>
      <c r="B44" s="25" t="s">
        <v>241</v>
      </c>
      <c r="C44" s="82">
        <v>1150.0427771963375</v>
      </c>
      <c r="D44" s="82">
        <v>89.713891747499019</v>
      </c>
      <c r="E44" s="82">
        <v>350.97397684342025</v>
      </c>
      <c r="F44" s="27"/>
      <c r="G44" s="28">
        <v>-69.481658960630014</v>
      </c>
      <c r="H44" s="29">
        <v>291.21474947407398</v>
      </c>
    </row>
    <row r="45" spans="1:9" x14ac:dyDescent="0.2">
      <c r="A45" s="30" t="s">
        <v>50</v>
      </c>
      <c r="B45" s="31" t="s">
        <v>3</v>
      </c>
      <c r="C45" s="80">
        <v>237.35651323583056</v>
      </c>
      <c r="D45" s="80">
        <v>86.570529133602676</v>
      </c>
      <c r="E45" s="83">
        <v>225.58389797048119</v>
      </c>
      <c r="F45" s="22" t="s">
        <v>240</v>
      </c>
      <c r="G45" s="37">
        <v>-4.959887177670339</v>
      </c>
      <c r="H45" s="33">
        <v>160.57816699068781</v>
      </c>
    </row>
    <row r="46" spans="1:9" ht="13.5" thickBot="1" x14ac:dyDescent="0.25">
      <c r="A46" s="56"/>
      <c r="B46" s="42" t="s">
        <v>241</v>
      </c>
      <c r="C46" s="86">
        <v>223.7460709666189</v>
      </c>
      <c r="D46" s="86">
        <v>54.465568127190956</v>
      </c>
      <c r="E46" s="86">
        <v>159.62109782787496</v>
      </c>
      <c r="F46" s="44"/>
      <c r="G46" s="57">
        <v>-28.659709134428041</v>
      </c>
      <c r="H46" s="46">
        <v>193.06790200942936</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G61" s="53"/>
      <c r="H61" s="208">
        <v>24</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51</v>
      </c>
      <c r="B7" s="19" t="s">
        <v>3</v>
      </c>
      <c r="C7" s="20">
        <v>13466</v>
      </c>
      <c r="D7" s="20">
        <v>12717.945965835412</v>
      </c>
      <c r="E7" s="79">
        <v>11216.57675713897</v>
      </c>
      <c r="F7" s="22" t="s">
        <v>240</v>
      </c>
      <c r="G7" s="23">
        <v>-16.704464895745062</v>
      </c>
      <c r="H7" s="24">
        <v>-11.805123348767282</v>
      </c>
    </row>
    <row r="8" spans="1:8" x14ac:dyDescent="0.2">
      <c r="A8" s="206"/>
      <c r="B8" s="25" t="s">
        <v>241</v>
      </c>
      <c r="C8" s="26">
        <v>11333.992503086034</v>
      </c>
      <c r="D8" s="26">
        <v>10743.278054862843</v>
      </c>
      <c r="E8" s="26">
        <v>9463.556109725685</v>
      </c>
      <c r="F8" s="27"/>
      <c r="G8" s="28">
        <v>-16.50289068791129</v>
      </c>
      <c r="H8" s="29">
        <v>-11.911838626925459</v>
      </c>
    </row>
    <row r="9" spans="1:8" x14ac:dyDescent="0.2">
      <c r="A9" s="30" t="s">
        <v>12</v>
      </c>
      <c r="B9" s="31" t="s">
        <v>3</v>
      </c>
      <c r="C9" s="20">
        <v>369.60400000000004</v>
      </c>
      <c r="D9" s="20">
        <v>291.84243322999998</v>
      </c>
      <c r="E9" s="21">
        <v>272.52028051262232</v>
      </c>
      <c r="F9" s="22" t="s">
        <v>240</v>
      </c>
      <c r="G9" s="32">
        <v>-26.266955846629827</v>
      </c>
      <c r="H9" s="33">
        <v>-6.6207482248306064</v>
      </c>
    </row>
    <row r="10" spans="1:8" x14ac:dyDescent="0.2">
      <c r="A10" s="34"/>
      <c r="B10" s="25" t="s">
        <v>241</v>
      </c>
      <c r="C10" s="26">
        <v>294.20269937374997</v>
      </c>
      <c r="D10" s="26">
        <v>234.8545</v>
      </c>
      <c r="E10" s="26">
        <v>218.506</v>
      </c>
      <c r="F10" s="27"/>
      <c r="G10" s="35">
        <v>-25.729437403151152</v>
      </c>
      <c r="H10" s="29">
        <v>-6.9611184797395822</v>
      </c>
    </row>
    <row r="11" spans="1:8" x14ac:dyDescent="0.2">
      <c r="A11" s="30" t="s">
        <v>18</v>
      </c>
      <c r="B11" s="31" t="s">
        <v>3</v>
      </c>
      <c r="C11" s="20">
        <v>315.64159999999998</v>
      </c>
      <c r="D11" s="20">
        <v>282.73697329200002</v>
      </c>
      <c r="E11" s="21">
        <v>246.0301378097156</v>
      </c>
      <c r="F11" s="22" t="s">
        <v>240</v>
      </c>
      <c r="G11" s="37">
        <v>-22.053956826439986</v>
      </c>
      <c r="H11" s="33">
        <v>-12.98267964564188</v>
      </c>
    </row>
    <row r="12" spans="1:8" x14ac:dyDescent="0.2">
      <c r="A12" s="34"/>
      <c r="B12" s="25" t="s">
        <v>241</v>
      </c>
      <c r="C12" s="26">
        <v>257.4810797495</v>
      </c>
      <c r="D12" s="26">
        <v>244.54179999999999</v>
      </c>
      <c r="E12" s="26">
        <v>208.60239999999999</v>
      </c>
      <c r="F12" s="27"/>
      <c r="G12" s="28">
        <v>-18.983406391278706</v>
      </c>
      <c r="H12" s="29">
        <v>-14.696628551846757</v>
      </c>
    </row>
    <row r="13" spans="1:8" x14ac:dyDescent="0.2">
      <c r="A13" s="30" t="s">
        <v>63</v>
      </c>
      <c r="B13" s="31" t="s">
        <v>3</v>
      </c>
      <c r="C13" s="20">
        <v>1446.0149999999999</v>
      </c>
      <c r="D13" s="20">
        <v>1106.9091246124999</v>
      </c>
      <c r="E13" s="21">
        <v>1182.4676251654803</v>
      </c>
      <c r="F13" s="22" t="s">
        <v>240</v>
      </c>
      <c r="G13" s="23">
        <v>-18.225770468115456</v>
      </c>
      <c r="H13" s="24">
        <v>6.8260798355448884</v>
      </c>
    </row>
    <row r="14" spans="1:8" x14ac:dyDescent="0.2">
      <c r="A14" s="34"/>
      <c r="B14" s="25" t="s">
        <v>241</v>
      </c>
      <c r="C14" s="26">
        <v>1129.5101226515626</v>
      </c>
      <c r="D14" s="26">
        <v>873.07937500000003</v>
      </c>
      <c r="E14" s="26">
        <v>929.64750000000004</v>
      </c>
      <c r="F14" s="27"/>
      <c r="G14" s="38">
        <v>-17.694628728282524</v>
      </c>
      <c r="H14" s="24">
        <v>6.4791503063510163</v>
      </c>
    </row>
    <row r="15" spans="1:8" x14ac:dyDescent="0.2">
      <c r="A15" s="30" t="s">
        <v>52</v>
      </c>
      <c r="B15" s="31" t="s">
        <v>3</v>
      </c>
      <c r="C15" s="20">
        <v>7391.07</v>
      </c>
      <c r="D15" s="20">
        <v>7814.2425815249999</v>
      </c>
      <c r="E15" s="21">
        <v>6650.1422626668318</v>
      </c>
      <c r="F15" s="22" t="s">
        <v>240</v>
      </c>
      <c r="G15" s="37">
        <v>-10.024634286147588</v>
      </c>
      <c r="H15" s="33">
        <v>-14.897161263081586</v>
      </c>
    </row>
    <row r="16" spans="1:8" x14ac:dyDescent="0.2">
      <c r="A16" s="34"/>
      <c r="B16" s="25" t="s">
        <v>241</v>
      </c>
      <c r="C16" s="26">
        <v>6204.0472390406248</v>
      </c>
      <c r="D16" s="26">
        <v>6612.7037500000006</v>
      </c>
      <c r="E16" s="26">
        <v>5612.3549999999996</v>
      </c>
      <c r="F16" s="27"/>
      <c r="G16" s="28">
        <v>-9.53719751386231</v>
      </c>
      <c r="H16" s="29">
        <v>-15.127681320972542</v>
      </c>
    </row>
    <row r="17" spans="1:9" x14ac:dyDescent="0.2">
      <c r="A17" s="30" t="s">
        <v>50</v>
      </c>
      <c r="B17" s="31" t="s">
        <v>3</v>
      </c>
      <c r="C17" s="20">
        <v>5109.0200000000004</v>
      </c>
      <c r="D17" s="20">
        <v>4350.2121661500005</v>
      </c>
      <c r="E17" s="21">
        <v>4279.7445219009114</v>
      </c>
      <c r="F17" s="22" t="s">
        <v>240</v>
      </c>
      <c r="G17" s="37">
        <v>-16.231595846152274</v>
      </c>
      <c r="H17" s="33">
        <v>-1.6198668377007834</v>
      </c>
    </row>
    <row r="18" spans="1:9" ht="13.5" thickBot="1" x14ac:dyDescent="0.25">
      <c r="A18" s="56"/>
      <c r="B18" s="42" t="s">
        <v>241</v>
      </c>
      <c r="C18" s="43">
        <v>3946.0134968687498</v>
      </c>
      <c r="D18" s="43">
        <v>3598.7725</v>
      </c>
      <c r="E18" s="43">
        <v>3458.53</v>
      </c>
      <c r="F18" s="44"/>
      <c r="G18" s="57">
        <v>-12.353822338813046</v>
      </c>
      <c r="H18" s="46">
        <v>-3.8969537529810481</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70</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51</v>
      </c>
      <c r="B35" s="19" t="s">
        <v>3</v>
      </c>
      <c r="C35" s="80">
        <v>607.81922434697947</v>
      </c>
      <c r="D35" s="80">
        <v>593.00593686028037</v>
      </c>
      <c r="E35" s="81">
        <v>578.39063131374985</v>
      </c>
      <c r="F35" s="22" t="s">
        <v>240</v>
      </c>
      <c r="G35" s="23">
        <v>-4.8416686827973763</v>
      </c>
      <c r="H35" s="24">
        <v>-2.4646136974466799</v>
      </c>
    </row>
    <row r="36" spans="1:9" ht="12.75" customHeight="1" x14ac:dyDescent="0.2">
      <c r="A36" s="206"/>
      <c r="B36" s="25" t="s">
        <v>241</v>
      </c>
      <c r="C36" s="82">
        <v>517.4847682108541</v>
      </c>
      <c r="D36" s="82">
        <v>498.32076263552295</v>
      </c>
      <c r="E36" s="82">
        <v>488.1508327755011</v>
      </c>
      <c r="F36" s="27"/>
      <c r="G36" s="28">
        <v>-5.6685601658908382</v>
      </c>
      <c r="H36" s="29">
        <v>-2.04084008184509</v>
      </c>
    </row>
    <row r="37" spans="1:9" x14ac:dyDescent="0.2">
      <c r="A37" s="30" t="s">
        <v>12</v>
      </c>
      <c r="B37" s="31" t="s">
        <v>3</v>
      </c>
      <c r="C37" s="80">
        <v>5.9674288797066719</v>
      </c>
      <c r="D37" s="80">
        <v>4.3967812578006056</v>
      </c>
      <c r="E37" s="83">
        <v>6.1808743291468984</v>
      </c>
      <c r="F37" s="22" t="s">
        <v>240</v>
      </c>
      <c r="G37" s="32">
        <v>3.5768411110199736</v>
      </c>
      <c r="H37" s="33">
        <v>40.577253375546519</v>
      </c>
    </row>
    <row r="38" spans="1:9" x14ac:dyDescent="0.2">
      <c r="A38" s="34"/>
      <c r="B38" s="25" t="s">
        <v>241</v>
      </c>
      <c r="C38" s="82">
        <v>4.8707521748679827</v>
      </c>
      <c r="D38" s="82">
        <v>3.9619086397263827</v>
      </c>
      <c r="E38" s="82">
        <v>5.3829703734915419</v>
      </c>
      <c r="F38" s="27"/>
      <c r="G38" s="35">
        <v>10.516203252271652</v>
      </c>
      <c r="H38" s="29">
        <v>35.868109615553891</v>
      </c>
    </row>
    <row r="39" spans="1:9" x14ac:dyDescent="0.2">
      <c r="A39" s="30" t="s">
        <v>18</v>
      </c>
      <c r="B39" s="31" t="s">
        <v>3</v>
      </c>
      <c r="C39" s="80">
        <v>26.560843062390408</v>
      </c>
      <c r="D39" s="80">
        <v>32.676635325528295</v>
      </c>
      <c r="E39" s="83">
        <v>42.176842249333241</v>
      </c>
      <c r="F39" s="22" t="s">
        <v>240</v>
      </c>
      <c r="G39" s="37">
        <v>58.793311455744998</v>
      </c>
      <c r="H39" s="33">
        <v>29.073393968390008</v>
      </c>
    </row>
    <row r="40" spans="1:9" x14ac:dyDescent="0.2">
      <c r="A40" s="34"/>
      <c r="B40" s="25" t="s">
        <v>241</v>
      </c>
      <c r="C40" s="82">
        <v>21.051609168325886</v>
      </c>
      <c r="D40" s="82">
        <v>24.833895285738553</v>
      </c>
      <c r="E40" s="82">
        <v>32.499414663533855</v>
      </c>
      <c r="F40" s="27"/>
      <c r="G40" s="28">
        <v>54.3797170262512</v>
      </c>
      <c r="H40" s="29">
        <v>30.867164774578924</v>
      </c>
    </row>
    <row r="41" spans="1:9" x14ac:dyDescent="0.2">
      <c r="A41" s="30" t="s">
        <v>63</v>
      </c>
      <c r="B41" s="31" t="s">
        <v>3</v>
      </c>
      <c r="C41" s="80">
        <v>71.392452973212698</v>
      </c>
      <c r="D41" s="80">
        <v>55.697563804012262</v>
      </c>
      <c r="E41" s="83">
        <v>67.12700731773532</v>
      </c>
      <c r="F41" s="22" t="s">
        <v>240</v>
      </c>
      <c r="G41" s="23">
        <v>-5.9746450469741177</v>
      </c>
      <c r="H41" s="24">
        <v>20.5205447655499</v>
      </c>
    </row>
    <row r="42" spans="1:9" x14ac:dyDescent="0.2">
      <c r="A42" s="34"/>
      <c r="B42" s="25" t="s">
        <v>241</v>
      </c>
      <c r="C42" s="82">
        <v>60.094664385305052</v>
      </c>
      <c r="D42" s="82">
        <v>43.236751130458103</v>
      </c>
      <c r="E42" s="82">
        <v>53.496194979004066</v>
      </c>
      <c r="F42" s="27"/>
      <c r="G42" s="38">
        <v>-10.980125230409826</v>
      </c>
      <c r="H42" s="24">
        <v>23.728526265977237</v>
      </c>
    </row>
    <row r="43" spans="1:9" x14ac:dyDescent="0.2">
      <c r="A43" s="30" t="s">
        <v>52</v>
      </c>
      <c r="B43" s="31" t="s">
        <v>3</v>
      </c>
      <c r="C43" s="80">
        <v>339.77249401097203</v>
      </c>
      <c r="D43" s="80">
        <v>365.06667916418689</v>
      </c>
      <c r="E43" s="83">
        <v>331.9358349629594</v>
      </c>
      <c r="F43" s="22" t="s">
        <v>240</v>
      </c>
      <c r="G43" s="37">
        <v>-2.3064430423728055</v>
      </c>
      <c r="H43" s="33">
        <v>-9.0752857196060575</v>
      </c>
    </row>
    <row r="44" spans="1:9" x14ac:dyDescent="0.2">
      <c r="A44" s="34"/>
      <c r="B44" s="25" t="s">
        <v>241</v>
      </c>
      <c r="C44" s="82">
        <v>294.13964879098774</v>
      </c>
      <c r="D44" s="82">
        <v>310.65595650609168</v>
      </c>
      <c r="E44" s="82">
        <v>284.07523945198119</v>
      </c>
      <c r="F44" s="27"/>
      <c r="G44" s="28">
        <v>-3.4216432161983619</v>
      </c>
      <c r="H44" s="29">
        <v>-8.5563197799457811</v>
      </c>
    </row>
    <row r="45" spans="1:9" x14ac:dyDescent="0.2">
      <c r="A45" s="30" t="s">
        <v>50</v>
      </c>
      <c r="B45" s="31" t="s">
        <v>3</v>
      </c>
      <c r="C45" s="80">
        <v>164.12600542069765</v>
      </c>
      <c r="D45" s="80">
        <v>135.16827730875235</v>
      </c>
      <c r="E45" s="83">
        <v>132.72091095827676</v>
      </c>
      <c r="F45" s="22" t="s">
        <v>240</v>
      </c>
      <c r="G45" s="37">
        <v>-19.134746125040607</v>
      </c>
      <c r="H45" s="33">
        <v>-1.8106070441996565</v>
      </c>
    </row>
    <row r="46" spans="1:9" ht="13.5" thickBot="1" x14ac:dyDescent="0.25">
      <c r="A46" s="56"/>
      <c r="B46" s="42" t="s">
        <v>241</v>
      </c>
      <c r="C46" s="86">
        <v>137.32809369136749</v>
      </c>
      <c r="D46" s="86">
        <v>115.63225107350824</v>
      </c>
      <c r="E46" s="86">
        <v>112.69701330749041</v>
      </c>
      <c r="F46" s="44"/>
      <c r="G46" s="57">
        <v>-17.935937011718238</v>
      </c>
      <c r="H46" s="46">
        <v>-2.5384248241884393</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row>
    <row r="60" spans="1:9" x14ac:dyDescent="0.2">
      <c r="A60" s="52"/>
      <c r="B60" s="52"/>
      <c r="C60" s="52"/>
      <c r="D60" s="52"/>
      <c r="E60" s="52"/>
      <c r="F60" s="52"/>
      <c r="G60" s="52"/>
      <c r="H60" s="52"/>
    </row>
    <row r="61" spans="1:9" ht="12.75" customHeight="1" x14ac:dyDescent="0.2">
      <c r="A61" s="54" t="s">
        <v>242</v>
      </c>
      <c r="H61" s="200">
        <v>25</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156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64</v>
      </c>
      <c r="B7" s="19" t="s">
        <v>3</v>
      </c>
      <c r="C7" s="20">
        <v>11603.98</v>
      </c>
      <c r="D7" s="20">
        <v>11455.784425960001</v>
      </c>
      <c r="E7" s="79">
        <v>11771.430405277326</v>
      </c>
      <c r="F7" s="22" t="s">
        <v>240</v>
      </c>
      <c r="G7" s="23">
        <v>1.4430428635461681</v>
      </c>
      <c r="H7" s="24">
        <v>2.7553414727501178</v>
      </c>
    </row>
    <row r="8" spans="1:8" ht="12.75" customHeight="1" x14ac:dyDescent="0.2">
      <c r="A8" s="206"/>
      <c r="B8" s="25" t="s">
        <v>241</v>
      </c>
      <c r="C8" s="26">
        <v>8411.9601644300001</v>
      </c>
      <c r="D8" s="26">
        <v>8518.8459999999995</v>
      </c>
      <c r="E8" s="26">
        <v>8678.9101406499994</v>
      </c>
      <c r="F8" s="27"/>
      <c r="G8" s="28">
        <v>3.1734574463250169</v>
      </c>
      <c r="H8" s="29">
        <v>1.8789415919714827</v>
      </c>
    </row>
    <row r="9" spans="1:8" x14ac:dyDescent="0.2">
      <c r="A9" s="30" t="s">
        <v>53</v>
      </c>
      <c r="B9" s="31" t="s">
        <v>3</v>
      </c>
      <c r="C9" s="20">
        <v>2.2198000000000002</v>
      </c>
      <c r="D9" s="20">
        <v>2.2378442596000001</v>
      </c>
      <c r="E9" s="21">
        <v>36.126875736980217</v>
      </c>
      <c r="F9" s="22" t="s">
        <v>240</v>
      </c>
      <c r="G9" s="32">
        <v>1527.4833650319945</v>
      </c>
      <c r="H9" s="33">
        <v>1514.3605875163832</v>
      </c>
    </row>
    <row r="10" spans="1:8" x14ac:dyDescent="0.2">
      <c r="A10" s="34"/>
      <c r="B10" s="25" t="s">
        <v>241</v>
      </c>
      <c r="C10" s="26">
        <v>277.15960164429998</v>
      </c>
      <c r="D10" s="26">
        <v>0.17346</v>
      </c>
      <c r="E10" s="26">
        <v>4.1991014064999996</v>
      </c>
      <c r="F10" s="27"/>
      <c r="G10" s="35">
        <v>-98.484951853881995</v>
      </c>
      <c r="H10" s="29">
        <v>2320.789465294592</v>
      </c>
    </row>
    <row r="11" spans="1:8" x14ac:dyDescent="0.2">
      <c r="A11" s="30" t="s">
        <v>54</v>
      </c>
      <c r="B11" s="31" t="s">
        <v>3</v>
      </c>
      <c r="C11" s="20">
        <v>760.09900000000005</v>
      </c>
      <c r="D11" s="20">
        <v>691.18922129800001</v>
      </c>
      <c r="E11" s="21">
        <v>659.55395019850801</v>
      </c>
      <c r="F11" s="22" t="s">
        <v>240</v>
      </c>
      <c r="G11" s="37">
        <v>-13.227888709430218</v>
      </c>
      <c r="H11" s="33">
        <v>-4.5769335117933991</v>
      </c>
    </row>
    <row r="12" spans="1:8" x14ac:dyDescent="0.2">
      <c r="A12" s="34"/>
      <c r="B12" s="25" t="s">
        <v>241</v>
      </c>
      <c r="C12" s="26">
        <v>239.7980082215</v>
      </c>
      <c r="D12" s="26">
        <v>501.8673</v>
      </c>
      <c r="E12" s="26">
        <v>333.99550703249997</v>
      </c>
      <c r="F12" s="27"/>
      <c r="G12" s="28">
        <v>39.282018858134279</v>
      </c>
      <c r="H12" s="29">
        <v>-33.449438321145848</v>
      </c>
    </row>
    <row r="13" spans="1:8" x14ac:dyDescent="0.2">
      <c r="A13" s="30" t="s">
        <v>66</v>
      </c>
      <c r="B13" s="31" t="s">
        <v>3</v>
      </c>
      <c r="C13" s="20">
        <v>60.439599999999999</v>
      </c>
      <c r="D13" s="20">
        <v>33.475688519199998</v>
      </c>
      <c r="E13" s="21">
        <v>34.601173094431658</v>
      </c>
      <c r="F13" s="22" t="s">
        <v>240</v>
      </c>
      <c r="G13" s="23">
        <v>-42.750823806855678</v>
      </c>
      <c r="H13" s="24">
        <v>3.3620953743375139</v>
      </c>
    </row>
    <row r="14" spans="1:8" x14ac:dyDescent="0.2">
      <c r="A14" s="34"/>
      <c r="B14" s="25" t="s">
        <v>241</v>
      </c>
      <c r="C14" s="26">
        <v>144.31920328859999</v>
      </c>
      <c r="D14" s="26">
        <v>22.346920000000001</v>
      </c>
      <c r="E14" s="26">
        <v>30.398202813000001</v>
      </c>
      <c r="F14" s="27"/>
      <c r="G14" s="38">
        <v>-78.936827448935063</v>
      </c>
      <c r="H14" s="24">
        <v>36.028601762569537</v>
      </c>
    </row>
    <row r="15" spans="1:8" x14ac:dyDescent="0.2">
      <c r="A15" s="30" t="s">
        <v>55</v>
      </c>
      <c r="B15" s="31" t="s">
        <v>3</v>
      </c>
      <c r="C15" s="20">
        <v>8522.5839999999989</v>
      </c>
      <c r="D15" s="20">
        <v>8374.0275407680001</v>
      </c>
      <c r="E15" s="21">
        <v>7958.3901966805997</v>
      </c>
      <c r="F15" s="22" t="s">
        <v>240</v>
      </c>
      <c r="G15" s="37">
        <v>-6.6199852453129182</v>
      </c>
      <c r="H15" s="33">
        <v>-4.9634102833304183</v>
      </c>
    </row>
    <row r="16" spans="1:8" x14ac:dyDescent="0.2">
      <c r="A16" s="34"/>
      <c r="B16" s="25" t="s">
        <v>241</v>
      </c>
      <c r="C16" s="26">
        <v>6101.7681315440004</v>
      </c>
      <c r="D16" s="26">
        <v>6292.3768</v>
      </c>
      <c r="E16" s="26">
        <v>5882.9281125199996</v>
      </c>
      <c r="F16" s="27"/>
      <c r="G16" s="28">
        <v>-3.5865017205861136</v>
      </c>
      <c r="H16" s="29">
        <v>-6.5070592638381157</v>
      </c>
    </row>
    <row r="17" spans="1:9" x14ac:dyDescent="0.2">
      <c r="A17" s="30" t="s">
        <v>67</v>
      </c>
      <c r="B17" s="31" t="s">
        <v>3</v>
      </c>
      <c r="C17" s="20">
        <v>805.09900000000005</v>
      </c>
      <c r="D17" s="20">
        <v>770.18922129800001</v>
      </c>
      <c r="E17" s="21">
        <v>1272.3339612221898</v>
      </c>
      <c r="F17" s="22" t="s">
        <v>240</v>
      </c>
      <c r="G17" s="37">
        <v>58.034472930930207</v>
      </c>
      <c r="H17" s="33">
        <v>65.197580807210642</v>
      </c>
    </row>
    <row r="18" spans="1:9" x14ac:dyDescent="0.2">
      <c r="A18" s="30"/>
      <c r="B18" s="25" t="s">
        <v>241</v>
      </c>
      <c r="C18" s="26">
        <v>580.79800822150003</v>
      </c>
      <c r="D18" s="26">
        <v>564.8673</v>
      </c>
      <c r="E18" s="26">
        <v>927.99550703249997</v>
      </c>
      <c r="F18" s="27"/>
      <c r="G18" s="28">
        <v>59.779388685263655</v>
      </c>
      <c r="H18" s="29">
        <v>64.285577698071734</v>
      </c>
    </row>
    <row r="19" spans="1:9" x14ac:dyDescent="0.2">
      <c r="A19" s="39" t="s">
        <v>56</v>
      </c>
      <c r="B19" s="31" t="s">
        <v>3</v>
      </c>
      <c r="C19" s="20">
        <v>97.219800000000006</v>
      </c>
      <c r="D19" s="20">
        <v>80.237844259599996</v>
      </c>
      <c r="E19" s="21">
        <v>119.37993514366295</v>
      </c>
      <c r="F19" s="22" t="s">
        <v>240</v>
      </c>
      <c r="G19" s="23">
        <v>22.793849754538627</v>
      </c>
      <c r="H19" s="24">
        <v>48.782580396132516</v>
      </c>
    </row>
    <row r="20" spans="1:9" x14ac:dyDescent="0.2">
      <c r="A20" s="34"/>
      <c r="B20" s="25" t="s">
        <v>241</v>
      </c>
      <c r="C20" s="26">
        <v>68.159601644299997</v>
      </c>
      <c r="D20" s="26">
        <v>64.173460000000006</v>
      </c>
      <c r="E20" s="26">
        <v>91.199101406500006</v>
      </c>
      <c r="F20" s="27"/>
      <c r="G20" s="38">
        <v>33.80228053918907</v>
      </c>
      <c r="H20" s="24">
        <v>42.113424157743708</v>
      </c>
    </row>
    <row r="21" spans="1:9" x14ac:dyDescent="0.2">
      <c r="A21" s="39" t="s">
        <v>68</v>
      </c>
      <c r="B21" s="31" t="s">
        <v>3</v>
      </c>
      <c r="C21" s="20">
        <v>9.2197999999999993</v>
      </c>
      <c r="D21" s="20">
        <v>2.2378442596000001</v>
      </c>
      <c r="E21" s="21">
        <v>41.776712115767303</v>
      </c>
      <c r="F21" s="22" t="s">
        <v>240</v>
      </c>
      <c r="G21" s="37">
        <v>353.11950493250731</v>
      </c>
      <c r="H21" s="33">
        <v>1766.8283968623723</v>
      </c>
    </row>
    <row r="22" spans="1:9" x14ac:dyDescent="0.2">
      <c r="A22" s="34"/>
      <c r="B22" s="25" t="s">
        <v>241</v>
      </c>
      <c r="C22" s="26">
        <v>5.1596016443000003</v>
      </c>
      <c r="D22" s="26">
        <v>3.1734599999999999</v>
      </c>
      <c r="E22" s="26">
        <v>39.199101406499999</v>
      </c>
      <c r="F22" s="27"/>
      <c r="G22" s="28">
        <v>659.73115966820183</v>
      </c>
      <c r="H22" s="29">
        <v>1135.2164957648749</v>
      </c>
    </row>
    <row r="23" spans="1:9" x14ac:dyDescent="0.2">
      <c r="A23" s="30" t="s">
        <v>69</v>
      </c>
      <c r="B23" s="31" t="s">
        <v>3</v>
      </c>
      <c r="C23" s="20">
        <v>1367.0990000000002</v>
      </c>
      <c r="D23" s="20">
        <v>1525.1892212980001</v>
      </c>
      <c r="E23" s="21">
        <v>1901.5976581824643</v>
      </c>
      <c r="F23" s="22" t="s">
        <v>240</v>
      </c>
      <c r="G23" s="23">
        <v>39.097289821912256</v>
      </c>
      <c r="H23" s="24">
        <v>24.679458235623031</v>
      </c>
    </row>
    <row r="24" spans="1:9" ht="13.5" thickBot="1" x14ac:dyDescent="0.25">
      <c r="A24" s="56"/>
      <c r="B24" s="42" t="s">
        <v>241</v>
      </c>
      <c r="C24" s="43">
        <v>1017.7980082215</v>
      </c>
      <c r="D24" s="43">
        <v>1091.8672999999999</v>
      </c>
      <c r="E24" s="43">
        <v>1378.9955070325</v>
      </c>
      <c r="F24" s="44"/>
      <c r="G24" s="57">
        <v>35.488131819215909</v>
      </c>
      <c r="H24" s="46">
        <v>26.29698746656301</v>
      </c>
    </row>
    <row r="25" spans="1:9" x14ac:dyDescent="0.2">
      <c r="A25" s="58"/>
      <c r="B25" s="58"/>
      <c r="C25" s="64"/>
      <c r="D25" s="64"/>
      <c r="E25" s="21"/>
      <c r="F25" s="59"/>
      <c r="G25" s="38"/>
      <c r="H25" s="60"/>
      <c r="I25" s="61"/>
    </row>
    <row r="26" spans="1:9" x14ac:dyDescent="0.2">
      <c r="A26" s="58"/>
      <c r="B26" s="58"/>
      <c r="C26" s="64"/>
      <c r="D26" s="64"/>
      <c r="E26" s="21"/>
      <c r="F26" s="59"/>
      <c r="G26" s="38"/>
      <c r="H26" s="60"/>
      <c r="I26" s="61"/>
    </row>
    <row r="27" spans="1:9" x14ac:dyDescent="0.2">
      <c r="A27" s="58"/>
      <c r="B27" s="58"/>
      <c r="C27" s="64"/>
      <c r="D27" s="64"/>
      <c r="E27" s="21"/>
      <c r="F27" s="59"/>
      <c r="G27" s="38"/>
      <c r="H27" s="60"/>
      <c r="I27" s="61"/>
    </row>
    <row r="28" spans="1:9" x14ac:dyDescent="0.2">
      <c r="A28" s="58"/>
      <c r="B28" s="58"/>
      <c r="C28" s="64"/>
      <c r="D28" s="64"/>
      <c r="E28" s="21"/>
      <c r="F28" s="59"/>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65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64</v>
      </c>
      <c r="B35" s="19" t="s">
        <v>3</v>
      </c>
      <c r="C35" s="80">
        <v>1394.3954936555808</v>
      </c>
      <c r="D35" s="80">
        <v>1493.657688654961</v>
      </c>
      <c r="E35" s="81">
        <v>1564.1255160080607</v>
      </c>
      <c r="F35" s="22" t="s">
        <v>240</v>
      </c>
      <c r="G35" s="23">
        <v>12.17230141123818</v>
      </c>
      <c r="H35" s="24">
        <v>4.7178030072309269</v>
      </c>
    </row>
    <row r="36" spans="1:8" ht="12.75" customHeight="1" x14ac:dyDescent="0.2">
      <c r="A36" s="206"/>
      <c r="B36" s="25" t="s">
        <v>241</v>
      </c>
      <c r="C36" s="82">
        <v>973.3508217150146</v>
      </c>
      <c r="D36" s="82">
        <v>1164.2826107355791</v>
      </c>
      <c r="E36" s="82">
        <v>1173.5719103874223</v>
      </c>
      <c r="F36" s="27"/>
      <c r="G36" s="28">
        <v>20.570290198103919</v>
      </c>
      <c r="H36" s="29">
        <v>0.79785608461287438</v>
      </c>
    </row>
    <row r="37" spans="1:8" x14ac:dyDescent="0.2">
      <c r="A37" s="30" t="s">
        <v>53</v>
      </c>
      <c r="B37" s="31" t="s">
        <v>3</v>
      </c>
      <c r="C37" s="80">
        <v>7.6027626367869916E-2</v>
      </c>
      <c r="D37" s="80">
        <v>7.4554924604123884E-2</v>
      </c>
      <c r="E37" s="83">
        <v>1.4500012860623728</v>
      </c>
      <c r="F37" s="22" t="s">
        <v>240</v>
      </c>
      <c r="G37" s="32">
        <v>1807.203151452271</v>
      </c>
      <c r="H37" s="33">
        <v>1844.8766044116801</v>
      </c>
    </row>
    <row r="38" spans="1:8" x14ac:dyDescent="0.2">
      <c r="A38" s="34"/>
      <c r="B38" s="25" t="s">
        <v>241</v>
      </c>
      <c r="C38" s="82">
        <v>9.3366897186945668</v>
      </c>
      <c r="D38" s="82">
        <v>5.5891996618912775E-2</v>
      </c>
      <c r="E38" s="82">
        <v>1.6255838413129871</v>
      </c>
      <c r="F38" s="27"/>
      <c r="G38" s="35">
        <v>-82.589291383881687</v>
      </c>
      <c r="H38" s="29">
        <v>2808.4375933045853</v>
      </c>
    </row>
    <row r="39" spans="1:8" x14ac:dyDescent="0.2">
      <c r="A39" s="30" t="s">
        <v>54</v>
      </c>
      <c r="B39" s="31" t="s">
        <v>3</v>
      </c>
      <c r="C39" s="80">
        <v>71.708466618889048</v>
      </c>
      <c r="D39" s="80">
        <v>80.071126986024154</v>
      </c>
      <c r="E39" s="83">
        <v>85.90212421187934</v>
      </c>
      <c r="F39" s="22" t="s">
        <v>240</v>
      </c>
      <c r="G39" s="37">
        <v>19.793558923000987</v>
      </c>
      <c r="H39" s="33">
        <v>7.2822719566229495</v>
      </c>
    </row>
    <row r="40" spans="1:8" x14ac:dyDescent="0.2">
      <c r="A40" s="34"/>
      <c r="B40" s="25" t="s">
        <v>241</v>
      </c>
      <c r="C40" s="82">
        <v>33.263575185525625</v>
      </c>
      <c r="D40" s="82">
        <v>52.287850004499923</v>
      </c>
      <c r="E40" s="82">
        <v>49.383508010131862</v>
      </c>
      <c r="F40" s="27"/>
      <c r="G40" s="28">
        <v>48.461215412649636</v>
      </c>
      <c r="H40" s="29">
        <v>-5.5545255620915981</v>
      </c>
    </row>
    <row r="41" spans="1:8" x14ac:dyDescent="0.2">
      <c r="A41" s="30" t="s">
        <v>66</v>
      </c>
      <c r="B41" s="31" t="s">
        <v>3</v>
      </c>
      <c r="C41" s="80">
        <v>16.64490997612884</v>
      </c>
      <c r="D41" s="80">
        <v>9.5388551292949231</v>
      </c>
      <c r="E41" s="83">
        <v>8.1230520253431777</v>
      </c>
      <c r="F41" s="22" t="s">
        <v>240</v>
      </c>
      <c r="G41" s="23">
        <v>-51.197981623254286</v>
      </c>
      <c r="H41" s="24">
        <v>-14.842484603877153</v>
      </c>
    </row>
    <row r="42" spans="1:8" x14ac:dyDescent="0.2">
      <c r="A42" s="34"/>
      <c r="B42" s="25" t="s">
        <v>241</v>
      </c>
      <c r="C42" s="82">
        <v>11.423546466672093</v>
      </c>
      <c r="D42" s="82">
        <v>8.3570179404450258</v>
      </c>
      <c r="E42" s="82">
        <v>6.5159785811396693</v>
      </c>
      <c r="F42" s="27"/>
      <c r="G42" s="38">
        <v>-42.960107877620388</v>
      </c>
      <c r="H42" s="24">
        <v>-22.029860081972231</v>
      </c>
    </row>
    <row r="43" spans="1:8" x14ac:dyDescent="0.2">
      <c r="A43" s="30" t="s">
        <v>55</v>
      </c>
      <c r="B43" s="31" t="s">
        <v>3</v>
      </c>
      <c r="C43" s="80">
        <v>931.02751570303553</v>
      </c>
      <c r="D43" s="80">
        <v>1016.3953384194397</v>
      </c>
      <c r="E43" s="83">
        <v>1038.2153954431922</v>
      </c>
      <c r="F43" s="22" t="s">
        <v>240</v>
      </c>
      <c r="G43" s="37">
        <v>11.512858420646907</v>
      </c>
      <c r="H43" s="33">
        <v>2.1468080577469237</v>
      </c>
    </row>
    <row r="44" spans="1:8" x14ac:dyDescent="0.2">
      <c r="A44" s="34"/>
      <c r="B44" s="25" t="s">
        <v>241</v>
      </c>
      <c r="C44" s="82">
        <v>632.68119507409972</v>
      </c>
      <c r="D44" s="82">
        <v>792.86233380108104</v>
      </c>
      <c r="E44" s="82">
        <v>771.82662719542736</v>
      </c>
      <c r="F44" s="27"/>
      <c r="G44" s="28">
        <v>21.992977380184485</v>
      </c>
      <c r="H44" s="29">
        <v>-2.6531348140610902</v>
      </c>
    </row>
    <row r="45" spans="1:8" x14ac:dyDescent="0.2">
      <c r="A45" s="30" t="s">
        <v>67</v>
      </c>
      <c r="B45" s="31" t="s">
        <v>3</v>
      </c>
      <c r="C45" s="80">
        <v>211.08535407145368</v>
      </c>
      <c r="D45" s="80">
        <v>210.54857297526399</v>
      </c>
      <c r="E45" s="83">
        <v>254.94807882633259</v>
      </c>
      <c r="F45" s="22" t="s">
        <v>240</v>
      </c>
      <c r="G45" s="37">
        <v>20.779615406207256</v>
      </c>
      <c r="H45" s="33">
        <v>21.087535870539867</v>
      </c>
    </row>
    <row r="46" spans="1:8" x14ac:dyDescent="0.2">
      <c r="A46" s="30"/>
      <c r="B46" s="25" t="s">
        <v>241</v>
      </c>
      <c r="C46" s="82">
        <v>154.62336389736782</v>
      </c>
      <c r="D46" s="82">
        <v>165.8128699688188</v>
      </c>
      <c r="E46" s="82">
        <v>195.87529769619266</v>
      </c>
      <c r="F46" s="27"/>
      <c r="G46" s="28">
        <v>26.678978363325513</v>
      </c>
      <c r="H46" s="29">
        <v>18.130334354038453</v>
      </c>
    </row>
    <row r="47" spans="1:8" x14ac:dyDescent="0.2">
      <c r="A47" s="39" t="s">
        <v>56</v>
      </c>
      <c r="B47" s="31" t="s">
        <v>3</v>
      </c>
      <c r="C47" s="80">
        <v>13.040535450521409</v>
      </c>
      <c r="D47" s="80">
        <v>11.505510489894391</v>
      </c>
      <c r="E47" s="83">
        <v>13.442614943032591</v>
      </c>
      <c r="F47" s="22" t="s">
        <v>240</v>
      </c>
      <c r="G47" s="23">
        <v>3.0833050838806457</v>
      </c>
      <c r="H47" s="24">
        <v>16.836319038947579</v>
      </c>
    </row>
    <row r="48" spans="1:8" x14ac:dyDescent="0.2">
      <c r="A48" s="34"/>
      <c r="B48" s="25" t="s">
        <v>241</v>
      </c>
      <c r="C48" s="82">
        <v>10.39136734964209</v>
      </c>
      <c r="D48" s="82">
        <v>8.9983226723224234</v>
      </c>
      <c r="E48" s="82">
        <v>10.578638821119707</v>
      </c>
      <c r="F48" s="27"/>
      <c r="G48" s="38">
        <v>1.8021831504596548</v>
      </c>
      <c r="H48" s="24">
        <v>17.562341409006294</v>
      </c>
    </row>
    <row r="49" spans="1:9" x14ac:dyDescent="0.2">
      <c r="A49" s="39" t="s">
        <v>68</v>
      </c>
      <c r="B49" s="31" t="s">
        <v>3</v>
      </c>
      <c r="C49" s="80">
        <v>3.8139490570951859</v>
      </c>
      <c r="D49" s="80">
        <v>2.3011466640619331</v>
      </c>
      <c r="E49" s="83">
        <v>2.825213980513253</v>
      </c>
      <c r="F49" s="22" t="s">
        <v>240</v>
      </c>
      <c r="G49" s="37">
        <v>-25.924181518433343</v>
      </c>
      <c r="H49" s="33">
        <v>22.774181439015621</v>
      </c>
    </row>
    <row r="50" spans="1:9" x14ac:dyDescent="0.2">
      <c r="A50" s="34"/>
      <c r="B50" s="25" t="s">
        <v>241</v>
      </c>
      <c r="C50" s="82">
        <v>3.2052446452779773</v>
      </c>
      <c r="D50" s="82">
        <v>2.4690411052655974</v>
      </c>
      <c r="E50" s="82">
        <v>2.7753418607273317</v>
      </c>
      <c r="F50" s="27"/>
      <c r="G50" s="28">
        <v>-13.412479611626082</v>
      </c>
      <c r="H50" s="29">
        <v>12.405656382492069</v>
      </c>
    </row>
    <row r="51" spans="1:9" x14ac:dyDescent="0.2">
      <c r="A51" s="30" t="s">
        <v>69</v>
      </c>
      <c r="B51" s="31" t="s">
        <v>3</v>
      </c>
      <c r="C51" s="80">
        <v>146.9987351520891</v>
      </c>
      <c r="D51" s="80">
        <v>163.22258306637772</v>
      </c>
      <c r="E51" s="83">
        <v>165.93388301783838</v>
      </c>
      <c r="F51" s="22" t="s">
        <v>240</v>
      </c>
      <c r="G51" s="23">
        <v>12.881163804680654</v>
      </c>
      <c r="H51" s="24">
        <v>1.6611058963317902</v>
      </c>
    </row>
    <row r="52" spans="1:9" ht="13.5" thickBot="1" x14ac:dyDescent="0.25">
      <c r="A52" s="56"/>
      <c r="B52" s="42" t="s">
        <v>241</v>
      </c>
      <c r="C52" s="86">
        <v>118.42583937773483</v>
      </c>
      <c r="D52" s="86">
        <v>133.43928324652714</v>
      </c>
      <c r="E52" s="86">
        <v>134.99093438137064</v>
      </c>
      <c r="F52" s="44"/>
      <c r="G52" s="57">
        <v>13.987737043432944</v>
      </c>
      <c r="H52" s="46">
        <v>1.1628143505363795</v>
      </c>
    </row>
    <row r="53" spans="1:9" x14ac:dyDescent="0.2">
      <c r="A53" s="65"/>
      <c r="B53" s="62"/>
      <c r="C53" s="21"/>
      <c r="D53" s="21"/>
      <c r="E53" s="21"/>
      <c r="F53" s="63"/>
      <c r="G53" s="38"/>
      <c r="H53" s="60"/>
      <c r="I53" s="61"/>
    </row>
    <row r="54" spans="1:9" x14ac:dyDescent="0.2">
      <c r="A54" s="65"/>
      <c r="B54" s="62"/>
      <c r="C54" s="21"/>
      <c r="D54" s="21"/>
      <c r="E54" s="21"/>
      <c r="F54" s="63"/>
      <c r="G54" s="38"/>
      <c r="H54" s="60"/>
      <c r="I54" s="61"/>
    </row>
    <row r="55" spans="1:9" x14ac:dyDescent="0.2">
      <c r="A55" s="65"/>
      <c r="B55" s="62"/>
      <c r="C55" s="21"/>
      <c r="D55" s="21"/>
      <c r="E55" s="21"/>
      <c r="F55" s="63"/>
      <c r="G55" s="38"/>
      <c r="H55" s="60"/>
      <c r="I55" s="61"/>
    </row>
    <row r="56" spans="1:9" x14ac:dyDescent="0.2">
      <c r="A56" s="65"/>
      <c r="B56" s="62"/>
      <c r="C56" s="21"/>
      <c r="D56" s="21"/>
      <c r="E56" s="21"/>
      <c r="F56" s="63"/>
      <c r="G56" s="38"/>
      <c r="H56" s="60"/>
      <c r="I56" s="61"/>
    </row>
    <row r="57" spans="1:9" x14ac:dyDescent="0.2">
      <c r="A57" s="65"/>
      <c r="B57" s="62"/>
      <c r="C57" s="21"/>
      <c r="D57" s="21"/>
      <c r="E57" s="21"/>
      <c r="F57" s="63"/>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G61" s="53"/>
      <c r="H61" s="208">
        <v>26</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zoomScaleNormal="100" workbookViewId="0"/>
  </sheetViews>
  <sheetFormatPr defaultColWidth="11.42578125" defaultRowHeight="12.75" x14ac:dyDescent="0.2"/>
  <cols>
    <col min="1" max="1" width="27.140625" style="1" customWidth="1"/>
    <col min="2" max="4" width="10.5703125" style="1" customWidth="1"/>
    <col min="5" max="6" width="7.5703125" style="1" customWidth="1"/>
    <col min="7" max="7" width="8.140625" style="1" customWidth="1"/>
    <col min="8" max="16384" width="11.42578125" style="1"/>
  </cols>
  <sheetData>
    <row r="1" spans="1:7" ht="5.25" customHeight="1" x14ac:dyDescent="0.2"/>
    <row r="2" spans="1:7" x14ac:dyDescent="0.2">
      <c r="A2" s="92" t="s">
        <v>0</v>
      </c>
      <c r="B2" s="2"/>
      <c r="C2" s="2"/>
      <c r="D2" s="2"/>
      <c r="E2" s="2"/>
      <c r="F2" s="2"/>
    </row>
    <row r="3" spans="1:7" ht="6" customHeight="1" x14ac:dyDescent="0.2">
      <c r="A3" s="2"/>
      <c r="B3" s="2"/>
      <c r="C3" s="2"/>
      <c r="D3" s="2"/>
      <c r="E3" s="2"/>
      <c r="F3" s="2"/>
    </row>
    <row r="4" spans="1:7" ht="15.75" customHeight="1" x14ac:dyDescent="0.25">
      <c r="A4" s="88" t="s">
        <v>109</v>
      </c>
      <c r="B4" s="74"/>
      <c r="C4" s="74"/>
      <c r="D4" s="74"/>
      <c r="E4" s="74"/>
      <c r="F4" s="74"/>
      <c r="G4" s="74"/>
    </row>
    <row r="5" spans="1:7" ht="15.75" customHeight="1" x14ac:dyDescent="0.25">
      <c r="A5" s="75"/>
      <c r="B5" s="74"/>
      <c r="C5" s="74"/>
      <c r="D5" s="74"/>
      <c r="E5" s="74"/>
      <c r="F5" s="74"/>
      <c r="G5" s="74"/>
    </row>
    <row r="6" spans="1:7" ht="15.75" customHeight="1" x14ac:dyDescent="0.25">
      <c r="A6" s="73"/>
      <c r="B6" s="73"/>
      <c r="C6" s="73"/>
      <c r="D6" s="73"/>
      <c r="E6" s="73"/>
      <c r="F6" s="73"/>
      <c r="G6" s="73"/>
    </row>
    <row r="7" spans="1:7" ht="15.75" customHeight="1" x14ac:dyDescent="0.25">
      <c r="A7" s="73"/>
      <c r="B7" s="73"/>
      <c r="C7" s="73"/>
      <c r="D7" s="73"/>
      <c r="E7" s="73"/>
      <c r="F7" s="73"/>
      <c r="G7" s="73"/>
    </row>
    <row r="8" spans="1:7" ht="15.75" customHeight="1" x14ac:dyDescent="0.25">
      <c r="A8" s="73"/>
      <c r="B8" s="73"/>
      <c r="C8" s="73"/>
      <c r="D8" s="73"/>
      <c r="E8" s="73"/>
      <c r="F8" s="73"/>
      <c r="G8" s="73"/>
    </row>
    <row r="9" spans="1:7" ht="15.75" customHeight="1" x14ac:dyDescent="0.25">
      <c r="A9" s="73"/>
      <c r="B9" s="73"/>
      <c r="C9" s="73"/>
      <c r="D9" s="73"/>
      <c r="E9" s="73"/>
      <c r="F9" s="73"/>
      <c r="G9" s="73"/>
    </row>
    <row r="10" spans="1:7" ht="15.75" customHeight="1" x14ac:dyDescent="0.25">
      <c r="A10" s="73"/>
      <c r="B10" s="73"/>
      <c r="C10" s="73"/>
      <c r="D10" s="73"/>
      <c r="E10" s="73"/>
      <c r="F10" s="73"/>
      <c r="G10" s="73"/>
    </row>
    <row r="11" spans="1:7" ht="15.75" customHeight="1" x14ac:dyDescent="0.25">
      <c r="A11" s="73"/>
      <c r="B11" s="73"/>
      <c r="C11" s="73"/>
      <c r="D11" s="73"/>
      <c r="E11" s="73"/>
      <c r="F11" s="73"/>
      <c r="G11" s="73"/>
    </row>
    <row r="12" spans="1:7" ht="15.75" customHeight="1" x14ac:dyDescent="0.25">
      <c r="A12" s="73"/>
      <c r="B12" s="73"/>
      <c r="C12" s="73"/>
      <c r="D12" s="73"/>
      <c r="E12" s="73"/>
      <c r="F12" s="73"/>
      <c r="G12" s="73"/>
    </row>
    <row r="13" spans="1:7" ht="15.75" customHeight="1" x14ac:dyDescent="0.25">
      <c r="A13" s="73"/>
      <c r="B13" s="73"/>
      <c r="C13" s="73"/>
      <c r="D13" s="73"/>
      <c r="E13" s="73"/>
      <c r="F13" s="73"/>
      <c r="G13" s="73"/>
    </row>
    <row r="14" spans="1:7" ht="15.75" customHeight="1" x14ac:dyDescent="0.25">
      <c r="A14" s="73"/>
      <c r="B14" s="73"/>
      <c r="C14" s="73"/>
      <c r="D14" s="73"/>
      <c r="E14" s="73"/>
      <c r="F14" s="73"/>
      <c r="G14" s="73"/>
    </row>
    <row r="15" spans="1:7" ht="15.75" customHeight="1" x14ac:dyDescent="0.25">
      <c r="A15" s="73"/>
      <c r="B15" s="73"/>
      <c r="C15" s="73"/>
      <c r="D15" s="73"/>
      <c r="E15" s="73"/>
      <c r="F15" s="73"/>
      <c r="G15" s="73"/>
    </row>
    <row r="16" spans="1:7" ht="15.75" customHeight="1" x14ac:dyDescent="0.25">
      <c r="A16" s="73"/>
      <c r="B16" s="73"/>
      <c r="C16" s="73"/>
      <c r="D16" s="73"/>
      <c r="E16" s="73"/>
      <c r="F16" s="73"/>
      <c r="G16" s="73"/>
    </row>
    <row r="17" spans="1:13" ht="15.75" customHeight="1" x14ac:dyDescent="0.25">
      <c r="A17" s="73"/>
      <c r="B17" s="73"/>
      <c r="C17" s="73"/>
      <c r="D17" s="73"/>
      <c r="E17" s="73"/>
      <c r="F17" s="73"/>
      <c r="G17" s="73"/>
    </row>
    <row r="18" spans="1:13" ht="15.75" customHeight="1" x14ac:dyDescent="0.25">
      <c r="A18" s="73"/>
      <c r="B18" s="73"/>
      <c r="C18" s="73"/>
      <c r="D18" s="73"/>
      <c r="E18" s="73"/>
      <c r="F18" s="73"/>
      <c r="G18" s="73"/>
    </row>
    <row r="19" spans="1:13" ht="15.75" customHeight="1" x14ac:dyDescent="0.25">
      <c r="A19" s="73"/>
      <c r="B19" s="73"/>
      <c r="C19" s="73"/>
      <c r="D19" s="73"/>
      <c r="E19" s="73"/>
      <c r="F19" s="73"/>
      <c r="G19" s="73"/>
    </row>
    <row r="20" spans="1:13" ht="15.75" customHeight="1" x14ac:dyDescent="0.25">
      <c r="A20" s="73"/>
      <c r="B20" s="73"/>
      <c r="C20" s="73"/>
      <c r="D20" s="73"/>
      <c r="E20" s="73"/>
      <c r="F20" s="73"/>
      <c r="G20" s="73"/>
    </row>
    <row r="21" spans="1:13" ht="15.75" customHeight="1" x14ac:dyDescent="0.25">
      <c r="A21" s="73"/>
      <c r="B21" s="73"/>
      <c r="C21" s="73"/>
      <c r="D21" s="73"/>
      <c r="E21" s="73"/>
      <c r="F21" s="73"/>
      <c r="G21" s="73"/>
    </row>
    <row r="22" spans="1:13" ht="15.75" customHeight="1" x14ac:dyDescent="0.25">
      <c r="A22" s="73"/>
      <c r="B22" s="73"/>
      <c r="C22" s="73"/>
      <c r="D22" s="73"/>
      <c r="E22" s="73"/>
      <c r="F22" s="73"/>
      <c r="G22" s="73"/>
    </row>
    <row r="23" spans="1:13" ht="15.75" customHeight="1" x14ac:dyDescent="0.25">
      <c r="A23" s="73"/>
      <c r="B23" s="73"/>
      <c r="C23" s="73"/>
      <c r="D23" s="73"/>
      <c r="E23" s="73"/>
      <c r="F23" s="73"/>
      <c r="G23" s="73"/>
    </row>
    <row r="24" spans="1:13" ht="15.75" customHeight="1" x14ac:dyDescent="0.25">
      <c r="A24" s="73"/>
      <c r="B24" s="73"/>
      <c r="C24" s="73"/>
      <c r="D24" s="73"/>
      <c r="E24" s="73"/>
      <c r="F24" s="73"/>
      <c r="G24" s="73"/>
    </row>
    <row r="25" spans="1:13" ht="15.75" customHeight="1" x14ac:dyDescent="0.25">
      <c r="A25" s="73"/>
      <c r="B25" s="73"/>
      <c r="C25" s="73"/>
      <c r="D25" s="73"/>
      <c r="E25" s="73"/>
      <c r="F25" s="73"/>
      <c r="G25" s="73"/>
    </row>
    <row r="26" spans="1:13" ht="15.75" customHeight="1" x14ac:dyDescent="0.25">
      <c r="A26" s="73"/>
      <c r="B26" s="73"/>
      <c r="C26" s="73"/>
      <c r="D26" s="73"/>
      <c r="E26" s="73"/>
      <c r="F26" s="73"/>
      <c r="G26" s="73"/>
    </row>
    <row r="27" spans="1:13" ht="15.75" customHeight="1" x14ac:dyDescent="0.25">
      <c r="A27" s="73"/>
      <c r="B27" s="73"/>
      <c r="C27" s="73"/>
      <c r="D27" s="73"/>
      <c r="E27" s="73"/>
      <c r="F27" s="73"/>
      <c r="G27" s="73"/>
      <c r="M27" s="77"/>
    </row>
    <row r="28" spans="1:13" ht="15.75" customHeight="1" x14ac:dyDescent="0.25">
      <c r="A28" s="73"/>
      <c r="B28" s="73"/>
      <c r="C28" s="73"/>
      <c r="D28" s="73"/>
      <c r="E28" s="73"/>
      <c r="F28" s="73"/>
      <c r="G28" s="73"/>
      <c r="M28" s="77"/>
    </row>
    <row r="29" spans="1:13" ht="15.75" customHeight="1" x14ac:dyDescent="0.25">
      <c r="A29" s="73"/>
      <c r="B29" s="73"/>
      <c r="C29" s="73"/>
      <c r="D29" s="73"/>
      <c r="E29" s="73"/>
      <c r="F29" s="73"/>
      <c r="G29" s="73"/>
      <c r="M29" s="77"/>
    </row>
    <row r="30" spans="1:13" ht="15.75" customHeight="1" x14ac:dyDescent="0.25">
      <c r="A30" s="73"/>
      <c r="B30" s="73"/>
      <c r="C30" s="73"/>
      <c r="D30" s="73"/>
      <c r="E30" s="73"/>
      <c r="F30" s="73"/>
      <c r="G30" s="73"/>
      <c r="M30" s="77"/>
    </row>
    <row r="31" spans="1:13" ht="15.75" customHeight="1" x14ac:dyDescent="0.25">
      <c r="A31" s="73"/>
      <c r="B31" s="73"/>
      <c r="C31" s="73"/>
      <c r="D31" s="73"/>
      <c r="E31" s="73"/>
      <c r="F31" s="73"/>
      <c r="G31" s="73"/>
      <c r="M31" s="77"/>
    </row>
    <row r="32" spans="1:13" ht="15.75" customHeight="1" x14ac:dyDescent="0.25">
      <c r="A32" s="73"/>
      <c r="B32" s="73"/>
      <c r="C32" s="73"/>
      <c r="D32" s="73"/>
      <c r="E32" s="73"/>
      <c r="F32" s="73"/>
      <c r="G32" s="73"/>
      <c r="M32" s="77"/>
    </row>
    <row r="33" spans="1:13" ht="15.75" customHeight="1" x14ac:dyDescent="0.25">
      <c r="A33" s="73"/>
      <c r="B33" s="73"/>
      <c r="C33" s="73"/>
      <c r="D33" s="73"/>
      <c r="E33" s="73"/>
      <c r="F33" s="73"/>
      <c r="G33" s="73"/>
      <c r="M33" s="77"/>
    </row>
    <row r="34" spans="1:13" ht="15.75" customHeight="1" x14ac:dyDescent="0.25">
      <c r="A34" s="73"/>
      <c r="B34" s="73"/>
      <c r="C34" s="73"/>
      <c r="D34" s="73"/>
      <c r="E34" s="73"/>
      <c r="F34" s="73"/>
      <c r="G34" s="73"/>
      <c r="M34" s="77"/>
    </row>
    <row r="35" spans="1:13" ht="15.75" customHeight="1" x14ac:dyDescent="0.25">
      <c r="A35" s="73"/>
      <c r="B35" s="73"/>
      <c r="C35" s="73"/>
      <c r="D35" s="73"/>
      <c r="E35" s="73"/>
      <c r="F35" s="73"/>
      <c r="G35" s="73"/>
      <c r="M35" s="77"/>
    </row>
    <row r="36" spans="1:13" ht="15.75" customHeight="1" x14ac:dyDescent="0.25">
      <c r="A36" s="73"/>
      <c r="B36" s="73"/>
      <c r="C36" s="73"/>
      <c r="D36" s="73"/>
      <c r="E36" s="73"/>
      <c r="F36" s="73"/>
      <c r="G36" s="73"/>
      <c r="M36" s="77"/>
    </row>
    <row r="37" spans="1:13" ht="15.75" customHeight="1" x14ac:dyDescent="0.25">
      <c r="A37" s="73"/>
      <c r="B37" s="73"/>
      <c r="C37" s="73"/>
      <c r="D37" s="73"/>
      <c r="E37" s="73"/>
      <c r="F37" s="73"/>
      <c r="G37" s="73"/>
      <c r="M37" s="77"/>
    </row>
    <row r="38" spans="1:13" ht="15.75" customHeight="1" x14ac:dyDescent="0.25">
      <c r="A38" s="73"/>
      <c r="B38" s="73"/>
      <c r="C38" s="73"/>
      <c r="D38" s="73"/>
      <c r="E38" s="73"/>
      <c r="F38" s="73"/>
      <c r="G38" s="73"/>
      <c r="M38" s="77"/>
    </row>
    <row r="39" spans="1:13" ht="15.75" customHeight="1" x14ac:dyDescent="0.25">
      <c r="A39" s="73"/>
      <c r="B39" s="73"/>
      <c r="C39" s="73"/>
      <c r="D39" s="73"/>
      <c r="E39" s="73"/>
      <c r="F39" s="73"/>
      <c r="G39" s="73"/>
      <c r="M39" s="77"/>
    </row>
    <row r="40" spans="1:13" ht="15.75" customHeight="1" x14ac:dyDescent="0.25">
      <c r="A40" s="73"/>
      <c r="B40" s="73"/>
      <c r="C40" s="73"/>
      <c r="D40" s="73"/>
      <c r="E40" s="73"/>
      <c r="F40" s="73"/>
      <c r="G40" s="73"/>
      <c r="M40" s="77"/>
    </row>
    <row r="41" spans="1:13" ht="15.75" customHeight="1" x14ac:dyDescent="0.25">
      <c r="A41" s="73"/>
      <c r="B41" s="73"/>
      <c r="C41" s="73"/>
      <c r="D41" s="73"/>
      <c r="E41" s="73"/>
      <c r="F41" s="73"/>
      <c r="G41" s="73"/>
      <c r="M41" s="77"/>
    </row>
    <row r="42" spans="1:13" ht="15.75" customHeight="1" x14ac:dyDescent="0.25">
      <c r="A42" s="73"/>
      <c r="B42" s="73"/>
      <c r="C42" s="73"/>
      <c r="D42" s="73"/>
      <c r="E42" s="73"/>
      <c r="F42" s="73"/>
      <c r="G42" s="73"/>
      <c r="M42" s="77"/>
    </row>
    <row r="43" spans="1:13" ht="15.75" customHeight="1" x14ac:dyDescent="0.25">
      <c r="A43" s="73"/>
      <c r="B43" s="73"/>
      <c r="C43" s="73"/>
      <c r="D43" s="73"/>
      <c r="E43" s="73"/>
      <c r="F43" s="73"/>
      <c r="G43" s="73"/>
      <c r="M43" s="77"/>
    </row>
    <row r="44" spans="1:13" ht="15.75" customHeight="1" x14ac:dyDescent="0.25">
      <c r="A44" s="73"/>
      <c r="B44" s="73"/>
      <c r="C44" s="73"/>
      <c r="D44" s="73"/>
      <c r="E44" s="73"/>
      <c r="F44" s="73"/>
      <c r="G44" s="73"/>
      <c r="M44" s="77"/>
    </row>
    <row r="45" spans="1:13" ht="15.75" customHeight="1" x14ac:dyDescent="0.25">
      <c r="A45" s="73"/>
      <c r="B45" s="73"/>
      <c r="C45" s="73"/>
      <c r="D45" s="73"/>
      <c r="E45" s="73"/>
      <c r="F45" s="73"/>
      <c r="G45" s="73"/>
      <c r="M45" s="77"/>
    </row>
    <row r="46" spans="1:13" ht="15.75" customHeight="1" x14ac:dyDescent="0.25">
      <c r="A46" s="73"/>
      <c r="B46" s="73"/>
      <c r="C46" s="73"/>
      <c r="D46" s="73"/>
      <c r="E46" s="73"/>
      <c r="F46" s="73"/>
      <c r="G46" s="73"/>
      <c r="M46" s="77"/>
    </row>
    <row r="47" spans="1:13" ht="15.75" customHeight="1" x14ac:dyDescent="0.25">
      <c r="A47" s="73"/>
      <c r="B47" s="73"/>
      <c r="C47" s="73"/>
      <c r="D47" s="73"/>
      <c r="E47" s="73"/>
      <c r="F47" s="73"/>
      <c r="G47" s="73"/>
      <c r="M47" s="77"/>
    </row>
    <row r="48" spans="1:13" ht="15.75" customHeight="1" x14ac:dyDescent="0.25">
      <c r="A48" s="73"/>
      <c r="B48" s="73"/>
      <c r="C48" s="73"/>
      <c r="D48" s="73"/>
      <c r="E48" s="73"/>
      <c r="F48" s="73"/>
      <c r="G48" s="73"/>
      <c r="M48" s="77"/>
    </row>
    <row r="49" spans="1:14" ht="15.75" customHeight="1" x14ac:dyDescent="0.25">
      <c r="A49" s="73"/>
      <c r="B49" s="73"/>
      <c r="C49" s="73"/>
      <c r="D49" s="73"/>
      <c r="E49" s="95"/>
      <c r="F49" s="73"/>
      <c r="G49" s="73"/>
      <c r="M49" s="77"/>
    </row>
    <row r="50" spans="1:14" ht="15.75" customHeight="1" x14ac:dyDescent="0.25">
      <c r="A50" s="73"/>
      <c r="B50" s="73"/>
      <c r="C50" s="73"/>
      <c r="D50" s="73"/>
      <c r="E50" s="73"/>
      <c r="F50" s="73"/>
      <c r="G50" s="73"/>
      <c r="M50" s="77"/>
    </row>
    <row r="51" spans="1:14" ht="12.75" customHeight="1" x14ac:dyDescent="0.2">
      <c r="A51" s="52"/>
      <c r="B51" s="52"/>
      <c r="C51" s="52"/>
      <c r="D51" s="52"/>
      <c r="E51" s="52"/>
      <c r="F51" s="52"/>
      <c r="G51" s="52"/>
      <c r="H51" s="52"/>
      <c r="I51" s="52"/>
      <c r="J51" s="52"/>
      <c r="K51" s="52"/>
      <c r="L51" s="52"/>
      <c r="M51" s="52"/>
      <c r="N51" s="52"/>
    </row>
    <row r="52" spans="1:14" ht="12.75" customHeight="1" x14ac:dyDescent="0.2">
      <c r="A52" s="54" t="str">
        <f>+Innhold!B123</f>
        <v>Finans Norge / Skadeforsikringsstatistikk</v>
      </c>
      <c r="G52" s="200">
        <v>27</v>
      </c>
      <c r="H52" s="54" t="str">
        <f>+Innhold!B123</f>
        <v>Finans Norge / Skadeforsikringsstatistikk</v>
      </c>
      <c r="N52" s="200">
        <v>28</v>
      </c>
    </row>
    <row r="53" spans="1:14" ht="12.75" customHeight="1" x14ac:dyDescent="0.2">
      <c r="A53" s="54" t="str">
        <f>+Innhold!B124</f>
        <v>Skadestatistikk for landbasert forsikring 3. kvartal 2022</v>
      </c>
      <c r="G53" s="201"/>
      <c r="H53" s="54" t="str">
        <f>+Innhold!B124</f>
        <v>Skadestatistikk for landbasert forsikring 3. kvartal 2022</v>
      </c>
      <c r="N53" s="201"/>
    </row>
    <row r="54" spans="1:14" ht="15.75" customHeight="1" x14ac:dyDescent="0.2"/>
    <row r="55" spans="1:14" ht="15.75" customHeight="1" x14ac:dyDescent="0.2"/>
    <row r="56" spans="1:14" ht="15.75" customHeight="1" x14ac:dyDescent="0.2"/>
    <row r="57" spans="1:14" ht="15.75" customHeight="1" x14ac:dyDescent="0.2"/>
    <row r="58" spans="1:14" ht="15.75" customHeight="1" x14ac:dyDescent="0.2"/>
    <row r="59" spans="1:14" ht="15.75" customHeight="1" x14ac:dyDescent="0.2"/>
    <row r="60" spans="1:14" ht="15.75" customHeight="1" x14ac:dyDescent="0.2">
      <c r="J60"/>
      <c r="K60"/>
      <c r="L60"/>
    </row>
    <row r="61" spans="1:14" ht="15.75" customHeight="1" x14ac:dyDescent="0.2">
      <c r="J61" s="71"/>
      <c r="K61" s="72"/>
      <c r="L61" s="72"/>
    </row>
    <row r="62" spans="1:14" ht="15.75" customHeight="1" x14ac:dyDescent="0.2">
      <c r="J62" s="70"/>
      <c r="K62"/>
      <c r="L62"/>
    </row>
    <row r="63" spans="1:14" ht="15.75" customHeight="1" x14ac:dyDescent="0.2">
      <c r="J63" s="69"/>
      <c r="K63" s="69"/>
      <c r="L63" s="69"/>
    </row>
    <row r="64" spans="1:14" ht="15.75" customHeight="1" x14ac:dyDescent="0.2">
      <c r="J64" s="69"/>
      <c r="K64" s="69"/>
      <c r="L64" s="69"/>
    </row>
    <row r="65" spans="1:12" ht="15.75" customHeight="1" x14ac:dyDescent="0.2">
      <c r="J65" s="69"/>
      <c r="K65" s="69"/>
      <c r="L65" s="69"/>
    </row>
    <row r="66" spans="1:12" ht="15.75" customHeight="1" x14ac:dyDescent="0.2">
      <c r="J66" s="69"/>
      <c r="K66" s="69"/>
      <c r="L66" s="69"/>
    </row>
    <row r="67" spans="1:12" ht="15.75" customHeight="1" x14ac:dyDescent="0.2">
      <c r="J67" s="69"/>
      <c r="K67" s="69"/>
      <c r="L67" s="69"/>
    </row>
    <row r="68" spans="1:12" ht="15.75" customHeight="1" x14ac:dyDescent="0.2">
      <c r="J68" s="69"/>
      <c r="K68" s="69"/>
      <c r="L68" s="69"/>
    </row>
    <row r="69" spans="1:12" ht="15.75" customHeight="1" x14ac:dyDescent="0.2">
      <c r="J69" s="69"/>
      <c r="K69" s="69"/>
      <c r="L69" s="69"/>
    </row>
    <row r="70" spans="1:12" ht="15.75" customHeight="1" x14ac:dyDescent="0.2">
      <c r="J70"/>
      <c r="K70"/>
      <c r="L70"/>
    </row>
    <row r="71" spans="1:12" x14ac:dyDescent="0.2">
      <c r="J71"/>
      <c r="K71"/>
      <c r="L71"/>
    </row>
    <row r="72" spans="1:12" x14ac:dyDescent="0.2">
      <c r="J72"/>
      <c r="K72"/>
      <c r="L72"/>
    </row>
    <row r="73" spans="1:12" x14ac:dyDescent="0.2">
      <c r="A73"/>
      <c r="B73"/>
      <c r="C73"/>
      <c r="D73"/>
      <c r="E73"/>
      <c r="F73"/>
      <c r="H73"/>
      <c r="I73"/>
      <c r="J73"/>
      <c r="K73"/>
      <c r="L73"/>
    </row>
    <row r="74" spans="1:12" x14ac:dyDescent="0.2">
      <c r="A74"/>
      <c r="B74"/>
      <c r="C74"/>
      <c r="D74"/>
      <c r="E74"/>
      <c r="F74"/>
      <c r="H74"/>
      <c r="I74"/>
      <c r="J74"/>
      <c r="K74"/>
      <c r="L74"/>
    </row>
    <row r="75" spans="1:12" x14ac:dyDescent="0.2">
      <c r="A75"/>
      <c r="B75"/>
      <c r="C75"/>
      <c r="D75"/>
      <c r="E75"/>
      <c r="F75"/>
      <c r="H75"/>
      <c r="I75"/>
      <c r="J75"/>
      <c r="K75"/>
      <c r="L75"/>
    </row>
    <row r="76" spans="1:12" x14ac:dyDescent="0.2">
      <c r="A76"/>
      <c r="B76"/>
      <c r="C76"/>
      <c r="D76"/>
      <c r="E76"/>
      <c r="F76"/>
      <c r="H76"/>
      <c r="I76"/>
      <c r="J76"/>
      <c r="K76"/>
      <c r="L76"/>
    </row>
    <row r="77" spans="1:12" x14ac:dyDescent="0.2">
      <c r="A77"/>
      <c r="B77"/>
      <c r="C77"/>
      <c r="D77"/>
      <c r="E77"/>
      <c r="F77"/>
      <c r="H77"/>
      <c r="I77"/>
      <c r="J77"/>
      <c r="K77"/>
      <c r="L77"/>
    </row>
    <row r="78" spans="1:12" x14ac:dyDescent="0.2">
      <c r="A78"/>
      <c r="B78"/>
      <c r="C78"/>
      <c r="D78"/>
      <c r="E78"/>
      <c r="F78"/>
      <c r="H78"/>
      <c r="I78"/>
      <c r="J78"/>
      <c r="K78"/>
      <c r="L78"/>
    </row>
    <row r="79" spans="1:12" x14ac:dyDescent="0.2">
      <c r="A79"/>
      <c r="B79"/>
      <c r="C79"/>
      <c r="D79"/>
      <c r="E79"/>
      <c r="F79"/>
      <c r="H79"/>
      <c r="I79"/>
      <c r="J79"/>
      <c r="K79"/>
      <c r="L79"/>
    </row>
    <row r="80" spans="1:12" x14ac:dyDescent="0.2">
      <c r="A80"/>
      <c r="B80"/>
      <c r="C80"/>
      <c r="D80"/>
      <c r="E80"/>
      <c r="F80"/>
      <c r="H80"/>
      <c r="I80"/>
      <c r="J80"/>
      <c r="K80"/>
      <c r="L80"/>
    </row>
    <row r="81" spans="1:12" x14ac:dyDescent="0.2">
      <c r="A81"/>
      <c r="B81"/>
      <c r="C81"/>
      <c r="D81"/>
      <c r="E81"/>
      <c r="F81"/>
      <c r="H81"/>
      <c r="I81"/>
      <c r="J81"/>
      <c r="K81"/>
      <c r="L81"/>
    </row>
    <row r="82" spans="1:12" x14ac:dyDescent="0.2">
      <c r="A82"/>
      <c r="B82"/>
      <c r="C82"/>
      <c r="D82"/>
      <c r="E82"/>
      <c r="F82"/>
      <c r="H82"/>
      <c r="I82"/>
      <c r="J82"/>
      <c r="K82"/>
      <c r="L82"/>
    </row>
    <row r="83" spans="1:12" x14ac:dyDescent="0.2">
      <c r="A83"/>
      <c r="B83"/>
      <c r="C83"/>
      <c r="D83"/>
      <c r="E83"/>
      <c r="F83"/>
      <c r="H83"/>
      <c r="I83"/>
      <c r="J83"/>
      <c r="K83"/>
      <c r="L83"/>
    </row>
    <row r="84" spans="1:12" x14ac:dyDescent="0.2">
      <c r="A84"/>
      <c r="B84"/>
      <c r="C84"/>
      <c r="D84"/>
      <c r="E84"/>
      <c r="F84"/>
      <c r="H84"/>
      <c r="I84"/>
      <c r="J84"/>
      <c r="K84"/>
      <c r="L84"/>
    </row>
    <row r="85" spans="1:12" x14ac:dyDescent="0.2">
      <c r="A85"/>
      <c r="B85"/>
      <c r="C85"/>
      <c r="D85"/>
      <c r="E85"/>
      <c r="F85"/>
      <c r="H85"/>
      <c r="I85"/>
      <c r="J85"/>
      <c r="K85"/>
      <c r="L85"/>
    </row>
    <row r="86" spans="1:12" x14ac:dyDescent="0.2">
      <c r="A86"/>
      <c r="B86"/>
      <c r="C86"/>
      <c r="D86"/>
      <c r="E86"/>
      <c r="F86"/>
      <c r="H86"/>
      <c r="I86"/>
      <c r="J86"/>
      <c r="K86"/>
      <c r="L86"/>
    </row>
    <row r="87" spans="1:12" x14ac:dyDescent="0.2">
      <c r="A87"/>
      <c r="B87"/>
      <c r="C87"/>
      <c r="D87"/>
      <c r="E87"/>
      <c r="F87"/>
      <c r="H87"/>
      <c r="I87"/>
      <c r="J87"/>
      <c r="K87"/>
      <c r="L87"/>
    </row>
    <row r="88" spans="1:12" x14ac:dyDescent="0.2">
      <c r="A88"/>
      <c r="B88"/>
      <c r="C88"/>
      <c r="D88"/>
      <c r="E88"/>
      <c r="F88"/>
      <c r="H88"/>
      <c r="I88"/>
      <c r="J88"/>
      <c r="K88"/>
      <c r="L88"/>
    </row>
    <row r="89" spans="1:12" x14ac:dyDescent="0.2">
      <c r="A89"/>
      <c r="B89"/>
      <c r="C89"/>
      <c r="D89"/>
      <c r="E89"/>
      <c r="F89"/>
      <c r="H89"/>
      <c r="I89"/>
      <c r="J89"/>
      <c r="K89"/>
      <c r="L89"/>
    </row>
    <row r="90" spans="1:12" x14ac:dyDescent="0.2">
      <c r="A90"/>
      <c r="B90"/>
      <c r="C90"/>
      <c r="D90"/>
      <c r="E90"/>
      <c r="F90"/>
      <c r="H90"/>
      <c r="I90"/>
      <c r="J90"/>
      <c r="K90"/>
      <c r="L90"/>
    </row>
    <row r="91" spans="1:12" x14ac:dyDescent="0.2">
      <c r="A91"/>
      <c r="B91"/>
      <c r="C91"/>
      <c r="D91"/>
      <c r="E91"/>
      <c r="F91"/>
      <c r="H91"/>
      <c r="I91"/>
      <c r="J91"/>
      <c r="K91"/>
      <c r="L91"/>
    </row>
    <row r="92" spans="1:12" x14ac:dyDescent="0.2">
      <c r="A92"/>
      <c r="B92"/>
      <c r="C92"/>
      <c r="D92"/>
      <c r="E92"/>
      <c r="F92"/>
      <c r="H92"/>
      <c r="I92"/>
      <c r="J92"/>
      <c r="K92"/>
      <c r="L92"/>
    </row>
    <row r="93" spans="1:12" x14ac:dyDescent="0.2">
      <c r="A93"/>
      <c r="B93"/>
      <c r="C93"/>
      <c r="D93"/>
      <c r="E93"/>
      <c r="F93"/>
      <c r="H93"/>
      <c r="I93"/>
      <c r="J93"/>
      <c r="K93"/>
      <c r="L93"/>
    </row>
    <row r="94" spans="1:12" x14ac:dyDescent="0.2">
      <c r="A94"/>
      <c r="B94"/>
      <c r="C94"/>
      <c r="D94"/>
      <c r="E94"/>
      <c r="F94"/>
      <c r="H94"/>
      <c r="I94"/>
      <c r="J94"/>
      <c r="K94"/>
      <c r="L94"/>
    </row>
    <row r="95" spans="1:12" x14ac:dyDescent="0.2">
      <c r="A95"/>
      <c r="B95"/>
      <c r="C95"/>
      <c r="D95"/>
      <c r="E95"/>
      <c r="F95"/>
      <c r="H95"/>
      <c r="I95"/>
      <c r="J95"/>
      <c r="K95"/>
      <c r="L95"/>
    </row>
    <row r="96" spans="1:12" x14ac:dyDescent="0.2">
      <c r="A96"/>
      <c r="B96"/>
      <c r="C96"/>
      <c r="D96"/>
      <c r="E96"/>
      <c r="F96"/>
      <c r="H96"/>
      <c r="I96"/>
      <c r="J96"/>
      <c r="K96"/>
      <c r="L96"/>
    </row>
    <row r="97" spans="1:12" x14ac:dyDescent="0.2">
      <c r="A97"/>
      <c r="B97"/>
      <c r="C97"/>
      <c r="D97"/>
      <c r="E97"/>
      <c r="F97"/>
      <c r="H97"/>
      <c r="I97"/>
      <c r="J97"/>
      <c r="K97"/>
      <c r="L97"/>
    </row>
    <row r="98" spans="1:12" x14ac:dyDescent="0.2">
      <c r="A98"/>
      <c r="B98"/>
      <c r="C98"/>
      <c r="D98"/>
      <c r="E98"/>
      <c r="F98"/>
      <c r="H98"/>
      <c r="I98"/>
      <c r="J98"/>
      <c r="K98"/>
      <c r="L98"/>
    </row>
    <row r="99" spans="1:12" x14ac:dyDescent="0.2">
      <c r="A99"/>
      <c r="B99"/>
      <c r="C99"/>
      <c r="D99"/>
      <c r="E99"/>
      <c r="F99"/>
      <c r="K99"/>
    </row>
    <row r="100" spans="1:12" x14ac:dyDescent="0.2">
      <c r="A100"/>
      <c r="B100"/>
      <c r="C100"/>
      <c r="D100"/>
      <c r="E100"/>
      <c r="F100"/>
      <c r="K100"/>
    </row>
    <row r="101" spans="1:12" x14ac:dyDescent="0.2">
      <c r="A101"/>
      <c r="B101"/>
      <c r="C101"/>
      <c r="D101"/>
      <c r="E101"/>
      <c r="F101"/>
      <c r="H101" s="68"/>
      <c r="I101"/>
      <c r="J101"/>
      <c r="K101"/>
    </row>
    <row r="102" spans="1:12" x14ac:dyDescent="0.2">
      <c r="A102"/>
      <c r="B102"/>
      <c r="C102"/>
      <c r="D102"/>
      <c r="E102"/>
      <c r="F102"/>
      <c r="H102"/>
      <c r="I102"/>
      <c r="J102"/>
      <c r="K102"/>
    </row>
    <row r="103" spans="1:12" x14ac:dyDescent="0.2">
      <c r="A103"/>
      <c r="B103"/>
      <c r="C103"/>
      <c r="D103"/>
      <c r="E103"/>
      <c r="F103"/>
      <c r="H103"/>
      <c r="I103"/>
      <c r="J103"/>
      <c r="K103"/>
    </row>
    <row r="104" spans="1:12" x14ac:dyDescent="0.2">
      <c r="A104"/>
      <c r="B104"/>
      <c r="C104"/>
      <c r="D104"/>
      <c r="E104"/>
      <c r="F104"/>
      <c r="H104"/>
      <c r="I104"/>
      <c r="J104"/>
      <c r="K104"/>
    </row>
    <row r="105" spans="1:12" x14ac:dyDescent="0.2">
      <c r="A105"/>
      <c r="B105"/>
      <c r="C105"/>
      <c r="D105"/>
      <c r="E105"/>
      <c r="F105"/>
      <c r="H105"/>
      <c r="I105" s="69"/>
      <c r="J105" s="69"/>
      <c r="K105" s="69"/>
    </row>
    <row r="106" spans="1:12" x14ac:dyDescent="0.2">
      <c r="A106"/>
      <c r="B106"/>
      <c r="C106"/>
      <c r="D106"/>
      <c r="E106"/>
      <c r="F106"/>
      <c r="H106"/>
      <c r="I106" s="69"/>
      <c r="J106" s="69"/>
      <c r="K106" s="69"/>
    </row>
    <row r="107" spans="1:12" x14ac:dyDescent="0.2">
      <c r="D107"/>
      <c r="E107"/>
      <c r="F107"/>
      <c r="H107"/>
      <c r="I107" s="69"/>
      <c r="J107" s="69"/>
      <c r="K107" s="69"/>
    </row>
    <row r="108" spans="1:12" x14ac:dyDescent="0.2">
      <c r="D108"/>
      <c r="E108"/>
      <c r="F108"/>
      <c r="H108"/>
      <c r="I108"/>
      <c r="J108"/>
      <c r="K108"/>
    </row>
    <row r="109" spans="1:12" x14ac:dyDescent="0.2">
      <c r="A109" s="78"/>
      <c r="B109"/>
      <c r="C109"/>
      <c r="D109"/>
      <c r="E109"/>
      <c r="F109"/>
      <c r="H109"/>
      <c r="I109"/>
      <c r="J109"/>
      <c r="K109"/>
    </row>
    <row r="110" spans="1:12" x14ac:dyDescent="0.2">
      <c r="A110"/>
      <c r="B110"/>
      <c r="C110"/>
      <c r="D110"/>
      <c r="E110"/>
      <c r="F110"/>
      <c r="H110"/>
      <c r="I110"/>
      <c r="J110"/>
      <c r="K110"/>
    </row>
    <row r="111" spans="1:12" x14ac:dyDescent="0.2">
      <c r="A111"/>
      <c r="B111"/>
      <c r="C111"/>
      <c r="D111"/>
      <c r="E111"/>
      <c r="F111"/>
      <c r="H111"/>
      <c r="I111"/>
      <c r="J111"/>
      <c r="K111"/>
    </row>
    <row r="112" spans="1:12" x14ac:dyDescent="0.2">
      <c r="A112"/>
      <c r="B112"/>
      <c r="C112"/>
      <c r="D112"/>
      <c r="E112"/>
      <c r="F112"/>
      <c r="H112"/>
      <c r="I112"/>
      <c r="J112"/>
      <c r="K112"/>
    </row>
    <row r="113" spans="1:11" x14ac:dyDescent="0.2">
      <c r="A113"/>
      <c r="B113"/>
      <c r="C113"/>
      <c r="D113"/>
      <c r="E113"/>
      <c r="F113"/>
    </row>
    <row r="114" spans="1:11" x14ac:dyDescent="0.2">
      <c r="A114"/>
      <c r="B114"/>
      <c r="C114"/>
      <c r="D114"/>
      <c r="E114"/>
      <c r="F114"/>
    </row>
    <row r="115" spans="1:11" x14ac:dyDescent="0.2">
      <c r="A115"/>
      <c r="B115"/>
      <c r="C115"/>
      <c r="D115"/>
      <c r="E115"/>
      <c r="F115"/>
      <c r="H115" s="68"/>
      <c r="I115"/>
      <c r="J115"/>
      <c r="K115"/>
    </row>
    <row r="116" spans="1:11" x14ac:dyDescent="0.2">
      <c r="A116"/>
      <c r="B116"/>
      <c r="C116"/>
      <c r="D116"/>
      <c r="E116"/>
      <c r="F116"/>
      <c r="H116"/>
      <c r="I116"/>
      <c r="J116"/>
      <c r="K116"/>
    </row>
    <row r="117" spans="1:11" x14ac:dyDescent="0.2">
      <c r="A117"/>
      <c r="B117"/>
      <c r="C117"/>
      <c r="D117"/>
      <c r="E117"/>
      <c r="F117"/>
      <c r="H117"/>
      <c r="I117"/>
      <c r="J117"/>
      <c r="K117"/>
    </row>
    <row r="118" spans="1:11" x14ac:dyDescent="0.2">
      <c r="A118"/>
      <c r="B118"/>
      <c r="C118"/>
      <c r="D118"/>
      <c r="E118"/>
      <c r="F118"/>
      <c r="H118"/>
      <c r="I118"/>
      <c r="J118" s="69"/>
      <c r="K118" s="69"/>
    </row>
    <row r="119" spans="1:11" x14ac:dyDescent="0.2">
      <c r="A119"/>
      <c r="B119"/>
      <c r="C119"/>
      <c r="D119"/>
      <c r="E119"/>
      <c r="F119"/>
      <c r="H119"/>
      <c r="I119"/>
      <c r="J119" s="69"/>
      <c r="K119" s="69"/>
    </row>
    <row r="120" spans="1:11" x14ac:dyDescent="0.2">
      <c r="A120"/>
      <c r="B120"/>
      <c r="C120"/>
      <c r="D120"/>
      <c r="E120"/>
      <c r="F120"/>
      <c r="H120"/>
      <c r="I120"/>
      <c r="J120" s="69"/>
      <c r="K120" s="69"/>
    </row>
    <row r="121" spans="1:11" x14ac:dyDescent="0.2">
      <c r="A121"/>
      <c r="B121"/>
      <c r="C121"/>
      <c r="D121"/>
      <c r="E121"/>
      <c r="F121"/>
      <c r="H121"/>
      <c r="I121"/>
      <c r="J121"/>
      <c r="K121"/>
    </row>
    <row r="122" spans="1:11" x14ac:dyDescent="0.2">
      <c r="A122"/>
      <c r="B122"/>
      <c r="C122"/>
      <c r="D122"/>
      <c r="E122"/>
      <c r="F122"/>
      <c r="G122"/>
      <c r="H122"/>
      <c r="I122"/>
      <c r="J122"/>
      <c r="K122"/>
    </row>
    <row r="123" spans="1:11" x14ac:dyDescent="0.2">
      <c r="A123"/>
      <c r="B123"/>
      <c r="C123"/>
      <c r="D123"/>
      <c r="E123"/>
      <c r="F123"/>
      <c r="G123"/>
      <c r="H123"/>
      <c r="I123"/>
      <c r="J123"/>
      <c r="K123"/>
    </row>
    <row r="124" spans="1:11" x14ac:dyDescent="0.2">
      <c r="A124"/>
      <c r="B124"/>
      <c r="C124"/>
      <c r="D124"/>
      <c r="E124"/>
      <c r="F124"/>
      <c r="G124"/>
      <c r="H124"/>
      <c r="I124" s="69"/>
      <c r="J124" s="69"/>
    </row>
    <row r="125" spans="1:11" x14ac:dyDescent="0.2">
      <c r="A125"/>
      <c r="B125" s="69"/>
      <c r="C125" s="69"/>
      <c r="D125"/>
      <c r="E125"/>
      <c r="F125"/>
      <c r="G125"/>
      <c r="H125"/>
      <c r="I125" s="69"/>
      <c r="J125" s="69"/>
    </row>
    <row r="126" spans="1:11" x14ac:dyDescent="0.2">
      <c r="A126"/>
      <c r="B126"/>
      <c r="C126"/>
      <c r="D126"/>
      <c r="F126"/>
      <c r="G126"/>
      <c r="H126"/>
      <c r="I126"/>
      <c r="J126"/>
    </row>
    <row r="127" spans="1:11" x14ac:dyDescent="0.2">
      <c r="A127"/>
      <c r="B127"/>
      <c r="C127"/>
      <c r="D127"/>
      <c r="F127"/>
      <c r="G127"/>
      <c r="H127"/>
      <c r="I127"/>
      <c r="J127"/>
    </row>
    <row r="128" spans="1:11" x14ac:dyDescent="0.2">
      <c r="A128"/>
      <c r="B128"/>
      <c r="C128"/>
      <c r="D128"/>
      <c r="F128"/>
      <c r="G128"/>
      <c r="H128"/>
      <c r="I128"/>
      <c r="J128"/>
    </row>
    <row r="129" spans="1:10" x14ac:dyDescent="0.2">
      <c r="A129"/>
      <c r="B129" s="69"/>
      <c r="C129" s="69"/>
      <c r="D129"/>
      <c r="F129"/>
      <c r="G129"/>
      <c r="H129"/>
      <c r="I129"/>
      <c r="J129"/>
    </row>
    <row r="130" spans="1:10" x14ac:dyDescent="0.2">
      <c r="A130"/>
      <c r="B130" s="69"/>
      <c r="C130" s="69"/>
      <c r="D130"/>
      <c r="F130"/>
      <c r="G130"/>
      <c r="H130"/>
      <c r="I130"/>
      <c r="J130"/>
    </row>
    <row r="131" spans="1:10" x14ac:dyDescent="0.2">
      <c r="A131"/>
      <c r="B131" s="69"/>
      <c r="C131" s="69"/>
      <c r="D131"/>
      <c r="F131"/>
    </row>
    <row r="132" spans="1:10" x14ac:dyDescent="0.2">
      <c r="A132"/>
      <c r="B132"/>
      <c r="C132"/>
      <c r="D132"/>
      <c r="F132"/>
    </row>
    <row r="133" spans="1:10" x14ac:dyDescent="0.2">
      <c r="A133"/>
      <c r="B133" s="69"/>
      <c r="C133" s="69"/>
      <c r="D133"/>
      <c r="F133"/>
    </row>
    <row r="134" spans="1:10" x14ac:dyDescent="0.2">
      <c r="A134"/>
      <c r="B134" s="69"/>
      <c r="C134" s="69"/>
      <c r="D134"/>
      <c r="F134"/>
    </row>
    <row r="135" spans="1:10" x14ac:dyDescent="0.2">
      <c r="A135"/>
      <c r="B135" s="69"/>
      <c r="C135" s="69"/>
      <c r="D135"/>
      <c r="F135"/>
    </row>
    <row r="136" spans="1:10" x14ac:dyDescent="0.2">
      <c r="A136"/>
      <c r="B136"/>
      <c r="C136"/>
      <c r="D136"/>
      <c r="F136"/>
    </row>
    <row r="137" spans="1:10" x14ac:dyDescent="0.2">
      <c r="A137"/>
      <c r="B137" s="69"/>
      <c r="C137" s="69"/>
      <c r="D137"/>
      <c r="F137"/>
    </row>
    <row r="138" spans="1:10" x14ac:dyDescent="0.2">
      <c r="A138"/>
      <c r="B138" s="69"/>
      <c r="C138" s="69"/>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Normal="100" workbookViewId="0"/>
  </sheetViews>
  <sheetFormatPr defaultColWidth="11.42578125" defaultRowHeight="15.6" customHeight="1" x14ac:dyDescent="0.2"/>
  <cols>
    <col min="1" max="1" width="27.140625" style="1" customWidth="1"/>
    <col min="2" max="4" width="10.5703125" style="1" customWidth="1"/>
    <col min="5" max="7" width="7.5703125" style="1" customWidth="1"/>
    <col min="8" max="16384" width="11.42578125" style="1"/>
  </cols>
  <sheetData>
    <row r="1" spans="1:7" ht="6" customHeight="1" x14ac:dyDescent="0.2"/>
    <row r="2" spans="1:7" ht="15.6" customHeight="1" x14ac:dyDescent="0.2">
      <c r="A2" s="92" t="s">
        <v>0</v>
      </c>
      <c r="B2" s="2"/>
      <c r="C2" s="2"/>
      <c r="D2" s="2"/>
      <c r="E2" s="2"/>
      <c r="F2" s="2"/>
    </row>
    <row r="3" spans="1:7" ht="6" customHeight="1" x14ac:dyDescent="0.2"/>
    <row r="4" spans="1:7" ht="15.6" customHeight="1" x14ac:dyDescent="0.2">
      <c r="A4" s="2"/>
      <c r="B4" s="2"/>
      <c r="C4" s="2"/>
      <c r="D4" s="2"/>
      <c r="E4" s="2"/>
      <c r="F4" s="2"/>
    </row>
    <row r="5" spans="1:7" ht="15.6" customHeight="1" x14ac:dyDescent="0.25">
      <c r="A5" s="88"/>
      <c r="B5" s="74"/>
      <c r="C5" s="74"/>
      <c r="D5" s="74"/>
      <c r="E5" s="74"/>
      <c r="F5" s="74"/>
      <c r="G5" s="74"/>
    </row>
    <row r="6" spans="1:7" ht="15.6" customHeight="1" x14ac:dyDescent="0.25">
      <c r="A6" s="88"/>
      <c r="B6" s="74"/>
      <c r="C6" s="74"/>
      <c r="D6" s="74"/>
      <c r="E6" s="74"/>
      <c r="F6" s="74"/>
      <c r="G6" s="74"/>
    </row>
    <row r="7" spans="1:7" ht="15.6" customHeight="1" x14ac:dyDescent="0.25">
      <c r="A7" s="73"/>
      <c r="B7" s="73"/>
      <c r="C7" s="73"/>
      <c r="D7" s="73"/>
      <c r="E7" s="73"/>
      <c r="F7" s="73"/>
      <c r="G7" s="73"/>
    </row>
    <row r="8" spans="1:7" ht="15.6" customHeight="1" x14ac:dyDescent="0.25">
      <c r="A8" s="73"/>
      <c r="B8" s="73"/>
      <c r="C8" s="73"/>
      <c r="D8" s="73"/>
      <c r="E8" s="73"/>
      <c r="F8" s="73"/>
      <c r="G8" s="73"/>
    </row>
    <row r="9" spans="1:7" ht="15.6" customHeight="1" x14ac:dyDescent="0.25">
      <c r="A9" s="73"/>
      <c r="B9" s="73"/>
      <c r="C9" s="73"/>
      <c r="D9" s="73"/>
      <c r="E9" s="73"/>
      <c r="F9" s="73"/>
      <c r="G9" s="73"/>
    </row>
    <row r="10" spans="1:7" ht="15.6" customHeight="1" x14ac:dyDescent="0.25">
      <c r="A10" s="73"/>
      <c r="B10" s="73"/>
      <c r="C10" s="73"/>
      <c r="D10" s="73"/>
      <c r="E10" s="73"/>
      <c r="F10" s="73"/>
      <c r="G10" s="73"/>
    </row>
    <row r="11" spans="1:7" ht="15.6" customHeight="1" x14ac:dyDescent="0.25">
      <c r="A11" s="73"/>
      <c r="B11" s="73"/>
      <c r="C11" s="73"/>
      <c r="D11" s="73"/>
      <c r="E11" s="73"/>
      <c r="F11" s="73"/>
      <c r="G11" s="73"/>
    </row>
    <row r="12" spans="1:7" ht="15.6" customHeight="1" x14ac:dyDescent="0.25">
      <c r="A12" s="73"/>
      <c r="B12" s="73"/>
      <c r="C12" s="73"/>
      <c r="D12" s="73"/>
      <c r="E12" s="73"/>
      <c r="F12" s="73"/>
      <c r="G12" s="73"/>
    </row>
    <row r="13" spans="1:7" ht="15.6" customHeight="1" x14ac:dyDescent="0.25">
      <c r="A13" s="73"/>
      <c r="B13" s="73"/>
      <c r="C13" s="73"/>
      <c r="D13" s="73"/>
      <c r="E13" s="73"/>
      <c r="F13" s="73"/>
      <c r="G13" s="73"/>
    </row>
    <row r="14" spans="1:7" ht="15.6" customHeight="1" x14ac:dyDescent="0.25">
      <c r="A14" s="73"/>
      <c r="B14" s="73"/>
      <c r="C14" s="73"/>
      <c r="D14" s="73"/>
      <c r="E14" s="73"/>
      <c r="F14" s="73"/>
      <c r="G14" s="73"/>
    </row>
    <row r="15" spans="1:7" ht="15.6" customHeight="1" x14ac:dyDescent="0.25">
      <c r="A15" s="73"/>
      <c r="B15" s="73"/>
      <c r="C15" s="73"/>
      <c r="D15" s="73"/>
      <c r="E15" s="73"/>
      <c r="F15" s="73"/>
      <c r="G15" s="73"/>
    </row>
    <row r="16" spans="1:7" ht="15.6" customHeight="1" x14ac:dyDescent="0.25">
      <c r="A16" s="73"/>
      <c r="B16" s="73"/>
      <c r="C16" s="73"/>
      <c r="D16" s="73"/>
      <c r="E16" s="73"/>
      <c r="F16" s="73"/>
      <c r="G16" s="73"/>
    </row>
    <row r="17" spans="1:13" ht="15.6" customHeight="1" x14ac:dyDescent="0.25">
      <c r="A17" s="73"/>
      <c r="B17" s="73"/>
      <c r="C17" s="73"/>
      <c r="D17" s="73"/>
      <c r="E17" s="73"/>
      <c r="F17" s="73"/>
      <c r="G17" s="73"/>
    </row>
    <row r="18" spans="1:13" ht="15.6" customHeight="1" x14ac:dyDescent="0.25">
      <c r="A18" s="73"/>
      <c r="B18" s="73"/>
      <c r="C18" s="73"/>
      <c r="D18" s="73"/>
      <c r="E18" s="73"/>
      <c r="F18" s="73"/>
      <c r="G18" s="73"/>
    </row>
    <row r="19" spans="1:13" ht="15.6" customHeight="1" x14ac:dyDescent="0.25">
      <c r="A19" s="73"/>
      <c r="B19" s="73"/>
      <c r="C19" s="73"/>
      <c r="D19" s="73"/>
      <c r="E19" s="73"/>
      <c r="F19" s="73"/>
      <c r="G19" s="73"/>
    </row>
    <row r="20" spans="1:13" ht="15.6" customHeight="1" x14ac:dyDescent="0.25">
      <c r="A20" s="73"/>
      <c r="B20" s="73"/>
      <c r="C20" s="73"/>
      <c r="D20" s="73"/>
      <c r="E20" s="73"/>
      <c r="F20" s="73"/>
      <c r="G20" s="73"/>
    </row>
    <row r="21" spans="1:13" ht="15.6" customHeight="1" x14ac:dyDescent="0.25">
      <c r="A21" s="73"/>
      <c r="B21" s="73"/>
      <c r="C21" s="73"/>
      <c r="D21" s="73"/>
      <c r="E21" s="73"/>
      <c r="F21" s="73"/>
      <c r="G21" s="73"/>
    </row>
    <row r="22" spans="1:13" ht="15.6" customHeight="1" x14ac:dyDescent="0.25">
      <c r="A22" s="73"/>
      <c r="B22" s="73"/>
      <c r="C22" s="73"/>
      <c r="D22" s="73"/>
      <c r="E22" s="73"/>
      <c r="F22" s="73"/>
      <c r="G22" s="73"/>
    </row>
    <row r="23" spans="1:13" ht="15.6" customHeight="1" x14ac:dyDescent="0.25">
      <c r="A23" s="73"/>
      <c r="B23" s="73"/>
      <c r="C23" s="73"/>
      <c r="D23" s="73"/>
      <c r="E23" s="73"/>
      <c r="F23" s="73"/>
      <c r="G23" s="73"/>
    </row>
    <row r="24" spans="1:13" ht="15.6" customHeight="1" x14ac:dyDescent="0.25">
      <c r="A24" s="73"/>
      <c r="B24" s="73"/>
      <c r="C24" s="73"/>
      <c r="D24" s="73"/>
      <c r="E24" s="73"/>
      <c r="F24" s="73"/>
      <c r="G24" s="73"/>
    </row>
    <row r="25" spans="1:13" ht="15.6" customHeight="1" x14ac:dyDescent="0.25">
      <c r="A25" s="73"/>
      <c r="B25" s="73"/>
      <c r="C25" s="73"/>
      <c r="D25" s="73"/>
      <c r="E25" s="73"/>
      <c r="F25" s="73"/>
      <c r="G25" s="73"/>
    </row>
    <row r="26" spans="1:13" ht="15.6" customHeight="1" x14ac:dyDescent="0.25">
      <c r="A26" s="73"/>
      <c r="B26" s="73"/>
      <c r="C26" s="73"/>
      <c r="D26" s="73"/>
      <c r="E26" s="73"/>
      <c r="F26" s="73"/>
      <c r="G26" s="73"/>
    </row>
    <row r="27" spans="1:13" ht="15.6" customHeight="1" x14ac:dyDescent="0.25">
      <c r="A27" s="73"/>
      <c r="B27" s="73"/>
      <c r="C27" s="73"/>
      <c r="D27" s="73"/>
      <c r="E27" s="73"/>
      <c r="F27" s="73"/>
      <c r="G27" s="73"/>
    </row>
    <row r="28" spans="1:13" ht="15.6" customHeight="1" x14ac:dyDescent="0.25">
      <c r="A28" s="73"/>
      <c r="B28" s="73"/>
      <c r="C28" s="73"/>
      <c r="D28" s="73"/>
      <c r="E28" s="73"/>
      <c r="F28" s="73"/>
      <c r="G28" s="73"/>
      <c r="M28" s="77"/>
    </row>
    <row r="29" spans="1:13" ht="15.6" customHeight="1" x14ac:dyDescent="0.25">
      <c r="A29" s="73"/>
      <c r="B29" s="73"/>
      <c r="C29" s="73"/>
      <c r="D29" s="73"/>
      <c r="E29" s="73"/>
      <c r="F29" s="73"/>
      <c r="G29" s="73"/>
      <c r="M29" s="77"/>
    </row>
    <row r="30" spans="1:13" ht="15.6" customHeight="1" x14ac:dyDescent="0.25">
      <c r="A30" s="73"/>
      <c r="B30" s="73"/>
      <c r="C30" s="73"/>
      <c r="D30" s="73"/>
      <c r="E30" s="73"/>
      <c r="F30" s="73"/>
      <c r="G30" s="73"/>
      <c r="M30" s="77"/>
    </row>
    <row r="31" spans="1:13" ht="15.6" customHeight="1" x14ac:dyDescent="0.25">
      <c r="A31" s="73"/>
      <c r="B31" s="73"/>
      <c r="C31" s="73"/>
      <c r="D31" s="73"/>
      <c r="E31" s="73"/>
      <c r="F31" s="73"/>
      <c r="G31" s="73"/>
      <c r="M31" s="77"/>
    </row>
    <row r="32" spans="1:13" ht="15.6" customHeight="1" x14ac:dyDescent="0.25">
      <c r="A32" s="73"/>
      <c r="B32" s="73"/>
      <c r="C32" s="73"/>
      <c r="D32" s="73"/>
      <c r="E32" s="73"/>
      <c r="F32" s="73"/>
      <c r="G32" s="73"/>
      <c r="M32" s="77"/>
    </row>
    <row r="33" spans="1:13" ht="15.6" customHeight="1" x14ac:dyDescent="0.25">
      <c r="A33" s="73"/>
      <c r="B33" s="73"/>
      <c r="C33" s="73"/>
      <c r="D33" s="73"/>
      <c r="E33" s="73"/>
      <c r="F33" s="73"/>
      <c r="G33" s="73"/>
      <c r="M33" s="77"/>
    </row>
    <row r="34" spans="1:13" ht="15.6" customHeight="1" x14ac:dyDescent="0.25">
      <c r="A34" s="73"/>
      <c r="B34" s="73"/>
      <c r="C34" s="73"/>
      <c r="D34" s="73"/>
      <c r="E34" s="73"/>
      <c r="F34" s="73"/>
      <c r="G34" s="73"/>
      <c r="M34" s="77"/>
    </row>
    <row r="35" spans="1:13" ht="15.6" customHeight="1" x14ac:dyDescent="0.25">
      <c r="A35" s="73"/>
      <c r="B35" s="73"/>
      <c r="C35" s="73"/>
      <c r="D35" s="73"/>
      <c r="E35" s="73"/>
      <c r="F35" s="73"/>
      <c r="G35" s="73"/>
      <c r="M35" s="77"/>
    </row>
    <row r="36" spans="1:13" ht="15.6" customHeight="1" x14ac:dyDescent="0.25">
      <c r="A36" s="73"/>
      <c r="B36" s="73"/>
      <c r="C36" s="73"/>
      <c r="D36" s="73"/>
      <c r="E36" s="73"/>
      <c r="F36" s="73"/>
      <c r="G36" s="73"/>
      <c r="M36" s="77"/>
    </row>
    <row r="37" spans="1:13" ht="15.6" customHeight="1" x14ac:dyDescent="0.25">
      <c r="A37" s="73"/>
      <c r="B37" s="73"/>
      <c r="C37" s="73"/>
      <c r="D37" s="73"/>
      <c r="E37" s="73"/>
      <c r="F37" s="73"/>
      <c r="G37" s="73"/>
      <c r="M37" s="77"/>
    </row>
    <row r="38" spans="1:13" ht="15.6" customHeight="1" x14ac:dyDescent="0.25">
      <c r="A38" s="73"/>
      <c r="B38" s="73"/>
      <c r="C38" s="73"/>
      <c r="D38" s="73"/>
      <c r="E38" s="73"/>
      <c r="F38" s="73"/>
      <c r="G38" s="73"/>
      <c r="M38" s="77"/>
    </row>
    <row r="39" spans="1:13" ht="15.6" customHeight="1" x14ac:dyDescent="0.25">
      <c r="A39" s="73"/>
      <c r="B39" s="73"/>
      <c r="C39" s="73"/>
      <c r="D39" s="73"/>
      <c r="E39" s="73"/>
      <c r="F39" s="73"/>
      <c r="G39" s="73"/>
      <c r="M39" s="77"/>
    </row>
    <row r="40" spans="1:13" ht="15.6" customHeight="1" x14ac:dyDescent="0.25">
      <c r="A40" s="73"/>
      <c r="B40" s="73"/>
      <c r="C40" s="73"/>
      <c r="D40" s="73"/>
      <c r="E40" s="73"/>
      <c r="F40" s="73"/>
      <c r="G40" s="73"/>
      <c r="M40" s="77"/>
    </row>
    <row r="41" spans="1:13" ht="15.6" customHeight="1" x14ac:dyDescent="0.25">
      <c r="A41" s="73"/>
      <c r="B41" s="73"/>
      <c r="C41" s="73"/>
      <c r="D41" s="73"/>
      <c r="E41" s="73"/>
      <c r="F41" s="73"/>
      <c r="G41" s="73"/>
      <c r="M41" s="77"/>
    </row>
    <row r="42" spans="1:13" ht="15.6" customHeight="1" x14ac:dyDescent="0.25">
      <c r="A42" s="73"/>
      <c r="B42" s="73"/>
      <c r="C42" s="73"/>
      <c r="D42" s="73"/>
      <c r="E42" s="73"/>
      <c r="F42" s="73"/>
      <c r="G42" s="73"/>
      <c r="M42" s="77"/>
    </row>
    <row r="43" spans="1:13" ht="15.6" customHeight="1" x14ac:dyDescent="0.25">
      <c r="A43" s="73"/>
      <c r="B43" s="73"/>
      <c r="C43" s="73"/>
      <c r="D43" s="73"/>
      <c r="E43" s="73"/>
      <c r="F43" s="73"/>
      <c r="G43" s="73"/>
      <c r="M43" s="77"/>
    </row>
    <row r="44" spans="1:13" ht="15.6" customHeight="1" x14ac:dyDescent="0.25">
      <c r="A44" s="73"/>
      <c r="B44" s="73"/>
      <c r="C44" s="73"/>
      <c r="D44" s="73"/>
      <c r="E44" s="73"/>
      <c r="F44" s="73"/>
      <c r="G44" s="73"/>
      <c r="M44" s="77"/>
    </row>
    <row r="45" spans="1:13" ht="15.6" customHeight="1" x14ac:dyDescent="0.25">
      <c r="A45" s="73"/>
      <c r="B45" s="73"/>
      <c r="C45" s="73"/>
      <c r="D45" s="73"/>
      <c r="E45" s="73"/>
      <c r="F45" s="73"/>
      <c r="G45" s="73"/>
      <c r="M45" s="77"/>
    </row>
    <row r="46" spans="1:13" ht="15.6" customHeight="1" x14ac:dyDescent="0.25">
      <c r="A46" s="93"/>
      <c r="B46" s="73"/>
      <c r="C46" s="73"/>
      <c r="D46" s="73"/>
      <c r="E46" s="73"/>
      <c r="F46" s="73"/>
      <c r="G46" s="73"/>
      <c r="M46" s="77"/>
    </row>
    <row r="47" spans="1:13" ht="15.6" customHeight="1" x14ac:dyDescent="0.25">
      <c r="A47" s="93"/>
      <c r="B47" s="73"/>
      <c r="C47" s="73"/>
      <c r="D47" s="73"/>
      <c r="E47" s="73"/>
      <c r="F47" s="73"/>
      <c r="G47" s="73"/>
      <c r="M47" s="77"/>
    </row>
    <row r="48" spans="1:13" ht="15.6" customHeight="1" x14ac:dyDescent="0.25">
      <c r="A48" s="148" t="s">
        <v>232</v>
      </c>
      <c r="B48" s="73"/>
      <c r="C48" s="73"/>
      <c r="D48" s="73"/>
      <c r="E48" s="73"/>
      <c r="F48" s="73"/>
      <c r="G48" s="73"/>
      <c r="M48" s="77"/>
    </row>
    <row r="49" spans="1:13" ht="15.6" customHeight="1" x14ac:dyDescent="0.25">
      <c r="A49" s="148" t="s">
        <v>233</v>
      </c>
      <c r="B49" s="73"/>
      <c r="C49" s="73"/>
      <c r="D49" s="73"/>
      <c r="E49" s="73"/>
      <c r="F49" s="73"/>
      <c r="G49" s="73"/>
      <c r="M49" s="77"/>
    </row>
    <row r="50" spans="1:13" ht="15.6" customHeight="1" x14ac:dyDescent="0.2">
      <c r="A50" s="149" t="s">
        <v>234</v>
      </c>
      <c r="B50" s="52"/>
      <c r="C50" s="52"/>
      <c r="D50" s="52"/>
      <c r="E50" s="52"/>
      <c r="F50" s="52"/>
      <c r="G50" s="52"/>
      <c r="H50" s="77"/>
    </row>
    <row r="51" spans="1:13" ht="15.6" customHeight="1" x14ac:dyDescent="0.2">
      <c r="A51" s="54" t="str">
        <f>+Innhold!B123</f>
        <v>Finans Norge / Skadeforsikringsstatistikk</v>
      </c>
      <c r="G51" s="200">
        <v>3</v>
      </c>
      <c r="H51" s="77"/>
    </row>
    <row r="52" spans="1:13" ht="15.6" customHeight="1" x14ac:dyDescent="0.2">
      <c r="A52" s="54" t="str">
        <f>+Innhold!B124</f>
        <v>Skadestatistikk for landbasert forsikring 3. kvartal 2022</v>
      </c>
      <c r="G52" s="201"/>
      <c r="H52" s="77"/>
    </row>
    <row r="53" spans="1:13" ht="15.6" customHeight="1" x14ac:dyDescent="0.2">
      <c r="H53" s="77"/>
    </row>
    <row r="59" spans="1:13" ht="15.6" customHeight="1" x14ac:dyDescent="0.2">
      <c r="J59"/>
      <c r="K59"/>
      <c r="L59"/>
    </row>
    <row r="60" spans="1:13" ht="15.6" customHeight="1" x14ac:dyDescent="0.2">
      <c r="J60" s="71"/>
      <c r="K60" s="72"/>
      <c r="L60" s="72"/>
    </row>
    <row r="61" spans="1:13" ht="15.6" customHeight="1" x14ac:dyDescent="0.2">
      <c r="J61" s="70"/>
      <c r="K61"/>
      <c r="L61"/>
    </row>
    <row r="62" spans="1:13" ht="15.6" customHeight="1" x14ac:dyDescent="0.2">
      <c r="J62" s="69"/>
      <c r="K62" s="69"/>
      <c r="L62" s="69"/>
    </row>
    <row r="63" spans="1:13" ht="15.6" customHeight="1" x14ac:dyDescent="0.2">
      <c r="J63" s="69"/>
      <c r="K63" s="69"/>
      <c r="L63" s="69"/>
    </row>
    <row r="64" spans="1:13" ht="15.6" customHeight="1" x14ac:dyDescent="0.2">
      <c r="J64" s="69"/>
      <c r="K64" s="69"/>
      <c r="L64" s="69"/>
    </row>
    <row r="65" spans="1:12" ht="15.6" customHeight="1" x14ac:dyDescent="0.2">
      <c r="J65" s="69"/>
      <c r="K65" s="69"/>
      <c r="L65" s="69"/>
    </row>
    <row r="66" spans="1:12" ht="15.6" customHeight="1" x14ac:dyDescent="0.2">
      <c r="J66" s="69"/>
      <c r="K66" s="69"/>
      <c r="L66" s="69"/>
    </row>
    <row r="67" spans="1:12" ht="15.6" customHeight="1" x14ac:dyDescent="0.2">
      <c r="J67" s="69"/>
      <c r="K67" s="69"/>
      <c r="L67" s="69"/>
    </row>
    <row r="68" spans="1:12" ht="15.6" customHeight="1" x14ac:dyDescent="0.2">
      <c r="J68" s="69"/>
      <c r="K68" s="69"/>
      <c r="L68" s="69"/>
    </row>
    <row r="69" spans="1:12" ht="15.6" customHeight="1" x14ac:dyDescent="0.2">
      <c r="J69"/>
      <c r="K69"/>
      <c r="L69"/>
    </row>
    <row r="70" spans="1:12" ht="15.6" customHeight="1" x14ac:dyDescent="0.2">
      <c r="J70"/>
      <c r="K70"/>
      <c r="L70"/>
    </row>
    <row r="71" spans="1:12" ht="15.6" customHeight="1" x14ac:dyDescent="0.2">
      <c r="J71"/>
      <c r="K71"/>
      <c r="L71"/>
    </row>
    <row r="72" spans="1:12" ht="15.6" customHeight="1" x14ac:dyDescent="0.2">
      <c r="A72"/>
      <c r="B72"/>
      <c r="C72"/>
      <c r="D72"/>
      <c r="E72"/>
      <c r="F72"/>
      <c r="H72"/>
      <c r="I72"/>
      <c r="J72"/>
      <c r="K72"/>
      <c r="L72"/>
    </row>
    <row r="73" spans="1:12" ht="15.6" customHeight="1" x14ac:dyDescent="0.2">
      <c r="A73"/>
      <c r="B73"/>
      <c r="C73"/>
      <c r="D73"/>
      <c r="E73"/>
      <c r="F73"/>
      <c r="H73"/>
      <c r="I73"/>
      <c r="J73"/>
      <c r="K73"/>
      <c r="L73"/>
    </row>
    <row r="74" spans="1:12" ht="15.6" customHeight="1" x14ac:dyDescent="0.2">
      <c r="A74"/>
      <c r="B74"/>
      <c r="C74"/>
      <c r="D74"/>
      <c r="E74"/>
      <c r="F74"/>
      <c r="H74"/>
      <c r="I74"/>
      <c r="J74"/>
      <c r="K74"/>
      <c r="L74"/>
    </row>
    <row r="75" spans="1:12" ht="15.6" customHeight="1" x14ac:dyDescent="0.2">
      <c r="A75"/>
      <c r="B75"/>
      <c r="C75"/>
      <c r="D75"/>
      <c r="E75"/>
      <c r="F75"/>
      <c r="H75"/>
      <c r="I75"/>
      <c r="J75"/>
      <c r="K75"/>
      <c r="L75"/>
    </row>
    <row r="76" spans="1:12" ht="15.6" customHeight="1" x14ac:dyDescent="0.2">
      <c r="A76"/>
      <c r="B76"/>
      <c r="C76"/>
      <c r="D76"/>
      <c r="E76"/>
      <c r="F76"/>
      <c r="H76"/>
      <c r="I76"/>
      <c r="J76"/>
      <c r="K76"/>
      <c r="L76"/>
    </row>
    <row r="77" spans="1:12" ht="15.6" customHeight="1" x14ac:dyDescent="0.2">
      <c r="A77"/>
      <c r="B77"/>
      <c r="C77"/>
      <c r="D77"/>
      <c r="E77"/>
      <c r="F77"/>
      <c r="H77"/>
      <c r="I77"/>
      <c r="J77"/>
      <c r="K77"/>
      <c r="L77"/>
    </row>
    <row r="78" spans="1:12" ht="15.6" customHeight="1" x14ac:dyDescent="0.2">
      <c r="A78"/>
      <c r="B78"/>
      <c r="C78"/>
      <c r="D78"/>
      <c r="E78"/>
      <c r="F78"/>
      <c r="H78"/>
      <c r="I78"/>
      <c r="J78"/>
      <c r="K78"/>
      <c r="L78"/>
    </row>
    <row r="79" spans="1:12" ht="15.6" customHeight="1" x14ac:dyDescent="0.2">
      <c r="A79"/>
      <c r="B79"/>
      <c r="C79"/>
      <c r="D79"/>
      <c r="E79"/>
      <c r="F79"/>
      <c r="H79"/>
      <c r="I79"/>
      <c r="J79"/>
      <c r="K79"/>
      <c r="L79"/>
    </row>
    <row r="80" spans="1:12" ht="15.6" customHeight="1" x14ac:dyDescent="0.2">
      <c r="A80"/>
      <c r="B80"/>
      <c r="C80"/>
      <c r="D80"/>
      <c r="E80"/>
      <c r="F80"/>
      <c r="H80"/>
      <c r="I80"/>
      <c r="J80"/>
      <c r="K80"/>
      <c r="L80"/>
    </row>
    <row r="81" spans="1:12" ht="15.6" customHeight="1" x14ac:dyDescent="0.2">
      <c r="A81"/>
      <c r="B81"/>
      <c r="C81"/>
      <c r="D81"/>
      <c r="E81"/>
      <c r="F81"/>
      <c r="H81"/>
      <c r="I81"/>
      <c r="J81"/>
      <c r="K81"/>
      <c r="L81"/>
    </row>
    <row r="82" spans="1:12" ht="15.6" customHeight="1" x14ac:dyDescent="0.2">
      <c r="A82"/>
      <c r="B82"/>
      <c r="C82"/>
      <c r="D82"/>
      <c r="E82"/>
      <c r="F82"/>
      <c r="H82"/>
      <c r="I82"/>
      <c r="J82"/>
      <c r="K82"/>
      <c r="L82"/>
    </row>
    <row r="83" spans="1:12" ht="15.6" customHeight="1" x14ac:dyDescent="0.2">
      <c r="A83"/>
      <c r="B83"/>
      <c r="C83"/>
      <c r="D83"/>
      <c r="E83"/>
      <c r="F83"/>
      <c r="H83"/>
      <c r="I83"/>
      <c r="J83"/>
      <c r="K83"/>
      <c r="L83"/>
    </row>
    <row r="84" spans="1:12" ht="15.6" customHeight="1" x14ac:dyDescent="0.2">
      <c r="A84"/>
      <c r="B84"/>
      <c r="C84"/>
      <c r="D84"/>
      <c r="E84"/>
      <c r="F84"/>
      <c r="H84"/>
      <c r="I84"/>
      <c r="J84"/>
      <c r="K84"/>
      <c r="L84"/>
    </row>
    <row r="85" spans="1:12" ht="15.6" customHeight="1" x14ac:dyDescent="0.2">
      <c r="A85"/>
      <c r="B85"/>
      <c r="C85"/>
      <c r="D85"/>
      <c r="E85"/>
      <c r="F85"/>
      <c r="H85"/>
      <c r="I85"/>
      <c r="J85"/>
      <c r="K85"/>
      <c r="L85"/>
    </row>
    <row r="86" spans="1:12" ht="15.6" customHeight="1" x14ac:dyDescent="0.2">
      <c r="A86"/>
      <c r="B86"/>
      <c r="C86"/>
      <c r="D86"/>
      <c r="E86"/>
      <c r="F86"/>
      <c r="H86"/>
      <c r="I86"/>
      <c r="J86"/>
      <c r="K86"/>
      <c r="L86"/>
    </row>
    <row r="87" spans="1:12" ht="15.6" customHeight="1" x14ac:dyDescent="0.2">
      <c r="A87"/>
      <c r="B87"/>
      <c r="C87"/>
      <c r="D87"/>
      <c r="E87"/>
      <c r="F87"/>
      <c r="H87"/>
      <c r="I87"/>
      <c r="J87"/>
      <c r="K87"/>
      <c r="L87"/>
    </row>
    <row r="88" spans="1:12" ht="15.6" customHeight="1" x14ac:dyDescent="0.2">
      <c r="A88"/>
      <c r="B88"/>
      <c r="C88"/>
      <c r="D88"/>
      <c r="E88"/>
      <c r="F88"/>
      <c r="H88"/>
      <c r="I88"/>
      <c r="J88"/>
      <c r="K88"/>
      <c r="L88"/>
    </row>
    <row r="89" spans="1:12" ht="15.6" customHeight="1" x14ac:dyDescent="0.2">
      <c r="A89"/>
      <c r="B89"/>
      <c r="C89"/>
      <c r="D89"/>
      <c r="E89"/>
      <c r="F89"/>
      <c r="H89"/>
      <c r="I89"/>
      <c r="J89"/>
      <c r="K89"/>
      <c r="L89"/>
    </row>
    <row r="90" spans="1:12" ht="15.6" customHeight="1" x14ac:dyDescent="0.2">
      <c r="A90"/>
      <c r="B90"/>
      <c r="C90"/>
      <c r="D90"/>
      <c r="E90"/>
      <c r="F90"/>
      <c r="H90"/>
      <c r="I90"/>
      <c r="J90"/>
      <c r="K90"/>
      <c r="L90"/>
    </row>
    <row r="91" spans="1:12" ht="15.6" customHeight="1" x14ac:dyDescent="0.2">
      <c r="A91"/>
      <c r="B91"/>
      <c r="C91"/>
      <c r="D91"/>
      <c r="E91"/>
      <c r="F91"/>
      <c r="H91"/>
      <c r="I91"/>
      <c r="J91"/>
      <c r="K91"/>
      <c r="L91"/>
    </row>
    <row r="92" spans="1:12" ht="15.6" customHeight="1" x14ac:dyDescent="0.2">
      <c r="A92"/>
      <c r="B92"/>
      <c r="C92"/>
      <c r="D92"/>
      <c r="E92"/>
      <c r="F92"/>
      <c r="H92"/>
      <c r="I92"/>
      <c r="J92"/>
      <c r="K92"/>
      <c r="L92"/>
    </row>
    <row r="93" spans="1:12" ht="15.6" customHeight="1" x14ac:dyDescent="0.2">
      <c r="A93"/>
      <c r="B93"/>
      <c r="C93"/>
      <c r="D93"/>
      <c r="E93"/>
      <c r="F93"/>
      <c r="H93"/>
      <c r="I93"/>
      <c r="J93"/>
      <c r="K93"/>
      <c r="L93"/>
    </row>
    <row r="94" spans="1:12" ht="15.6" customHeight="1" x14ac:dyDescent="0.2">
      <c r="A94"/>
      <c r="B94"/>
      <c r="C94"/>
      <c r="D94"/>
      <c r="E94"/>
      <c r="F94"/>
      <c r="H94"/>
      <c r="I94"/>
      <c r="J94"/>
      <c r="K94"/>
      <c r="L94"/>
    </row>
    <row r="95" spans="1:12" ht="15.6" customHeight="1" x14ac:dyDescent="0.2">
      <c r="A95"/>
      <c r="B95"/>
      <c r="C95"/>
      <c r="D95"/>
      <c r="E95"/>
      <c r="F95"/>
      <c r="H95"/>
      <c r="I95"/>
      <c r="J95"/>
      <c r="K95"/>
      <c r="L95"/>
    </row>
    <row r="96" spans="1:12" ht="15.6" customHeight="1" x14ac:dyDescent="0.2">
      <c r="A96"/>
      <c r="B96"/>
      <c r="C96"/>
      <c r="D96"/>
      <c r="E96"/>
      <c r="F96"/>
      <c r="H96"/>
      <c r="I96"/>
      <c r="J96"/>
      <c r="K96"/>
      <c r="L96"/>
    </row>
    <row r="97" spans="1:12" ht="15.6" customHeight="1" x14ac:dyDescent="0.2">
      <c r="A97"/>
      <c r="B97"/>
      <c r="C97"/>
      <c r="D97"/>
      <c r="E97"/>
      <c r="F97"/>
      <c r="H97"/>
      <c r="I97"/>
      <c r="J97"/>
      <c r="K97"/>
      <c r="L97"/>
    </row>
    <row r="98" spans="1:12" ht="15.6" customHeight="1" x14ac:dyDescent="0.2">
      <c r="A98"/>
      <c r="B98"/>
      <c r="C98"/>
      <c r="D98"/>
      <c r="E98"/>
      <c r="F98"/>
      <c r="K98"/>
    </row>
    <row r="99" spans="1:12" ht="15.6" customHeight="1" x14ac:dyDescent="0.2">
      <c r="A99"/>
      <c r="B99"/>
      <c r="C99"/>
      <c r="D99"/>
      <c r="E99"/>
      <c r="F99"/>
      <c r="K99"/>
    </row>
    <row r="100" spans="1:12" ht="15.6" customHeight="1" x14ac:dyDescent="0.2">
      <c r="A100"/>
      <c r="B100"/>
      <c r="C100"/>
      <c r="D100"/>
      <c r="E100"/>
      <c r="F100"/>
      <c r="H100" s="68"/>
      <c r="I100"/>
      <c r="J100"/>
      <c r="K100"/>
    </row>
    <row r="101" spans="1:12" ht="15.6" customHeight="1" x14ac:dyDescent="0.2">
      <c r="A101"/>
      <c r="B101"/>
      <c r="C101"/>
      <c r="D101"/>
      <c r="E101"/>
      <c r="F101"/>
      <c r="H101"/>
      <c r="I101"/>
      <c r="J101"/>
      <c r="K101"/>
    </row>
    <row r="102" spans="1:12" ht="15.6" customHeight="1" x14ac:dyDescent="0.2">
      <c r="A102"/>
      <c r="B102"/>
      <c r="C102"/>
      <c r="D102"/>
      <c r="E102"/>
      <c r="F102"/>
      <c r="H102"/>
      <c r="I102"/>
      <c r="J102"/>
      <c r="K102"/>
    </row>
    <row r="103" spans="1:12" ht="15.6" customHeight="1" x14ac:dyDescent="0.2">
      <c r="A103"/>
      <c r="B103"/>
      <c r="C103"/>
      <c r="D103"/>
      <c r="E103"/>
      <c r="F103"/>
      <c r="H103"/>
      <c r="I103"/>
      <c r="J103"/>
      <c r="K103"/>
    </row>
    <row r="104" spans="1:12" ht="15.6" customHeight="1" x14ac:dyDescent="0.2">
      <c r="A104"/>
      <c r="B104"/>
      <c r="C104"/>
      <c r="D104"/>
      <c r="E104"/>
      <c r="F104"/>
      <c r="H104"/>
      <c r="I104" s="69"/>
      <c r="J104" s="69"/>
      <c r="K104" s="69"/>
    </row>
    <row r="105" spans="1:12" ht="15.6" customHeight="1" x14ac:dyDescent="0.2">
      <c r="A105"/>
      <c r="B105"/>
      <c r="C105"/>
      <c r="D105"/>
      <c r="E105"/>
      <c r="F105"/>
      <c r="H105"/>
      <c r="I105" s="69"/>
      <c r="J105" s="69"/>
      <c r="K105" s="69"/>
    </row>
    <row r="106" spans="1:12" ht="15.6" customHeight="1" x14ac:dyDescent="0.2">
      <c r="D106"/>
      <c r="E106"/>
      <c r="F106"/>
      <c r="H106"/>
      <c r="I106" s="69"/>
      <c r="J106" s="69"/>
      <c r="K106" s="69"/>
    </row>
    <row r="107" spans="1:12" ht="15.6" customHeight="1" x14ac:dyDescent="0.2">
      <c r="D107"/>
      <c r="E107"/>
      <c r="F107"/>
      <c r="H107"/>
      <c r="I107"/>
      <c r="J107"/>
      <c r="K107"/>
    </row>
    <row r="108" spans="1:12" ht="15.6" customHeight="1" x14ac:dyDescent="0.2">
      <c r="A108" s="78"/>
      <c r="B108"/>
      <c r="C108"/>
      <c r="D108"/>
      <c r="E108"/>
      <c r="F108"/>
      <c r="H108"/>
      <c r="I108"/>
      <c r="J108"/>
      <c r="K108"/>
    </row>
    <row r="109" spans="1:12" ht="15.6" customHeight="1" x14ac:dyDescent="0.2">
      <c r="A109"/>
      <c r="B109"/>
      <c r="C109"/>
      <c r="D109"/>
      <c r="E109"/>
      <c r="F109"/>
      <c r="H109"/>
      <c r="I109"/>
      <c r="J109"/>
      <c r="K109"/>
    </row>
    <row r="110" spans="1:12" ht="15.6" customHeight="1" x14ac:dyDescent="0.2">
      <c r="A110"/>
      <c r="B110"/>
      <c r="C110"/>
      <c r="D110"/>
      <c r="E110"/>
      <c r="F110"/>
      <c r="H110"/>
      <c r="I110"/>
      <c r="J110"/>
      <c r="K110"/>
    </row>
    <row r="111" spans="1:12" ht="15.6" customHeight="1" x14ac:dyDescent="0.2">
      <c r="A111"/>
      <c r="B111"/>
      <c r="C111"/>
      <c r="D111"/>
      <c r="E111"/>
      <c r="F111"/>
      <c r="H111"/>
      <c r="I111"/>
      <c r="J111"/>
      <c r="K111"/>
    </row>
    <row r="112" spans="1:12" ht="15.6" customHeight="1" x14ac:dyDescent="0.2">
      <c r="A112"/>
      <c r="B112"/>
      <c r="C112"/>
      <c r="D112"/>
      <c r="E112"/>
      <c r="F112"/>
    </row>
    <row r="113" spans="1:11" ht="15.6" customHeight="1" x14ac:dyDescent="0.2">
      <c r="A113"/>
      <c r="B113"/>
      <c r="C113"/>
      <c r="D113"/>
      <c r="E113"/>
      <c r="F113"/>
    </row>
    <row r="114" spans="1:11" ht="15.6" customHeight="1" x14ac:dyDescent="0.2">
      <c r="A114"/>
      <c r="B114"/>
      <c r="C114"/>
      <c r="D114"/>
      <c r="E114"/>
      <c r="F114"/>
      <c r="H114" s="68"/>
      <c r="I114"/>
      <c r="J114"/>
      <c r="K114"/>
    </row>
    <row r="115" spans="1:11" ht="15.6" customHeight="1" x14ac:dyDescent="0.2">
      <c r="A115"/>
      <c r="B115"/>
      <c r="C115"/>
      <c r="D115"/>
      <c r="E115"/>
      <c r="F115"/>
      <c r="H115"/>
      <c r="I115"/>
      <c r="J115"/>
      <c r="K115"/>
    </row>
    <row r="116" spans="1:11" ht="15.6" customHeight="1" x14ac:dyDescent="0.2">
      <c r="A116"/>
      <c r="B116"/>
      <c r="C116"/>
      <c r="D116"/>
      <c r="E116"/>
      <c r="F116"/>
      <c r="H116"/>
      <c r="I116"/>
      <c r="J116"/>
      <c r="K116"/>
    </row>
    <row r="117" spans="1:11" ht="15.6" customHeight="1" x14ac:dyDescent="0.2">
      <c r="A117"/>
      <c r="B117"/>
      <c r="C117"/>
      <c r="D117"/>
      <c r="E117"/>
      <c r="F117"/>
      <c r="H117"/>
      <c r="I117"/>
      <c r="J117" s="69"/>
      <c r="K117" s="69"/>
    </row>
    <row r="118" spans="1:11" ht="15.6" customHeight="1" x14ac:dyDescent="0.2">
      <c r="A118"/>
      <c r="B118"/>
      <c r="C118"/>
      <c r="D118"/>
      <c r="E118"/>
      <c r="F118"/>
      <c r="H118"/>
      <c r="I118"/>
      <c r="J118" s="69"/>
      <c r="K118" s="69"/>
    </row>
    <row r="119" spans="1:11" ht="15.6" customHeight="1" x14ac:dyDescent="0.2">
      <c r="A119"/>
      <c r="B119"/>
      <c r="C119"/>
      <c r="D119"/>
      <c r="E119"/>
      <c r="F119"/>
      <c r="H119"/>
      <c r="I119"/>
      <c r="J119" s="69"/>
      <c r="K119" s="69"/>
    </row>
    <row r="120" spans="1:11" ht="15.6" customHeight="1" x14ac:dyDescent="0.2">
      <c r="A120"/>
      <c r="B120"/>
      <c r="C120"/>
      <c r="D120"/>
      <c r="E120"/>
      <c r="F120"/>
      <c r="H120"/>
      <c r="I120"/>
      <c r="J120"/>
      <c r="K120"/>
    </row>
    <row r="121" spans="1:11" ht="15.6" customHeight="1" x14ac:dyDescent="0.2">
      <c r="A121"/>
      <c r="B121"/>
      <c r="C121"/>
      <c r="D121"/>
      <c r="E121"/>
      <c r="F121"/>
      <c r="G121"/>
      <c r="H121"/>
      <c r="I121"/>
      <c r="J121"/>
      <c r="K121"/>
    </row>
    <row r="122" spans="1:11" ht="15.6" customHeight="1" x14ac:dyDescent="0.2">
      <c r="A122"/>
      <c r="B122"/>
      <c r="C122"/>
      <c r="D122"/>
      <c r="E122"/>
      <c r="F122"/>
      <c r="G122"/>
      <c r="H122"/>
      <c r="I122"/>
      <c r="J122"/>
      <c r="K122"/>
    </row>
    <row r="123" spans="1:11" ht="15.6" customHeight="1" x14ac:dyDescent="0.2">
      <c r="A123"/>
      <c r="B123"/>
      <c r="C123"/>
      <c r="D123"/>
      <c r="E123"/>
      <c r="F123"/>
      <c r="G123"/>
      <c r="H123"/>
      <c r="I123" s="69"/>
      <c r="J123" s="69"/>
    </row>
    <row r="124" spans="1:11" ht="15.6" customHeight="1" x14ac:dyDescent="0.2">
      <c r="A124"/>
      <c r="B124" s="69"/>
      <c r="C124" s="69"/>
      <c r="D124"/>
      <c r="E124"/>
      <c r="F124"/>
      <c r="G124"/>
      <c r="H124"/>
      <c r="I124" s="69"/>
      <c r="J124" s="69"/>
    </row>
    <row r="125" spans="1:11" ht="15.6" customHeight="1" x14ac:dyDescent="0.2">
      <c r="A125"/>
      <c r="B125"/>
      <c r="C125"/>
      <c r="D125"/>
      <c r="F125"/>
      <c r="G125"/>
      <c r="H125"/>
      <c r="I125"/>
      <c r="J125"/>
    </row>
    <row r="126" spans="1:11" ht="15.6" customHeight="1" x14ac:dyDescent="0.2">
      <c r="A126"/>
      <c r="B126"/>
      <c r="C126"/>
      <c r="D126"/>
      <c r="F126"/>
      <c r="G126"/>
      <c r="H126"/>
      <c r="I126"/>
      <c r="J126"/>
    </row>
    <row r="127" spans="1:11" ht="15.6" customHeight="1" x14ac:dyDescent="0.2">
      <c r="A127"/>
      <c r="B127"/>
      <c r="C127"/>
      <c r="D127"/>
      <c r="F127"/>
      <c r="G127"/>
      <c r="H127"/>
      <c r="I127"/>
      <c r="J127"/>
    </row>
    <row r="128" spans="1:11" ht="15.6" customHeight="1" x14ac:dyDescent="0.2">
      <c r="A128"/>
      <c r="B128" s="69"/>
      <c r="C128" s="69"/>
      <c r="D128"/>
      <c r="F128"/>
      <c r="G128"/>
      <c r="H128"/>
      <c r="I128"/>
      <c r="J128"/>
    </row>
    <row r="129" spans="1:10" ht="15.6" customHeight="1" x14ac:dyDescent="0.2">
      <c r="A129"/>
      <c r="B129" s="69"/>
      <c r="C129" s="69"/>
      <c r="D129"/>
      <c r="F129"/>
      <c r="G129"/>
      <c r="H129"/>
      <c r="I129"/>
      <c r="J129"/>
    </row>
    <row r="130" spans="1:10" ht="15.6" customHeight="1" x14ac:dyDescent="0.2">
      <c r="A130"/>
      <c r="B130" s="69"/>
      <c r="C130" s="69"/>
      <c r="D130"/>
      <c r="F130"/>
    </row>
    <row r="131" spans="1:10" ht="15.6" customHeight="1" x14ac:dyDescent="0.2">
      <c r="A131"/>
      <c r="B131"/>
      <c r="C131"/>
      <c r="D131"/>
      <c r="F131"/>
    </row>
    <row r="132" spans="1:10" ht="15.6" customHeight="1" x14ac:dyDescent="0.2">
      <c r="A132"/>
      <c r="B132" s="69"/>
      <c r="C132" s="69"/>
      <c r="D132"/>
      <c r="F132"/>
    </row>
    <row r="133" spans="1:10" ht="15.6" customHeight="1" x14ac:dyDescent="0.2">
      <c r="A133"/>
      <c r="B133" s="69"/>
      <c r="C133" s="69"/>
      <c r="D133"/>
      <c r="F133"/>
    </row>
    <row r="134" spans="1:10" ht="15.6" customHeight="1" x14ac:dyDescent="0.2">
      <c r="A134"/>
      <c r="B134" s="69"/>
      <c r="C134" s="69"/>
      <c r="D134"/>
      <c r="F134"/>
    </row>
    <row r="135" spans="1:10" ht="15.6" customHeight="1" x14ac:dyDescent="0.2">
      <c r="A135"/>
      <c r="B135"/>
      <c r="C135"/>
      <c r="D135"/>
      <c r="F135"/>
    </row>
    <row r="136" spans="1:10" ht="15.6" customHeight="1" x14ac:dyDescent="0.2">
      <c r="A136"/>
      <c r="B136" s="69"/>
      <c r="C136" s="69"/>
      <c r="D136"/>
      <c r="F136"/>
    </row>
    <row r="137" spans="1:10" ht="15.6" customHeight="1" x14ac:dyDescent="0.2">
      <c r="A137"/>
      <c r="B137" s="69"/>
      <c r="C137" s="69"/>
      <c r="D137"/>
      <c r="F137"/>
    </row>
  </sheetData>
  <mergeCells count="1">
    <mergeCell ref="G51:G52"/>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3"/>
  <sheetViews>
    <sheetView showGridLines="0" showRowColHeaders="0" zoomScaleNormal="100" workbookViewId="0"/>
  </sheetViews>
  <sheetFormatPr defaultColWidth="11.42578125" defaultRowHeight="12.75" x14ac:dyDescent="0.2"/>
  <cols>
    <col min="1" max="1" width="26.42578125" style="168" customWidth="1"/>
    <col min="2" max="2" width="8.140625" style="168" customWidth="1"/>
    <col min="3" max="4" width="10.42578125" style="168" customWidth="1"/>
    <col min="5" max="5" width="9.85546875" style="168" customWidth="1"/>
    <col min="6" max="6" width="1.5703125" style="168" customWidth="1"/>
    <col min="7" max="7" width="7.5703125" style="168" customWidth="1"/>
    <col min="8" max="8" width="8.85546875" style="168" customWidth="1"/>
    <col min="9" max="21" width="11.42578125" style="168" customWidth="1"/>
    <col min="22" max="22" width="15.42578125" style="168" customWidth="1"/>
    <col min="23" max="16384" width="11.42578125" style="168"/>
  </cols>
  <sheetData>
    <row r="1" spans="1:36" s="1" customFormat="1" ht="5.25" customHeight="1" x14ac:dyDescent="0.2"/>
    <row r="2" spans="1:36" s="1" customFormat="1" x14ac:dyDescent="0.2">
      <c r="A2" s="146" t="s">
        <v>0</v>
      </c>
      <c r="B2" s="2"/>
      <c r="C2" s="2"/>
      <c r="D2" s="2"/>
      <c r="E2" s="2"/>
      <c r="F2" s="2"/>
      <c r="G2" s="2"/>
    </row>
    <row r="3" spans="1:36" s="1" customFormat="1" ht="6" customHeight="1" x14ac:dyDescent="0.25">
      <c r="A3" s="147"/>
      <c r="B3" s="2"/>
      <c r="C3" s="2"/>
      <c r="D3" s="2"/>
      <c r="E3" s="2"/>
      <c r="F3" s="2"/>
      <c r="G3" s="2"/>
    </row>
    <row r="4" spans="1:36" s="1" customFormat="1" ht="12.75" customHeight="1" x14ac:dyDescent="0.2">
      <c r="A4" s="202" t="s">
        <v>90</v>
      </c>
      <c r="B4" s="2"/>
      <c r="C4" s="2"/>
      <c r="D4" s="2"/>
      <c r="E4" s="2"/>
      <c r="F4" s="2"/>
      <c r="G4" s="2"/>
      <c r="H4" s="67"/>
    </row>
    <row r="5" spans="1:36" s="1" customFormat="1" ht="12.75" customHeight="1" x14ac:dyDescent="0.2">
      <c r="A5" s="202"/>
      <c r="B5" s="2"/>
      <c r="C5" s="2"/>
      <c r="D5" s="2"/>
      <c r="E5" s="2"/>
      <c r="F5" s="2"/>
      <c r="G5" s="2"/>
      <c r="H5" s="67"/>
    </row>
    <row r="6" spans="1:36" s="1" customFormat="1" ht="15.75" x14ac:dyDescent="0.25">
      <c r="A6" s="4" t="str">
        <f>"Figur 1. Antall meldte skader etter bransjer "&amp;'Tab3'!H63</f>
        <v xml:space="preserve">Figur 1. Antall meldte skader etter bransjer </v>
      </c>
      <c r="B6" s="2"/>
      <c r="C6" s="2"/>
      <c r="D6" s="2"/>
      <c r="E6" s="2"/>
      <c r="F6" s="2"/>
      <c r="G6" s="2"/>
      <c r="H6" s="67"/>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s="1" customFormat="1" ht="15.75" x14ac:dyDescent="0.25">
      <c r="A7" s="147"/>
      <c r="B7" s="2"/>
      <c r="C7" s="2"/>
      <c r="D7" s="2"/>
      <c r="E7" s="2"/>
      <c r="F7" s="2"/>
      <c r="G7" s="2"/>
      <c r="H7" s="67"/>
      <c r="V7" s="88"/>
      <c r="AJ7" s="88"/>
    </row>
    <row r="8" spans="1:36" s="1" customFormat="1" ht="15.75" x14ac:dyDescent="0.25">
      <c r="A8" s="147"/>
      <c r="B8" s="2"/>
      <c r="C8" s="2"/>
      <c r="D8" s="2"/>
      <c r="E8" s="2"/>
      <c r="F8" s="2"/>
      <c r="G8" s="2"/>
      <c r="H8" s="67"/>
    </row>
    <row r="9" spans="1:36" s="1" customFormat="1" ht="15.75" x14ac:dyDescent="0.25">
      <c r="A9" s="147"/>
      <c r="B9" s="2"/>
      <c r="C9" s="2"/>
      <c r="D9" s="2"/>
      <c r="E9" s="2"/>
      <c r="F9" s="2"/>
      <c r="G9" s="2"/>
      <c r="H9" s="67"/>
    </row>
    <row r="10" spans="1:36" s="1" customFormat="1" ht="15.75" x14ac:dyDescent="0.25">
      <c r="A10" s="147"/>
      <c r="B10" s="2"/>
      <c r="C10" s="2"/>
      <c r="D10" s="2"/>
      <c r="E10" s="2"/>
      <c r="F10" s="2"/>
      <c r="G10" s="2"/>
      <c r="H10" s="67"/>
    </row>
    <row r="11" spans="1:36" s="1" customFormat="1" ht="15.75" x14ac:dyDescent="0.25">
      <c r="A11" s="147"/>
      <c r="B11" s="2"/>
      <c r="C11" s="2"/>
      <c r="D11" s="2"/>
      <c r="E11" s="2"/>
      <c r="F11" s="2"/>
      <c r="G11" s="2"/>
      <c r="H11" s="67"/>
    </row>
    <row r="12" spans="1:36" s="1" customFormat="1" ht="15.75" x14ac:dyDescent="0.25">
      <c r="A12" s="147"/>
      <c r="B12" s="2"/>
      <c r="C12" s="2"/>
      <c r="D12" s="2"/>
      <c r="E12" s="2"/>
      <c r="F12" s="2"/>
      <c r="G12" s="2"/>
      <c r="H12" s="67"/>
    </row>
    <row r="13" spans="1:36" s="1" customFormat="1" ht="15.75" x14ac:dyDescent="0.25">
      <c r="A13" s="147"/>
      <c r="B13" s="2"/>
      <c r="C13" s="2"/>
      <c r="D13" s="2"/>
      <c r="E13" s="2"/>
      <c r="F13" s="2"/>
      <c r="G13" s="2"/>
      <c r="H13" s="67"/>
    </row>
    <row r="14" spans="1:36" s="1" customFormat="1" ht="15.75" x14ac:dyDescent="0.25">
      <c r="A14" s="147"/>
      <c r="B14" s="2"/>
      <c r="C14" s="2"/>
      <c r="D14" s="2"/>
      <c r="E14" s="2"/>
      <c r="F14" s="2"/>
      <c r="G14" s="2"/>
      <c r="H14" s="67"/>
    </row>
    <row r="15" spans="1:36" s="1" customFormat="1" ht="15.75" x14ac:dyDescent="0.25">
      <c r="A15" s="147"/>
      <c r="B15" s="2"/>
      <c r="C15" s="2"/>
      <c r="D15" s="2"/>
      <c r="E15" s="2"/>
      <c r="F15" s="2"/>
      <c r="G15" s="2"/>
      <c r="H15" s="67"/>
    </row>
    <row r="16" spans="1:36" s="1" customFormat="1" ht="15.75" x14ac:dyDescent="0.25">
      <c r="A16" s="147"/>
      <c r="B16" s="2"/>
      <c r="C16" s="2"/>
      <c r="D16" s="2"/>
      <c r="E16" s="2"/>
      <c r="F16" s="2"/>
      <c r="G16" s="2"/>
      <c r="H16" s="67"/>
    </row>
    <row r="17" spans="1:30" s="1" customFormat="1" ht="15.75" x14ac:dyDescent="0.25">
      <c r="A17" s="147"/>
      <c r="B17" s="2"/>
      <c r="C17" s="2"/>
      <c r="D17" s="2"/>
      <c r="E17" s="2"/>
      <c r="F17" s="2"/>
      <c r="G17" s="2"/>
      <c r="H17" s="67"/>
    </row>
    <row r="18" spans="1:30" s="1" customFormat="1" ht="15.75" x14ac:dyDescent="0.25">
      <c r="A18" s="147"/>
      <c r="B18" s="2"/>
      <c r="C18" s="2"/>
      <c r="D18" s="2"/>
      <c r="E18" s="2"/>
      <c r="F18" s="2"/>
      <c r="G18" s="2"/>
      <c r="H18" s="67"/>
    </row>
    <row r="19" spans="1:30" s="1" customFormat="1" ht="15.75" x14ac:dyDescent="0.25">
      <c r="A19" s="147"/>
      <c r="B19" s="2"/>
      <c r="C19" s="2"/>
      <c r="D19" s="2"/>
      <c r="E19" s="2"/>
      <c r="F19" s="2"/>
      <c r="G19" s="2"/>
      <c r="H19" s="67"/>
    </row>
    <row r="20" spans="1:30" s="1" customFormat="1" ht="15.75" x14ac:dyDescent="0.25">
      <c r="A20" s="147"/>
      <c r="B20" s="2"/>
      <c r="C20" s="2"/>
      <c r="D20" s="2"/>
      <c r="E20" s="2"/>
      <c r="F20" s="2"/>
      <c r="G20" s="2"/>
      <c r="H20" s="67"/>
    </row>
    <row r="21" spans="1:30" s="1" customFormat="1" ht="15.75" x14ac:dyDescent="0.25">
      <c r="A21" s="147"/>
      <c r="B21" s="2"/>
      <c r="C21" s="2"/>
      <c r="D21" s="2"/>
      <c r="E21" s="2"/>
      <c r="F21" s="2"/>
      <c r="G21" s="2"/>
      <c r="H21" s="67"/>
    </row>
    <row r="22" spans="1:30" s="1" customFormat="1" ht="15.75" x14ac:dyDescent="0.25">
      <c r="A22" s="147"/>
      <c r="B22" s="2"/>
      <c r="C22" s="2"/>
      <c r="D22" s="2"/>
      <c r="E22" s="2"/>
      <c r="F22" s="2"/>
      <c r="G22" s="2"/>
      <c r="H22" s="67"/>
    </row>
    <row r="23" spans="1:30" s="1" customFormat="1" ht="15.75" x14ac:dyDescent="0.25">
      <c r="A23" s="147"/>
      <c r="B23" s="2"/>
      <c r="C23" s="2"/>
      <c r="D23" s="2"/>
      <c r="E23" s="2"/>
      <c r="F23" s="2"/>
      <c r="G23" s="2"/>
      <c r="H23" s="67"/>
    </row>
    <row r="24" spans="1:30" s="1" customFormat="1" ht="15.75" x14ac:dyDescent="0.25">
      <c r="A24" s="147"/>
      <c r="B24" s="2"/>
      <c r="C24" s="2"/>
      <c r="D24" s="2"/>
      <c r="E24" s="2"/>
      <c r="F24" s="2"/>
      <c r="G24" s="2"/>
      <c r="H24" s="67"/>
    </row>
    <row r="25" spans="1:30" s="1" customFormat="1" ht="15.75" x14ac:dyDescent="0.25">
      <c r="A25" s="147"/>
      <c r="B25" s="2"/>
      <c r="C25" s="2"/>
      <c r="D25" s="2"/>
      <c r="E25" s="2"/>
      <c r="F25" s="2"/>
      <c r="G25" s="2"/>
      <c r="H25" s="67"/>
    </row>
    <row r="26" spans="1:30" s="1" customFormat="1" ht="15.75" x14ac:dyDescent="0.25">
      <c r="A26" s="147"/>
      <c r="B26" s="2"/>
      <c r="C26" s="2"/>
      <c r="D26" s="2"/>
      <c r="E26" s="2"/>
      <c r="F26" s="2"/>
      <c r="G26" s="2"/>
      <c r="H26" s="67"/>
    </row>
    <row r="27" spans="1:30" s="1" customFormat="1" ht="15.75" x14ac:dyDescent="0.25">
      <c r="A27" s="147"/>
      <c r="B27" s="2"/>
      <c r="C27" s="2"/>
      <c r="D27" s="2"/>
      <c r="E27" s="2"/>
      <c r="F27" s="2"/>
      <c r="G27" s="2"/>
      <c r="H27" s="67"/>
    </row>
    <row r="28" spans="1:30" s="1" customFormat="1" ht="15.75" x14ac:dyDescent="0.25">
      <c r="A28" s="147"/>
      <c r="B28" s="2"/>
      <c r="C28" s="2"/>
      <c r="D28" s="2"/>
      <c r="E28" s="2"/>
      <c r="F28" s="2"/>
      <c r="G28" s="2"/>
      <c r="H28" s="67"/>
    </row>
    <row r="29" spans="1:30" s="1" customFormat="1" ht="15.75" x14ac:dyDescent="0.25">
      <c r="A29" s="147"/>
      <c r="B29" s="2"/>
      <c r="C29" s="2"/>
      <c r="D29" s="2"/>
      <c r="E29" s="2"/>
      <c r="F29" s="2"/>
      <c r="G29" s="2"/>
      <c r="H29" s="67"/>
    </row>
    <row r="30" spans="1:30" s="1" customFormat="1" ht="15.75" x14ac:dyDescent="0.25">
      <c r="A30" s="147"/>
      <c r="B30" s="2"/>
      <c r="C30" s="2"/>
      <c r="D30" s="2"/>
      <c r="E30" s="2"/>
      <c r="F30" s="2"/>
      <c r="G30" s="2"/>
      <c r="H30" s="67"/>
    </row>
    <row r="31" spans="1:30" s="1" customFormat="1" ht="15.75" x14ac:dyDescent="0.25">
      <c r="A31" s="147"/>
      <c r="B31" s="2"/>
      <c r="C31" s="2"/>
      <c r="D31" s="2"/>
      <c r="E31" s="2"/>
      <c r="F31" s="2"/>
      <c r="G31" s="2"/>
      <c r="H31" s="67"/>
    </row>
    <row r="32" spans="1:30" s="1" customFormat="1" ht="15.75" x14ac:dyDescent="0.25">
      <c r="A32" s="4" t="str">
        <f>"Figur 2. Antall meldte skader etter bransjer "&amp;'Tab3'!H63</f>
        <v xml:space="preserve">Figur 2. Antall meldte skader etter bransjer </v>
      </c>
      <c r="B32" s="2"/>
      <c r="C32" s="2"/>
      <c r="D32" s="2"/>
      <c r="E32" s="2"/>
      <c r="F32" s="2"/>
      <c r="G32" s="2"/>
      <c r="H32" s="67"/>
      <c r="I32" s="4" t="str">
        <f>"Figur 4. Vannskader pr. kvartal"</f>
        <v>Figur 4. Vannskader pr. kvartal</v>
      </c>
      <c r="P32" s="4" t="str">
        <f>"Figur 6. Anslått erstatning etter skadetype, motorvogn "&amp;'Tab3'!H63&amp;" "&amp;'Tab3'!E6</f>
        <v>Figur 6. Anslått erstatning etter skadetype, motorvogn  2022</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s="1" customFormat="1" ht="15.75" x14ac:dyDescent="0.25">
      <c r="A33" s="147"/>
      <c r="B33" s="2"/>
      <c r="C33" s="2"/>
      <c r="D33" s="2"/>
      <c r="E33" s="2"/>
      <c r="F33" s="2"/>
      <c r="G33" s="2"/>
      <c r="H33" s="67"/>
    </row>
    <row r="34" spans="1:8" s="1" customFormat="1" ht="15.75" x14ac:dyDescent="0.25">
      <c r="A34" s="147"/>
      <c r="B34" s="2"/>
      <c r="C34" s="2"/>
      <c r="D34" s="2"/>
      <c r="E34" s="2"/>
      <c r="F34" s="2"/>
      <c r="G34" s="2"/>
      <c r="H34" s="67"/>
    </row>
    <row r="35" spans="1:8" s="1" customFormat="1" ht="15.75" x14ac:dyDescent="0.25">
      <c r="A35" s="147"/>
      <c r="B35" s="2"/>
      <c r="C35" s="2"/>
      <c r="D35" s="2"/>
      <c r="E35" s="2"/>
      <c r="F35" s="2"/>
      <c r="G35" s="2"/>
      <c r="H35" s="67"/>
    </row>
    <row r="36" spans="1:8" s="1" customFormat="1" ht="15.75" x14ac:dyDescent="0.25">
      <c r="A36" s="147"/>
      <c r="B36" s="2"/>
      <c r="C36" s="2"/>
      <c r="D36" s="2"/>
      <c r="E36" s="2"/>
      <c r="F36" s="2"/>
      <c r="G36" s="2"/>
      <c r="H36" s="67"/>
    </row>
    <row r="37" spans="1:8" s="1" customFormat="1" x14ac:dyDescent="0.2">
      <c r="A37" s="47"/>
      <c r="B37" s="48"/>
      <c r="C37" s="49"/>
      <c r="D37" s="49"/>
      <c r="E37" s="49"/>
      <c r="F37" s="49"/>
      <c r="G37" s="50"/>
      <c r="H37" s="51"/>
    </row>
    <row r="38" spans="1:8" s="1" customFormat="1" x14ac:dyDescent="0.2">
      <c r="A38" s="47"/>
      <c r="B38" s="48"/>
      <c r="C38" s="49"/>
      <c r="D38" s="49"/>
      <c r="E38" s="49"/>
      <c r="F38" s="49"/>
      <c r="G38" s="50"/>
      <c r="H38" s="51"/>
    </row>
    <row r="39" spans="1:8" s="1" customFormat="1" x14ac:dyDescent="0.2">
      <c r="A39" s="47"/>
      <c r="B39" s="48"/>
      <c r="C39" s="49"/>
      <c r="D39" s="49"/>
      <c r="E39" s="49"/>
      <c r="F39" s="49"/>
      <c r="G39" s="50"/>
      <c r="H39" s="51"/>
    </row>
    <row r="40" spans="1:8" s="1" customFormat="1" x14ac:dyDescent="0.2">
      <c r="A40" s="47"/>
      <c r="B40" s="48"/>
      <c r="C40" s="49"/>
      <c r="D40" s="49"/>
      <c r="E40" s="49"/>
      <c r="F40" s="49"/>
      <c r="G40" s="50"/>
      <c r="H40" s="51"/>
    </row>
    <row r="41" spans="1:8" s="1" customFormat="1" x14ac:dyDescent="0.2">
      <c r="A41" s="47"/>
      <c r="B41" s="48"/>
      <c r="C41" s="49"/>
      <c r="D41" s="49"/>
      <c r="E41" s="49"/>
      <c r="F41" s="49"/>
      <c r="G41" s="50"/>
      <c r="H41" s="51"/>
    </row>
    <row r="42" spans="1:8" s="1" customFormat="1" x14ac:dyDescent="0.2">
      <c r="A42" s="47"/>
      <c r="B42" s="48"/>
      <c r="C42" s="49"/>
      <c r="D42" s="49"/>
      <c r="E42" s="49"/>
      <c r="F42" s="49"/>
      <c r="G42" s="50"/>
      <c r="H42" s="51"/>
    </row>
    <row r="43" spans="1:8" s="1" customFormat="1" x14ac:dyDescent="0.2">
      <c r="A43" s="47"/>
      <c r="B43" s="48"/>
      <c r="C43" s="49"/>
      <c r="D43" s="49"/>
      <c r="E43" s="49"/>
      <c r="F43" s="49"/>
      <c r="G43" s="50"/>
      <c r="H43" s="51"/>
    </row>
    <row r="44" spans="1:8" s="1" customFormat="1" x14ac:dyDescent="0.2">
      <c r="A44" s="47"/>
      <c r="B44" s="48"/>
      <c r="C44" s="49"/>
      <c r="D44" s="49"/>
      <c r="E44" s="49"/>
      <c r="F44" s="49"/>
      <c r="G44" s="50"/>
      <c r="H44" s="51"/>
    </row>
    <row r="45" spans="1:8" s="1" customFormat="1" x14ac:dyDescent="0.2">
      <c r="A45" s="47"/>
      <c r="B45" s="48"/>
      <c r="C45" s="49"/>
      <c r="D45" s="49"/>
      <c r="E45" s="49"/>
      <c r="F45" s="49"/>
      <c r="G45" s="50"/>
      <c r="H45" s="51"/>
    </row>
    <row r="46" spans="1:8" s="1" customFormat="1" x14ac:dyDescent="0.2">
      <c r="A46" s="47"/>
      <c r="B46" s="48"/>
      <c r="C46" s="49"/>
      <c r="D46" s="49"/>
      <c r="E46" s="49"/>
      <c r="F46" s="49"/>
      <c r="G46" s="50"/>
      <c r="H46" s="51"/>
    </row>
    <row r="47" spans="1:8" s="1" customFormat="1" x14ac:dyDescent="0.2">
      <c r="A47" s="47"/>
      <c r="B47" s="48"/>
      <c r="C47" s="49"/>
      <c r="D47" s="49"/>
      <c r="E47" s="49"/>
      <c r="F47" s="49"/>
      <c r="G47" s="50"/>
      <c r="H47" s="51"/>
    </row>
    <row r="48" spans="1:8" s="1" customFormat="1" x14ac:dyDescent="0.2">
      <c r="A48" s="47"/>
      <c r="B48" s="48"/>
      <c r="C48" s="49"/>
      <c r="D48" s="49"/>
      <c r="E48" s="49"/>
      <c r="F48" s="49"/>
      <c r="G48" s="50"/>
      <c r="H48" s="51"/>
    </row>
    <row r="49" spans="1:36" s="1" customFormat="1" x14ac:dyDescent="0.2">
      <c r="A49" s="47"/>
      <c r="B49" s="48"/>
      <c r="C49" s="49"/>
      <c r="D49" s="49"/>
      <c r="E49" s="97"/>
      <c r="F49" s="49"/>
      <c r="G49" s="50"/>
      <c r="H49" s="51"/>
    </row>
    <row r="50" spans="1:36" s="1" customFormat="1" x14ac:dyDescent="0.2">
      <c r="A50" s="47"/>
      <c r="B50" s="48"/>
      <c r="C50" s="49"/>
      <c r="D50" s="49"/>
      <c r="E50" s="49"/>
      <c r="F50" s="49"/>
      <c r="G50" s="50"/>
      <c r="H50" s="51"/>
    </row>
    <row r="51" spans="1:36" s="1" customFormat="1" x14ac:dyDescent="0.2">
      <c r="A51" s="47"/>
      <c r="B51" s="48"/>
      <c r="C51" s="49"/>
      <c r="D51" s="49"/>
      <c r="E51" s="49"/>
      <c r="F51" s="49"/>
      <c r="G51" s="50"/>
      <c r="H51" s="51"/>
    </row>
    <row r="52" spans="1:36" s="1" customFormat="1" x14ac:dyDescent="0.2">
      <c r="A52" s="47"/>
      <c r="B52" s="48"/>
      <c r="C52" s="49"/>
      <c r="D52" s="49"/>
      <c r="E52" s="49"/>
      <c r="F52" s="49"/>
      <c r="G52" s="50"/>
      <c r="H52" s="51"/>
    </row>
    <row r="53" spans="1:36" s="1" customFormat="1" x14ac:dyDescent="0.2">
      <c r="A53" s="47"/>
      <c r="B53" s="48"/>
      <c r="C53" s="49"/>
      <c r="D53" s="49"/>
      <c r="E53" s="49"/>
      <c r="F53" s="49"/>
      <c r="G53" s="50"/>
      <c r="H53" s="51"/>
    </row>
    <row r="54" spans="1:36" s="1" customFormat="1" x14ac:dyDescent="0.2">
      <c r="A54" s="47"/>
      <c r="B54" s="48"/>
      <c r="C54" s="49"/>
      <c r="D54" s="49"/>
      <c r="E54" s="49"/>
      <c r="F54" s="49"/>
      <c r="G54" s="50"/>
      <c r="H54" s="51"/>
    </row>
    <row r="55" spans="1:36" s="1" customFormat="1" x14ac:dyDescent="0.2">
      <c r="A55" s="47"/>
      <c r="B55" s="48"/>
      <c r="C55" s="49"/>
      <c r="D55" s="49"/>
      <c r="E55" s="49"/>
      <c r="F55" s="49"/>
      <c r="G55" s="50"/>
      <c r="H55" s="51"/>
    </row>
    <row r="56" spans="1:36" s="1" customFormat="1" x14ac:dyDescent="0.2">
      <c r="A56" s="47"/>
      <c r="B56" s="48"/>
      <c r="C56" s="49"/>
      <c r="D56" s="49"/>
      <c r="E56" s="49"/>
      <c r="F56" s="49"/>
      <c r="G56" s="50"/>
      <c r="H56" s="51"/>
    </row>
    <row r="57" spans="1:36" s="1" customFormat="1" x14ac:dyDescent="0.2">
      <c r="A57" s="47"/>
      <c r="B57" s="48"/>
      <c r="C57" s="49"/>
      <c r="D57" s="49"/>
      <c r="E57" s="49"/>
      <c r="F57" s="49"/>
      <c r="G57" s="50"/>
      <c r="H57" s="51"/>
    </row>
    <row r="58" spans="1:36" s="1" customFormat="1" x14ac:dyDescent="0.2">
      <c r="A58" s="47"/>
      <c r="B58" s="48"/>
      <c r="C58" s="49"/>
      <c r="D58" s="49"/>
      <c r="E58" s="49"/>
      <c r="F58" s="49"/>
      <c r="G58" s="50"/>
      <c r="H58" s="51"/>
    </row>
    <row r="59" spans="1:36" s="1" customFormat="1" x14ac:dyDescent="0.2">
      <c r="A59" s="47"/>
      <c r="B59" s="48"/>
      <c r="C59" s="49"/>
      <c r="D59" s="49"/>
      <c r="E59" s="49"/>
      <c r="F59" s="49"/>
      <c r="G59" s="50"/>
      <c r="H59" s="51"/>
    </row>
    <row r="60" spans="1:36" s="1" customFormat="1" x14ac:dyDescent="0.2">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s="1" customFormat="1" x14ac:dyDescent="0.2">
      <c r="A61" s="54" t="str">
        <f>+Innhold!B123</f>
        <v>Finans Norge / Skadeforsikringsstatistikk</v>
      </c>
      <c r="H61" s="200">
        <v>4</v>
      </c>
      <c r="I61" s="54" t="str">
        <f>+Innhold!B123</f>
        <v>Finans Norge / Skadeforsikringsstatistikk</v>
      </c>
      <c r="O61" s="200">
        <v>5</v>
      </c>
      <c r="P61" s="54" t="str">
        <f>+Innhold!B123</f>
        <v>Finans Norge / Skadeforsikringsstatistikk</v>
      </c>
      <c r="V61" s="200">
        <v>6</v>
      </c>
      <c r="W61" s="54" t="str">
        <f>+Innhold!B123</f>
        <v>Finans Norge / Skadeforsikringsstatistikk</v>
      </c>
      <c r="AC61" s="200">
        <v>7</v>
      </c>
      <c r="AD61" s="54" t="str">
        <f>+Innhold!B123</f>
        <v>Finans Norge / Skadeforsikringsstatistikk</v>
      </c>
      <c r="AJ61" s="200">
        <v>8</v>
      </c>
    </row>
    <row r="62" spans="1:36" s="1" customFormat="1" x14ac:dyDescent="0.2">
      <c r="A62" s="54" t="str">
        <f>+Innhold!B124</f>
        <v>Skadestatistikk for landbasert forsikring 3. kvartal 2022</v>
      </c>
      <c r="H62" s="201"/>
      <c r="I62" s="54" t="str">
        <f>+Innhold!B124</f>
        <v>Skadestatistikk for landbasert forsikring 3. kvartal 2022</v>
      </c>
      <c r="O62" s="201"/>
      <c r="P62" s="54" t="str">
        <f>+Innhold!B124</f>
        <v>Skadestatistikk for landbasert forsikring 3. kvartal 2022</v>
      </c>
      <c r="V62" s="201"/>
      <c r="W62" s="54" t="str">
        <f>+Innhold!B124</f>
        <v>Skadestatistikk for landbasert forsikring 3. kvartal 2022</v>
      </c>
      <c r="AC62" s="201"/>
      <c r="AD62" s="54" t="str">
        <f>+Innhold!B124</f>
        <v>Skadestatistikk for landbasert forsikring 3. kvartal 2022</v>
      </c>
      <c r="AJ62" s="201"/>
    </row>
    <row r="67" spans="1:26" ht="12.75" customHeight="1" x14ac:dyDescent="0.2"/>
    <row r="68" spans="1:26" ht="12.75" customHeight="1" x14ac:dyDescent="0.2">
      <c r="M68" s="169" t="s">
        <v>177</v>
      </c>
      <c r="P68" s="169" t="s">
        <v>179</v>
      </c>
      <c r="S68" s="169" t="s">
        <v>178</v>
      </c>
    </row>
    <row r="69" spans="1:26" x14ac:dyDescent="0.2">
      <c r="A69" s="170" t="s">
        <v>183</v>
      </c>
      <c r="B69" s="171"/>
      <c r="C69" s="171"/>
      <c r="D69" s="171" t="s">
        <v>74</v>
      </c>
      <c r="E69" s="171"/>
      <c r="F69" s="171"/>
      <c r="G69" s="171"/>
      <c r="H69" s="170"/>
      <c r="I69" s="172">
        <v>154.90750000000003</v>
      </c>
      <c r="J69" s="173" t="s">
        <v>231</v>
      </c>
      <c r="M69" s="169" t="s">
        <v>161</v>
      </c>
      <c r="P69" s="169" t="s">
        <v>175</v>
      </c>
      <c r="S69" s="169" t="s">
        <v>176</v>
      </c>
      <c r="V69" s="170" t="s">
        <v>184</v>
      </c>
      <c r="W69" s="171"/>
      <c r="X69" s="171"/>
      <c r="Y69" s="171"/>
      <c r="Z69" s="171"/>
    </row>
    <row r="70" spans="1:26" x14ac:dyDescent="0.2">
      <c r="A70" s="171" t="s">
        <v>75</v>
      </c>
      <c r="B70" s="171" t="s">
        <v>76</v>
      </c>
      <c r="C70" s="171" t="s">
        <v>26</v>
      </c>
      <c r="D70" s="171" t="s">
        <v>77</v>
      </c>
      <c r="E70" s="171"/>
      <c r="F70" s="171"/>
      <c r="G70" s="171"/>
      <c r="I70" s="174" t="s">
        <v>159</v>
      </c>
      <c r="J70" s="168" t="s">
        <v>229</v>
      </c>
      <c r="K70" s="174" t="s">
        <v>76</v>
      </c>
      <c r="L70" s="174" t="s">
        <v>108</v>
      </c>
      <c r="M70" s="174" t="s">
        <v>157</v>
      </c>
      <c r="N70" s="174" t="s">
        <v>158</v>
      </c>
      <c r="O70" s="174" t="s">
        <v>108</v>
      </c>
      <c r="P70" s="174" t="s">
        <v>157</v>
      </c>
      <c r="Q70" s="174" t="s">
        <v>158</v>
      </c>
      <c r="R70" s="174" t="s">
        <v>108</v>
      </c>
      <c r="S70" s="174" t="s">
        <v>157</v>
      </c>
      <c r="T70" s="174" t="s">
        <v>158</v>
      </c>
      <c r="V70" s="171" t="s">
        <v>81</v>
      </c>
      <c r="W70" s="171"/>
      <c r="X70" s="175" t="str">
        <f>+'Tab3'!C6</f>
        <v>2020</v>
      </c>
      <c r="Y70" s="175" t="str">
        <f>+'Tab3'!D6</f>
        <v>2021</v>
      </c>
      <c r="Z70" s="175" t="str">
        <f>+'Tab3'!E6</f>
        <v>2022</v>
      </c>
    </row>
    <row r="71" spans="1:26" x14ac:dyDescent="0.2">
      <c r="A71" s="171">
        <v>1</v>
      </c>
      <c r="B71" s="171">
        <v>1983</v>
      </c>
      <c r="C71" s="171">
        <v>97</v>
      </c>
      <c r="D71" s="171">
        <v>78.3</v>
      </c>
      <c r="E71" s="171"/>
      <c r="F71" s="171"/>
      <c r="G71" s="171"/>
      <c r="I71" s="176">
        <v>53.8</v>
      </c>
      <c r="J71" s="168">
        <v>1</v>
      </c>
      <c r="K71" s="168">
        <v>1983</v>
      </c>
      <c r="L71" s="177">
        <v>11621</v>
      </c>
      <c r="M71" s="176">
        <v>80.900000000000006</v>
      </c>
      <c r="N71" s="176">
        <f t="shared" ref="N71:N102" si="0">M71/I71*$I$69</f>
        <v>232.93711431226771</v>
      </c>
      <c r="V71" s="171"/>
      <c r="W71" s="171"/>
      <c r="X71" s="171"/>
      <c r="Y71" s="171"/>
      <c r="Z71" s="171"/>
    </row>
    <row r="72" spans="1:26" x14ac:dyDescent="0.2">
      <c r="A72" s="171">
        <v>2</v>
      </c>
      <c r="B72" s="171"/>
      <c r="C72" s="171">
        <v>78.8</v>
      </c>
      <c r="D72" s="171">
        <v>61.3</v>
      </c>
      <c r="E72" s="171"/>
      <c r="F72" s="171"/>
      <c r="G72" s="171"/>
      <c r="I72" s="176">
        <v>54.7</v>
      </c>
      <c r="J72" s="168">
        <v>2</v>
      </c>
      <c r="L72" s="177">
        <v>11120</v>
      </c>
      <c r="M72" s="176">
        <v>68.900000000000006</v>
      </c>
      <c r="N72" s="176">
        <f t="shared" si="0"/>
        <v>195.12114716636202</v>
      </c>
      <c r="V72" s="171" t="s">
        <v>26</v>
      </c>
      <c r="W72" s="171"/>
      <c r="X72" s="178">
        <f>IF('Tab6'!C36="",'Tab6'!C35,'Tab6'!C36)</f>
        <v>11840.02652108962</v>
      </c>
      <c r="Y72" s="178">
        <f>IF('Tab6'!D36="",'Tab6'!D35,'Tab6'!D36)</f>
        <v>12207.143268508205</v>
      </c>
      <c r="Z72" s="178">
        <f>IF('Tab6'!E36="",'Tab6'!E35,'Tab6'!E36)</f>
        <v>13415.09557421866</v>
      </c>
    </row>
    <row r="73" spans="1:26" x14ac:dyDescent="0.2">
      <c r="A73" s="171">
        <v>3</v>
      </c>
      <c r="B73" s="171"/>
      <c r="C73" s="171">
        <v>84.8</v>
      </c>
      <c r="D73" s="171">
        <v>63</v>
      </c>
      <c r="E73" s="171"/>
      <c r="F73" s="171"/>
      <c r="G73" s="171"/>
      <c r="I73" s="176">
        <v>55.3</v>
      </c>
      <c r="J73" s="168">
        <v>3</v>
      </c>
      <c r="L73" s="177">
        <v>11918</v>
      </c>
      <c r="M73" s="176">
        <v>63.7</v>
      </c>
      <c r="N73" s="176">
        <f t="shared" si="0"/>
        <v>178.43775316455702</v>
      </c>
      <c r="V73" s="171"/>
      <c r="W73" s="171"/>
      <c r="X73" s="178"/>
      <c r="Y73" s="178"/>
      <c r="Z73" s="178"/>
    </row>
    <row r="74" spans="1:26" x14ac:dyDescent="0.2">
      <c r="A74" s="171">
        <v>4</v>
      </c>
      <c r="B74" s="171"/>
      <c r="C74" s="171">
        <v>91.2</v>
      </c>
      <c r="D74" s="171">
        <v>70.8</v>
      </c>
      <c r="E74" s="171"/>
      <c r="F74" s="171"/>
      <c r="G74" s="171"/>
      <c r="I74" s="176">
        <v>56.2</v>
      </c>
      <c r="J74" s="168">
        <v>4</v>
      </c>
      <c r="L74" s="177">
        <v>11905</v>
      </c>
      <c r="M74" s="176">
        <v>79.3</v>
      </c>
      <c r="N74" s="176">
        <f t="shared" si="0"/>
        <v>218.57944395017796</v>
      </c>
      <c r="V74" s="171" t="s">
        <v>63</v>
      </c>
      <c r="W74" s="171"/>
      <c r="X74" s="178">
        <f>IF('Tab6'!C36="",'Tab6'!C45+'Tab6'!C47,'Tab6'!C46+'Tab6'!C48)</f>
        <v>158.41184045642638</v>
      </c>
      <c r="Y74" s="178">
        <f>IF('Tab6'!D36="",'Tab6'!D45+'Tab6'!D47,'Tab6'!D46+'Tab6'!D48)</f>
        <v>114.36776553901866</v>
      </c>
      <c r="Z74" s="178">
        <f>IF('Tab6'!E36="",'Tab6'!E45+'Tab6'!E47,'Tab6'!E46+'Tab6'!E48)</f>
        <v>168.05017149574306</v>
      </c>
    </row>
    <row r="75" spans="1:26" x14ac:dyDescent="0.2">
      <c r="A75" s="171">
        <v>1</v>
      </c>
      <c r="B75" s="171">
        <v>1984</v>
      </c>
      <c r="C75" s="171">
        <v>112.2</v>
      </c>
      <c r="D75" s="171">
        <v>90.4</v>
      </c>
      <c r="E75" s="171"/>
      <c r="F75" s="171"/>
      <c r="G75" s="171"/>
      <c r="I75" s="176">
        <v>57.3</v>
      </c>
      <c r="J75" s="168">
        <v>1</v>
      </c>
      <c r="K75" s="168">
        <v>1984</v>
      </c>
      <c r="L75" s="177">
        <v>13205</v>
      </c>
      <c r="M75" s="176">
        <v>86.7</v>
      </c>
      <c r="N75" s="176">
        <f t="shared" si="0"/>
        <v>234.3888350785341</v>
      </c>
      <c r="V75" s="171" t="s">
        <v>39</v>
      </c>
      <c r="W75" s="171"/>
      <c r="X75" s="178">
        <f>IF('Tab6'!C36="",'Tab6'!C49,'Tab6'!C50)</f>
        <v>1318.6882112382614</v>
      </c>
      <c r="Y75" s="178">
        <f>IF('Tab6'!D36="",'Tab6'!D49,'Tab6'!D50)</f>
        <v>1263.6718574092993</v>
      </c>
      <c r="Z75" s="178">
        <f>IF('Tab6'!E36="",'Tab6'!E49,'Tab6'!E50)</f>
        <v>1337.6941831651163</v>
      </c>
    </row>
    <row r="76" spans="1:26" x14ac:dyDescent="0.2">
      <c r="A76" s="171">
        <v>2</v>
      </c>
      <c r="B76" s="171"/>
      <c r="C76" s="171">
        <v>81.8</v>
      </c>
      <c r="D76" s="171">
        <v>64.400000000000006</v>
      </c>
      <c r="E76" s="171"/>
      <c r="F76" s="171"/>
      <c r="G76" s="171"/>
      <c r="I76" s="176">
        <v>58.2</v>
      </c>
      <c r="J76" s="168">
        <v>2</v>
      </c>
      <c r="L76" s="177">
        <v>12453</v>
      </c>
      <c r="M76" s="176">
        <v>83.3</v>
      </c>
      <c r="N76" s="176">
        <f t="shared" si="0"/>
        <v>221.71468642611686</v>
      </c>
      <c r="V76" s="171" t="s">
        <v>18</v>
      </c>
      <c r="W76" s="171"/>
      <c r="X76" s="178">
        <f>IF('Tab6'!C36="",'Tab6'!C43,'Tab6'!C44)</f>
        <v>332.71894143146432</v>
      </c>
      <c r="Y76" s="178">
        <f>IF('Tab6'!D36="",'Tab6'!D43,'Tab6'!D44)</f>
        <v>218.66279462913718</v>
      </c>
      <c r="Z76" s="178">
        <f>IF('Tab6'!E36="",'Tab6'!E43,'Tab6'!E44)</f>
        <v>217.28610661049527</v>
      </c>
    </row>
    <row r="77" spans="1:26" x14ac:dyDescent="0.2">
      <c r="A77" s="171">
        <v>3</v>
      </c>
      <c r="B77" s="171"/>
      <c r="C77" s="171">
        <v>90.4</v>
      </c>
      <c r="D77" s="171">
        <v>71.099999999999994</v>
      </c>
      <c r="E77" s="171"/>
      <c r="F77" s="171"/>
      <c r="G77" s="171"/>
      <c r="I77" s="176">
        <v>58.7</v>
      </c>
      <c r="J77" s="168">
        <v>3</v>
      </c>
      <c r="L77" s="177">
        <v>12278</v>
      </c>
      <c r="M77" s="176">
        <v>83.3</v>
      </c>
      <c r="N77" s="176">
        <f t="shared" si="0"/>
        <v>219.82614565587735</v>
      </c>
      <c r="V77" s="171" t="s">
        <v>82</v>
      </c>
      <c r="W77" s="171"/>
      <c r="X77" s="178">
        <f>IF('Tab6'!C36="",'Tab6'!C37+'Tab6'!C39,'Tab6'!C38+'Tab6'!C40)</f>
        <v>972.64587636951774</v>
      </c>
      <c r="Y77" s="178">
        <f>IF('Tab6'!D36="",'Tab6'!D37+'Tab6'!D39,'Tab6'!D38+'Tab6'!D40)</f>
        <v>969.25038351362844</v>
      </c>
      <c r="Z77" s="178">
        <f>IF('Tab6'!E36="",'Tab6'!E37+'Tab6'!E39,'Tab6'!E38+'Tab6'!E40)</f>
        <v>1139.6386965789004</v>
      </c>
    </row>
    <row r="78" spans="1:26" x14ac:dyDescent="0.2">
      <c r="A78" s="171">
        <v>4</v>
      </c>
      <c r="B78" s="171"/>
      <c r="C78" s="171">
        <v>92.9</v>
      </c>
      <c r="D78" s="171">
        <v>73.900000000000006</v>
      </c>
      <c r="E78" s="171"/>
      <c r="F78" s="171"/>
      <c r="G78" s="171"/>
      <c r="I78" s="176">
        <v>59.6</v>
      </c>
      <c r="J78" s="168">
        <v>4</v>
      </c>
      <c r="L78" s="177">
        <v>11449</v>
      </c>
      <c r="M78" s="176">
        <v>94.6</v>
      </c>
      <c r="N78" s="176">
        <f t="shared" si="0"/>
        <v>245.87666946308727</v>
      </c>
      <c r="V78" s="171" t="s">
        <v>83</v>
      </c>
      <c r="W78" s="171"/>
      <c r="X78" s="179">
        <f>X72-X77-X76-X75-X74</f>
        <v>9057.561651593951</v>
      </c>
      <c r="Y78" s="179">
        <f>Y72-Y77-Y76-Y75-Y74</f>
        <v>9641.1904674171219</v>
      </c>
      <c r="Z78" s="179">
        <f>Z72-Z77-Z76-Z75-Z74</f>
        <v>10552.426416368404</v>
      </c>
    </row>
    <row r="79" spans="1:26" x14ac:dyDescent="0.2">
      <c r="A79" s="171">
        <v>1</v>
      </c>
      <c r="B79" s="171">
        <v>1985</v>
      </c>
      <c r="C79" s="171">
        <v>123.4</v>
      </c>
      <c r="D79" s="171">
        <v>100.8</v>
      </c>
      <c r="E79" s="171"/>
      <c r="F79" s="171"/>
      <c r="G79" s="171"/>
      <c r="I79" s="176">
        <v>60.4</v>
      </c>
      <c r="J79" s="168">
        <v>1</v>
      </c>
      <c r="K79" s="168">
        <v>1985</v>
      </c>
      <c r="L79" s="177">
        <v>16918</v>
      </c>
      <c r="M79" s="176">
        <v>103.6</v>
      </c>
      <c r="N79" s="176">
        <f t="shared" si="0"/>
        <v>265.70226821192057</v>
      </c>
      <c r="V79" s="171"/>
      <c r="W79" s="171"/>
      <c r="X79" s="171"/>
      <c r="Y79" s="171"/>
      <c r="Z79" s="171"/>
    </row>
    <row r="80" spans="1:26" x14ac:dyDescent="0.2">
      <c r="A80" s="171">
        <v>2</v>
      </c>
      <c r="B80" s="171"/>
      <c r="C80" s="171">
        <v>102</v>
      </c>
      <c r="D80" s="171">
        <v>81.099999999999994</v>
      </c>
      <c r="E80" s="171"/>
      <c r="F80" s="171"/>
      <c r="G80" s="171"/>
      <c r="I80" s="176">
        <v>61.5</v>
      </c>
      <c r="J80" s="168">
        <v>2</v>
      </c>
      <c r="L80" s="177">
        <v>14237</v>
      </c>
      <c r="M80" s="176">
        <v>115.3</v>
      </c>
      <c r="N80" s="176">
        <f t="shared" si="0"/>
        <v>290.4200772357724</v>
      </c>
      <c r="V80" s="170" t="s">
        <v>162</v>
      </c>
      <c r="W80" s="171"/>
      <c r="X80" s="171"/>
      <c r="Y80" s="171"/>
    </row>
    <row r="81" spans="1:25" x14ac:dyDescent="0.2">
      <c r="A81" s="171">
        <v>3</v>
      </c>
      <c r="B81" s="171"/>
      <c r="C81" s="171">
        <v>108.4</v>
      </c>
      <c r="D81" s="171">
        <v>86</v>
      </c>
      <c r="E81" s="171"/>
      <c r="F81" s="171"/>
      <c r="G81" s="171"/>
      <c r="I81" s="176">
        <v>62</v>
      </c>
      <c r="J81" s="168">
        <v>3</v>
      </c>
      <c r="L81" s="177">
        <v>14329</v>
      </c>
      <c r="M81" s="176">
        <v>103</v>
      </c>
      <c r="N81" s="176">
        <f t="shared" si="0"/>
        <v>257.34633064516134</v>
      </c>
      <c r="V81" s="171"/>
      <c r="W81" s="171"/>
      <c r="X81" s="171"/>
      <c r="Y81" s="171"/>
    </row>
    <row r="82" spans="1:25" x14ac:dyDescent="0.2">
      <c r="A82" s="171">
        <v>4</v>
      </c>
      <c r="B82" s="171"/>
      <c r="C82" s="171">
        <v>109.6</v>
      </c>
      <c r="D82" s="171">
        <v>87.1</v>
      </c>
      <c r="E82" s="171"/>
      <c r="F82" s="171"/>
      <c r="G82" s="171"/>
      <c r="I82" s="176">
        <v>63</v>
      </c>
      <c r="J82" s="168">
        <v>4</v>
      </c>
      <c r="L82" s="177">
        <v>13060</v>
      </c>
      <c r="M82" s="176">
        <v>118.7</v>
      </c>
      <c r="N82" s="176">
        <f t="shared" si="0"/>
        <v>291.86540079365085</v>
      </c>
      <c r="V82" s="171"/>
      <c r="W82" s="175" t="str">
        <f>+'Tab4'!C6</f>
        <v>2020</v>
      </c>
      <c r="X82" s="175" t="str">
        <f>+'Tab4'!D6</f>
        <v>2021</v>
      </c>
      <c r="Y82" s="175" t="str">
        <f>+'Tab4'!E6</f>
        <v>2022</v>
      </c>
    </row>
    <row r="83" spans="1:25" x14ac:dyDescent="0.2">
      <c r="A83" s="171">
        <v>1</v>
      </c>
      <c r="B83" s="171">
        <v>1986</v>
      </c>
      <c r="C83" s="171">
        <v>141</v>
      </c>
      <c r="D83" s="171">
        <v>115.2</v>
      </c>
      <c r="E83" s="171"/>
      <c r="F83" s="171"/>
      <c r="G83" s="171"/>
      <c r="I83" s="176">
        <v>64</v>
      </c>
      <c r="J83" s="168">
        <v>1</v>
      </c>
      <c r="K83" s="168">
        <v>1986</v>
      </c>
      <c r="L83" s="177">
        <v>14314</v>
      </c>
      <c r="M83" s="176">
        <v>111.8</v>
      </c>
      <c r="N83" s="176">
        <f t="shared" si="0"/>
        <v>270.60403906250002</v>
      </c>
      <c r="V83" s="171" t="s">
        <v>84</v>
      </c>
      <c r="W83" s="178">
        <f>IF('Tab4'!C14="",'Tab4'!C13,'Tab4'!C14)</f>
        <v>6389.0238891145436</v>
      </c>
      <c r="X83" s="178">
        <f>IF('Tab4'!D14="",'Tab4'!D13,'Tab4'!D14)</f>
        <v>7045.6600904351508</v>
      </c>
      <c r="Y83" s="178">
        <f>IF('Tab4'!E14="",'Tab4'!E13,'Tab4'!E14)</f>
        <v>6974.8124618342945</v>
      </c>
    </row>
    <row r="84" spans="1:25" x14ac:dyDescent="0.2">
      <c r="A84" s="171">
        <v>2</v>
      </c>
      <c r="B84" s="171"/>
      <c r="C84" s="171">
        <v>120.5</v>
      </c>
      <c r="D84" s="171">
        <v>93.2</v>
      </c>
      <c r="E84" s="171"/>
      <c r="F84" s="171"/>
      <c r="G84" s="171"/>
      <c r="I84" s="176">
        <v>65</v>
      </c>
      <c r="J84" s="168">
        <v>2</v>
      </c>
      <c r="L84" s="177">
        <v>13505</v>
      </c>
      <c r="M84" s="176">
        <v>121.5</v>
      </c>
      <c r="N84" s="176">
        <f t="shared" si="0"/>
        <v>289.55786538461541</v>
      </c>
      <c r="V84" s="171" t="s">
        <v>169</v>
      </c>
      <c r="W84" s="178">
        <f>IF('Tab4'!C16="",'Tab4'!C15,'Tab4'!C16)</f>
        <v>4539.8772908809278</v>
      </c>
      <c r="X84" s="178">
        <f>IF('Tab4'!D16="",'Tab4'!D15,'Tab4'!D16)</f>
        <v>4668.5546809425559</v>
      </c>
      <c r="Y84" s="178">
        <f>IF('Tab4'!E16="",'Tab4'!E15,'Tab4'!E16)</f>
        <v>5121.5470200401969</v>
      </c>
    </row>
    <row r="85" spans="1:25" x14ac:dyDescent="0.2">
      <c r="A85" s="171">
        <v>3</v>
      </c>
      <c r="B85" s="171"/>
      <c r="C85" s="171">
        <v>115.7</v>
      </c>
      <c r="D85" s="171">
        <v>91.1</v>
      </c>
      <c r="E85" s="171"/>
      <c r="F85" s="171"/>
      <c r="G85" s="171"/>
      <c r="I85" s="176">
        <v>67</v>
      </c>
      <c r="J85" s="168">
        <v>3</v>
      </c>
      <c r="L85" s="177">
        <v>12132</v>
      </c>
      <c r="M85" s="176">
        <v>100.8</v>
      </c>
      <c r="N85" s="176">
        <f t="shared" si="0"/>
        <v>233.05486567164183</v>
      </c>
      <c r="V85" s="171" t="s">
        <v>7</v>
      </c>
      <c r="W85" s="178">
        <f>IF('Tab4'!C18="",'Tab4'!C17,'Tab4'!C18)</f>
        <v>1346.5649977752034</v>
      </c>
      <c r="X85" s="178">
        <f>IF('Tab4'!D18="",'Tab4'!D17,'Tab4'!D18)</f>
        <v>1366.2038966588648</v>
      </c>
      <c r="Y85" s="178">
        <f>IF('Tab4'!E18="",'Tab4'!E17,'Tab4'!E18)</f>
        <v>1440.0241776834371</v>
      </c>
    </row>
    <row r="86" spans="1:25" x14ac:dyDescent="0.2">
      <c r="A86" s="171">
        <v>4</v>
      </c>
      <c r="B86" s="171"/>
      <c r="C86" s="171">
        <v>114.4</v>
      </c>
      <c r="D86" s="171">
        <v>90.8</v>
      </c>
      <c r="E86" s="171"/>
      <c r="F86" s="171"/>
      <c r="G86" s="171"/>
      <c r="I86" s="176">
        <v>68.5</v>
      </c>
      <c r="J86" s="168">
        <v>4</v>
      </c>
      <c r="L86" s="177">
        <v>11763</v>
      </c>
      <c r="M86" s="176">
        <v>120.6</v>
      </c>
      <c r="N86" s="176">
        <f t="shared" si="0"/>
        <v>272.72765693430659</v>
      </c>
      <c r="V86" s="168" t="s">
        <v>8</v>
      </c>
      <c r="W86" s="178">
        <f>IF('Tab4'!C20="",'Tab4'!C19,'Tab4'!C20)</f>
        <v>1496.9494315651552</v>
      </c>
      <c r="X86" s="178">
        <f>IF('Tab4'!D20="",'Tab4'!D19,'Tab4'!D20)</f>
        <v>1784.3249974431346</v>
      </c>
      <c r="Y86" s="178">
        <f>IF('Tab4'!E20="",'Tab4'!E19,'Tab4'!E20)</f>
        <v>2245.7735524287959</v>
      </c>
    </row>
    <row r="87" spans="1:25" x14ac:dyDescent="0.2">
      <c r="A87" s="171">
        <v>1</v>
      </c>
      <c r="B87" s="171">
        <v>1987</v>
      </c>
      <c r="C87" s="171">
        <v>152.19999999999999</v>
      </c>
      <c r="D87" s="171">
        <v>121.3</v>
      </c>
      <c r="E87" s="171"/>
      <c r="F87" s="171"/>
      <c r="G87" s="171"/>
      <c r="I87" s="176">
        <v>70.5</v>
      </c>
      <c r="J87" s="168">
        <v>1</v>
      </c>
      <c r="K87" s="168">
        <v>1987</v>
      </c>
      <c r="L87" s="177">
        <v>17280</v>
      </c>
      <c r="M87" s="176">
        <v>135.6</v>
      </c>
      <c r="N87" s="176">
        <f t="shared" si="0"/>
        <v>297.9497446808511</v>
      </c>
      <c r="V87" s="171" t="s">
        <v>9</v>
      </c>
      <c r="W87" s="178">
        <f>IF('Tab4'!C20="",'Tab4'!C21,'Tab4'!C22)</f>
        <v>621.67456663159805</v>
      </c>
      <c r="X87" s="178">
        <f>IF('Tab4'!D20="",'Tab4'!D21,'Tab4'!D22)</f>
        <v>720.86371230413965</v>
      </c>
      <c r="Y87" s="178">
        <f>IF('Tab4'!E20="",'Tab4'!E21,'Tab4'!E22)</f>
        <v>523.63218490281838</v>
      </c>
    </row>
    <row r="88" spans="1:25" x14ac:dyDescent="0.2">
      <c r="A88" s="171">
        <v>2</v>
      </c>
      <c r="B88" s="171"/>
      <c r="C88" s="171">
        <v>109.2</v>
      </c>
      <c r="D88" s="171">
        <v>86.1</v>
      </c>
      <c r="E88" s="171"/>
      <c r="F88" s="171"/>
      <c r="G88" s="171"/>
      <c r="I88" s="176">
        <v>71.599999999999994</v>
      </c>
      <c r="J88" s="168">
        <v>2</v>
      </c>
      <c r="L88" s="177">
        <v>12241</v>
      </c>
      <c r="M88" s="176">
        <v>135.9</v>
      </c>
      <c r="N88" s="176">
        <f t="shared" si="0"/>
        <v>294.02135824022355</v>
      </c>
      <c r="V88" s="171" t="s">
        <v>10</v>
      </c>
      <c r="W88" s="178">
        <f>IF('Tab4'!C22="",'Tab4'!C29,'Tab4'!C30)</f>
        <v>2135.9802845817817</v>
      </c>
      <c r="X88" s="178">
        <f>IF('Tab4'!D22="",'Tab4'!D29,'Tab4'!D30)</f>
        <v>459.27839719113013</v>
      </c>
      <c r="Y88" s="178">
        <f>IF('Tab4'!E22="",'Tab4'!E29,'Tab4'!E30)</f>
        <v>1574.598820771542</v>
      </c>
    </row>
    <row r="89" spans="1:25" x14ac:dyDescent="0.2">
      <c r="A89" s="171">
        <v>3</v>
      </c>
      <c r="B89" s="171"/>
      <c r="C89" s="171">
        <v>110.1</v>
      </c>
      <c r="D89" s="171">
        <v>87.3</v>
      </c>
      <c r="E89" s="171"/>
      <c r="F89" s="171"/>
      <c r="G89" s="171"/>
      <c r="I89" s="176">
        <v>72.3</v>
      </c>
      <c r="J89" s="168">
        <v>3</v>
      </c>
      <c r="L89" s="177">
        <v>11506</v>
      </c>
      <c r="M89" s="176">
        <v>112.3</v>
      </c>
      <c r="N89" s="176">
        <f t="shared" si="0"/>
        <v>240.6101279391425</v>
      </c>
      <c r="V89" s="171" t="s">
        <v>11</v>
      </c>
      <c r="W89" s="178">
        <f>IF('Tab4'!C30="",'Tab4'!C31,'Tab4'!C32)</f>
        <v>517.48476821085421</v>
      </c>
      <c r="X89" s="178">
        <f>IF('Tab4'!D30="",'Tab4'!D31,'Tab4'!D32)</f>
        <v>498.32076263552295</v>
      </c>
      <c r="Y89" s="178">
        <f>IF('Tab4'!E30="",'Tab4'!E31,'Tab4'!E32)</f>
        <v>488.1508327755011</v>
      </c>
    </row>
    <row r="90" spans="1:25" x14ac:dyDescent="0.2">
      <c r="A90" s="171">
        <v>4</v>
      </c>
      <c r="B90" s="171"/>
      <c r="C90" s="171">
        <v>112</v>
      </c>
      <c r="D90" s="171">
        <v>89.8</v>
      </c>
      <c r="E90" s="171"/>
      <c r="F90" s="171"/>
      <c r="G90" s="171"/>
      <c r="I90" s="176">
        <v>73.599999999999994</v>
      </c>
      <c r="J90" s="168">
        <v>4</v>
      </c>
      <c r="L90" s="177">
        <v>12860</v>
      </c>
      <c r="M90" s="176">
        <v>134.5</v>
      </c>
      <c r="N90" s="176">
        <f t="shared" si="0"/>
        <v>283.08503736413047</v>
      </c>
      <c r="V90" s="171" t="s">
        <v>12</v>
      </c>
      <c r="W90" s="178">
        <f>IF('Tab4'!C32="",'Tab4'!C33,'Tab4'!C34)</f>
        <v>973.3508217150146</v>
      </c>
      <c r="X90" s="178">
        <f>IF('Tab4'!D32="",'Tab4'!D33,'Tab4'!D34)</f>
        <v>1164.2826107355791</v>
      </c>
      <c r="Y90" s="178">
        <f>IF('Tab4'!E32="",'Tab4'!E33,'Tab4'!E34)</f>
        <v>1173.5719103874221</v>
      </c>
    </row>
    <row r="91" spans="1:25" x14ac:dyDescent="0.2">
      <c r="A91" s="171">
        <v>1</v>
      </c>
      <c r="B91" s="171">
        <v>1988</v>
      </c>
      <c r="C91" s="171">
        <v>134.1</v>
      </c>
      <c r="D91" s="171">
        <v>107.5</v>
      </c>
      <c r="E91" s="171"/>
      <c r="F91" s="171"/>
      <c r="G91" s="171"/>
      <c r="I91" s="176">
        <v>75.2</v>
      </c>
      <c r="J91" s="168">
        <v>1</v>
      </c>
      <c r="K91" s="168">
        <v>1988</v>
      </c>
      <c r="L91" s="177">
        <v>10180</v>
      </c>
      <c r="M91" s="176">
        <v>130.80000000000001</v>
      </c>
      <c r="N91" s="176">
        <f t="shared" si="0"/>
        <v>269.4401728723405</v>
      </c>
      <c r="V91" s="171" t="s">
        <v>13</v>
      </c>
      <c r="W91" s="178">
        <f>IF('Tab4'!C34="",'Tab4'!C35,'Tab4'!C36)</f>
        <v>124.35932278810138</v>
      </c>
      <c r="X91" s="178">
        <f>IF('Tab4'!D34="",'Tab4'!D35,'Tab4'!D36)</f>
        <v>173.79863372908108</v>
      </c>
      <c r="Y91" s="178">
        <f>IF('Tab4'!E34="",'Tab4'!E35,'Tab4'!E36)</f>
        <v>113.03108335052377</v>
      </c>
    </row>
    <row r="92" spans="1:25" x14ac:dyDescent="0.2">
      <c r="A92" s="171">
        <v>2</v>
      </c>
      <c r="B92" s="171"/>
      <c r="C92" s="171">
        <v>113.7</v>
      </c>
      <c r="D92" s="171">
        <v>90</v>
      </c>
      <c r="E92" s="171"/>
      <c r="F92" s="171"/>
      <c r="G92" s="171"/>
      <c r="I92" s="176">
        <v>76.7</v>
      </c>
      <c r="J92" s="168">
        <v>2</v>
      </c>
      <c r="L92" s="177">
        <v>11081</v>
      </c>
      <c r="M92" s="176">
        <v>95.1</v>
      </c>
      <c r="N92" s="176">
        <f t="shared" si="0"/>
        <v>192.06914276401568</v>
      </c>
      <c r="V92" s="171" t="s">
        <v>14</v>
      </c>
      <c r="W92" s="178">
        <f>IF('Tab4'!C38="",'Tab4'!C37,'Tab4'!C38)</f>
        <v>808.90768192759413</v>
      </c>
      <c r="X92" s="178">
        <f>IF('Tab4'!D38="",'Tab4'!D37,'Tab4'!D38)</f>
        <v>914.0462600757055</v>
      </c>
      <c r="Y92" s="178">
        <f>IF('Tab4'!E38="",'Tab4'!E37,'Tab4'!E38)</f>
        <v>1059.4471364769929</v>
      </c>
    </row>
    <row r="93" spans="1:25" x14ac:dyDescent="0.2">
      <c r="A93" s="171">
        <v>3</v>
      </c>
      <c r="B93" s="171"/>
      <c r="C93" s="171">
        <v>116.3</v>
      </c>
      <c r="D93" s="171">
        <v>93.1</v>
      </c>
      <c r="E93" s="171"/>
      <c r="F93" s="171"/>
      <c r="G93" s="171"/>
      <c r="I93" s="176">
        <v>77</v>
      </c>
      <c r="J93" s="168">
        <v>3</v>
      </c>
      <c r="L93" s="177">
        <v>15987</v>
      </c>
      <c r="M93" s="176">
        <v>148.69999999999999</v>
      </c>
      <c r="N93" s="176">
        <f t="shared" si="0"/>
        <v>299.15253571428576</v>
      </c>
      <c r="V93" s="171" t="s">
        <v>85</v>
      </c>
      <c r="W93" s="179">
        <f>SUM(W83:W92)</f>
        <v>18954.173055190779</v>
      </c>
      <c r="X93" s="179">
        <f>SUM(X83:X92)</f>
        <v>18795.334042150866</v>
      </c>
      <c r="Y93" s="179">
        <f>SUM(Y83:Y92)</f>
        <v>20714.589180651525</v>
      </c>
    </row>
    <row r="94" spans="1:25" x14ac:dyDescent="0.2">
      <c r="A94" s="171">
        <v>4</v>
      </c>
      <c r="B94" s="171"/>
      <c r="C94" s="171">
        <v>115.2</v>
      </c>
      <c r="D94" s="171">
        <v>93.4</v>
      </c>
      <c r="E94" s="171"/>
      <c r="F94" s="171"/>
      <c r="G94" s="171"/>
      <c r="I94" s="176">
        <v>78.099999999999994</v>
      </c>
      <c r="J94" s="168">
        <v>4</v>
      </c>
      <c r="L94" s="177">
        <v>12493</v>
      </c>
      <c r="M94" s="176">
        <v>199.8</v>
      </c>
      <c r="N94" s="176">
        <f t="shared" si="0"/>
        <v>396.29345070422551</v>
      </c>
      <c r="V94" s="171"/>
      <c r="W94" s="171"/>
      <c r="X94" s="171"/>
      <c r="Y94" s="171"/>
    </row>
    <row r="95" spans="1:25" x14ac:dyDescent="0.2">
      <c r="A95" s="171">
        <v>1</v>
      </c>
      <c r="B95" s="171">
        <v>1989</v>
      </c>
      <c r="C95" s="171">
        <v>106.6</v>
      </c>
      <c r="D95" s="171">
        <v>86.4</v>
      </c>
      <c r="E95" s="171"/>
      <c r="F95" s="171"/>
      <c r="G95" s="171"/>
      <c r="I95" s="176">
        <v>78.900000000000006</v>
      </c>
      <c r="J95" s="168">
        <v>1</v>
      </c>
      <c r="K95" s="168">
        <v>1989</v>
      </c>
      <c r="L95" s="177">
        <v>10988</v>
      </c>
      <c r="M95" s="176">
        <v>142.6</v>
      </c>
      <c r="N95" s="176">
        <f t="shared" si="0"/>
        <v>279.97223700887201</v>
      </c>
      <c r="V95" s="171" t="s">
        <v>170</v>
      </c>
      <c r="W95" s="180">
        <f>+W93+X72</f>
        <v>30794.1995762804</v>
      </c>
      <c r="X95" s="180">
        <f>+X93+Y72</f>
        <v>31002.477310659073</v>
      </c>
      <c r="Y95" s="180">
        <f>+Y93+Z72</f>
        <v>34129.684754870184</v>
      </c>
    </row>
    <row r="96" spans="1:25" x14ac:dyDescent="0.2">
      <c r="A96" s="171">
        <v>2</v>
      </c>
      <c r="B96" s="171"/>
      <c r="C96" s="171">
        <v>98</v>
      </c>
      <c r="D96" s="171">
        <v>79.599999999999994</v>
      </c>
      <c r="E96" s="171"/>
      <c r="F96" s="171"/>
      <c r="G96" s="171"/>
      <c r="I96" s="176">
        <v>80.3</v>
      </c>
      <c r="J96" s="168">
        <v>2</v>
      </c>
      <c r="L96" s="177">
        <v>10292</v>
      </c>
      <c r="M96" s="176">
        <v>117.3</v>
      </c>
      <c r="N96" s="176">
        <f t="shared" si="0"/>
        <v>226.2845547945206</v>
      </c>
    </row>
    <row r="97" spans="1:25" x14ac:dyDescent="0.2">
      <c r="A97" s="171">
        <v>3</v>
      </c>
      <c r="B97" s="171"/>
      <c r="C97" s="171">
        <v>96.9</v>
      </c>
      <c r="D97" s="171">
        <v>79</v>
      </c>
      <c r="E97" s="171"/>
      <c r="F97" s="171"/>
      <c r="G97" s="171"/>
      <c r="I97" s="176">
        <v>80.599999999999994</v>
      </c>
      <c r="J97" s="168">
        <v>3</v>
      </c>
      <c r="L97" s="177">
        <v>11352</v>
      </c>
      <c r="M97" s="176">
        <v>103.6</v>
      </c>
      <c r="N97" s="176">
        <f t="shared" si="0"/>
        <v>199.11187344913154</v>
      </c>
      <c r="Y97" s="171"/>
    </row>
    <row r="98" spans="1:25" x14ac:dyDescent="0.2">
      <c r="A98" s="171">
        <v>4</v>
      </c>
      <c r="B98" s="171"/>
      <c r="C98" s="171">
        <v>93.4</v>
      </c>
      <c r="D98" s="171">
        <v>76.8</v>
      </c>
      <c r="E98" s="171"/>
      <c r="F98" s="171"/>
      <c r="G98" s="171"/>
      <c r="I98" s="176">
        <v>81.400000000000006</v>
      </c>
      <c r="J98" s="168">
        <v>4</v>
      </c>
      <c r="L98" s="177">
        <v>11958</v>
      </c>
      <c r="M98" s="176">
        <v>132</v>
      </c>
      <c r="N98" s="176">
        <f t="shared" si="0"/>
        <v>251.20135135135138</v>
      </c>
      <c r="V98" s="170" t="s">
        <v>185</v>
      </c>
      <c r="W98" s="171"/>
      <c r="X98" s="171"/>
      <c r="Y98" s="171"/>
    </row>
    <row r="99" spans="1:25" x14ac:dyDescent="0.2">
      <c r="A99" s="171">
        <v>1</v>
      </c>
      <c r="B99" s="171">
        <v>1990</v>
      </c>
      <c r="C99" s="171">
        <v>99.4</v>
      </c>
      <c r="D99" s="171">
        <v>81.3</v>
      </c>
      <c r="E99" s="171"/>
      <c r="F99" s="171"/>
      <c r="G99" s="171"/>
      <c r="I99" s="176">
        <v>82.3</v>
      </c>
      <c r="J99" s="168">
        <v>1</v>
      </c>
      <c r="K99" s="168">
        <v>1990</v>
      </c>
      <c r="L99" s="177">
        <v>13741</v>
      </c>
      <c r="M99" s="176">
        <v>142.9</v>
      </c>
      <c r="N99" s="176">
        <f t="shared" si="0"/>
        <v>268.97061664641564</v>
      </c>
      <c r="V99" s="171"/>
      <c r="X99" s="171"/>
      <c r="Y99" s="171"/>
    </row>
    <row r="100" spans="1:25" x14ac:dyDescent="0.2">
      <c r="A100" s="171">
        <v>2</v>
      </c>
      <c r="B100" s="171"/>
      <c r="C100" s="171">
        <v>88.6</v>
      </c>
      <c r="D100" s="171">
        <v>73.099999999999994</v>
      </c>
      <c r="E100" s="171"/>
      <c r="F100" s="171"/>
      <c r="G100" s="171"/>
      <c r="I100" s="176">
        <v>83.4</v>
      </c>
      <c r="J100" s="168">
        <v>2</v>
      </c>
      <c r="L100" s="177">
        <v>10045</v>
      </c>
      <c r="M100" s="176">
        <v>116.5</v>
      </c>
      <c r="N100" s="176">
        <f t="shared" si="0"/>
        <v>216.38757494004798</v>
      </c>
      <c r="V100" s="171"/>
      <c r="W100" s="175" t="str">
        <f>+W82</f>
        <v>2020</v>
      </c>
      <c r="X100" s="175" t="str">
        <f>+X82</f>
        <v>2021</v>
      </c>
      <c r="Y100" s="175" t="str">
        <f>+Y82</f>
        <v>2022</v>
      </c>
    </row>
    <row r="101" spans="1:25" x14ac:dyDescent="0.2">
      <c r="A101" s="171">
        <v>3</v>
      </c>
      <c r="B101" s="171"/>
      <c r="C101" s="171">
        <v>88.2</v>
      </c>
      <c r="D101" s="171">
        <v>72.5</v>
      </c>
      <c r="E101" s="171"/>
      <c r="F101" s="171"/>
      <c r="G101" s="171"/>
      <c r="I101" s="176">
        <v>83.7</v>
      </c>
      <c r="J101" s="168">
        <v>3</v>
      </c>
      <c r="L101" s="177">
        <v>10870</v>
      </c>
      <c r="M101" s="176">
        <v>101.4</v>
      </c>
      <c r="N101" s="176">
        <f t="shared" si="0"/>
        <v>187.66571684587819</v>
      </c>
      <c r="V101" s="171" t="s">
        <v>18</v>
      </c>
      <c r="W101" s="181">
        <f>IF('Tab7'!C10="",+'Tab7'!C9+'Tab11'!C9,+'Tab7'!C10+'Tab11'!C10)</f>
        <v>23897.272434782608</v>
      </c>
      <c r="X101" s="181">
        <f>IF('Tab7'!D10="",+'Tab7'!D9+'Tab11'!D9,+'Tab7'!D10+'Tab11'!D10)</f>
        <v>26988.17717826087</v>
      </c>
      <c r="Y101" s="181">
        <f>IF('Tab7'!E10="",+'Tab7'!E9+'Tab11'!E9,+'Tab7'!E10+'Tab11'!E10)</f>
        <v>23072.144553745609</v>
      </c>
    </row>
    <row r="102" spans="1:25" x14ac:dyDescent="0.2">
      <c r="A102" s="171">
        <v>4</v>
      </c>
      <c r="B102" s="171"/>
      <c r="C102" s="171">
        <v>84.8</v>
      </c>
      <c r="D102" s="171">
        <v>70.2</v>
      </c>
      <c r="E102" s="171"/>
      <c r="F102" s="171"/>
      <c r="G102" s="171"/>
      <c r="I102" s="176">
        <v>85.1</v>
      </c>
      <c r="J102" s="168">
        <v>4</v>
      </c>
      <c r="L102" s="177">
        <v>11076</v>
      </c>
      <c r="M102" s="176">
        <v>120</v>
      </c>
      <c r="N102" s="176">
        <f t="shared" si="0"/>
        <v>218.43595769682733</v>
      </c>
      <c r="V102" s="171" t="s">
        <v>86</v>
      </c>
      <c r="W102" s="181">
        <f>IF('Tab7'!C12="",+'Tab7'!C11+'Tab11'!C11,+'Tab7'!C12+'Tab11'!C12)</f>
        <v>65851.136363636368</v>
      </c>
      <c r="X102" s="181">
        <f>IF('Tab7'!D12="",+'Tab7'!D11+'Tab11'!D11,+'Tab7'!D12+'Tab11'!D12)</f>
        <v>80225.350284584973</v>
      </c>
      <c r="Y102" s="181">
        <f>IF('Tab7'!E12="",+'Tab7'!E11+'Tab11'!E11,+'Tab7'!E12+'Tab11'!E12)</f>
        <v>64941.458161384115</v>
      </c>
    </row>
    <row r="103" spans="1:25" x14ac:dyDescent="0.2">
      <c r="A103" s="171">
        <v>1</v>
      </c>
      <c r="B103" s="171">
        <v>1991</v>
      </c>
      <c r="C103" s="171">
        <v>97.5</v>
      </c>
      <c r="D103" s="171">
        <v>82.4</v>
      </c>
      <c r="E103" s="171"/>
      <c r="F103" s="171"/>
      <c r="G103" s="171"/>
      <c r="I103" s="176">
        <v>85.5</v>
      </c>
      <c r="J103" s="168">
        <v>1</v>
      </c>
      <c r="K103" s="168">
        <v>1991</v>
      </c>
      <c r="L103" s="177">
        <v>10172</v>
      </c>
      <c r="M103" s="176">
        <v>130.10000000000002</v>
      </c>
      <c r="N103" s="176">
        <f t="shared" ref="N103:N106" si="1">M103/I103*$I$69</f>
        <v>235.71304970760241</v>
      </c>
      <c r="O103" s="177">
        <v>6727</v>
      </c>
      <c r="P103" s="176">
        <v>376.9</v>
      </c>
      <c r="Q103" s="176">
        <f>P103/I103*$I$69</f>
        <v>682.86124853801175</v>
      </c>
      <c r="R103" s="177">
        <v>9077</v>
      </c>
      <c r="S103" s="176">
        <v>139.9</v>
      </c>
      <c r="T103" s="176">
        <f>S103/I103*$I$69</f>
        <v>253.46852923976613</v>
      </c>
      <c r="V103" s="171" t="s">
        <v>63</v>
      </c>
      <c r="W103" s="181">
        <f>IF('Tab7'!C14="",+'Tab7'!C13+'Tab11'!C13,+'Tab7'!C14+'Tab11'!C14)</f>
        <v>30032.017366459626</v>
      </c>
      <c r="X103" s="181">
        <f>IF('Tab7'!D14="",+'Tab7'!D13+'Tab11'!D13,+'Tab7'!D14+'Tab11'!D14)</f>
        <v>23104.742667701863</v>
      </c>
      <c r="Y103" s="181">
        <f>IF('Tab7'!E14="",+'Tab7'!E13+'Tab11'!E13,+'Tab7'!E14+'Tab11'!E14)</f>
        <v>30272.805524434069</v>
      </c>
    </row>
    <row r="104" spans="1:25" x14ac:dyDescent="0.2">
      <c r="A104" s="171">
        <v>2</v>
      </c>
      <c r="B104" s="171"/>
      <c r="C104" s="171">
        <v>93.9</v>
      </c>
      <c r="D104" s="171">
        <v>78</v>
      </c>
      <c r="E104" s="171"/>
      <c r="F104" s="171"/>
      <c r="G104" s="171"/>
      <c r="I104" s="176">
        <v>86.6</v>
      </c>
      <c r="J104" s="168">
        <v>2</v>
      </c>
      <c r="L104" s="177">
        <v>10188</v>
      </c>
      <c r="M104" s="176">
        <v>126.69999999999993</v>
      </c>
      <c r="N104" s="176">
        <f t="shared" si="1"/>
        <v>226.63718533487292</v>
      </c>
      <c r="O104" s="177">
        <v>5864</v>
      </c>
      <c r="P104" s="176">
        <v>369.29999999999995</v>
      </c>
      <c r="Q104" s="176">
        <f t="shared" ref="Q104:Q167" si="2">P104/I104*$I$69</f>
        <v>660.59283775981532</v>
      </c>
      <c r="R104" s="177">
        <v>12525</v>
      </c>
      <c r="S104" s="176">
        <v>176.29999999999998</v>
      </c>
      <c r="T104" s="176">
        <f t="shared" ref="T104:T167" si="3">S104/I104*$I$69</f>
        <v>315.36018764434186</v>
      </c>
      <c r="V104" s="171" t="s">
        <v>14</v>
      </c>
      <c r="W104" s="182">
        <f>+W106-SUM(W101:W103)</f>
        <v>270870.85555580741</v>
      </c>
      <c r="X104" s="182">
        <f>+X106-SUM(X101:X103)</f>
        <v>258418.5298706597</v>
      </c>
      <c r="Y104" s="182">
        <f>+Y106-SUM(Y101:Y103)</f>
        <v>218923.65754572459</v>
      </c>
    </row>
    <row r="105" spans="1:25" x14ac:dyDescent="0.2">
      <c r="A105" s="171">
        <v>3</v>
      </c>
      <c r="B105" s="171"/>
      <c r="C105" s="171">
        <v>90.2</v>
      </c>
      <c r="D105" s="171">
        <v>76.099999999999994</v>
      </c>
      <c r="E105" s="171"/>
      <c r="F105" s="171"/>
      <c r="G105" s="171"/>
      <c r="I105" s="176">
        <v>86.6</v>
      </c>
      <c r="J105" s="168">
        <v>3</v>
      </c>
      <c r="L105" s="177">
        <v>10621</v>
      </c>
      <c r="M105" s="176">
        <v>132.60000000000002</v>
      </c>
      <c r="N105" s="176">
        <f t="shared" si="1"/>
        <v>237.19092956120102</v>
      </c>
      <c r="O105" s="177">
        <v>7951</v>
      </c>
      <c r="P105" s="176">
        <v>430.9</v>
      </c>
      <c r="Q105" s="176">
        <f t="shared" si="2"/>
        <v>770.78108256351049</v>
      </c>
      <c r="R105" s="177">
        <v>14126</v>
      </c>
      <c r="S105" s="176">
        <v>204.90000000000003</v>
      </c>
      <c r="T105" s="176">
        <f t="shared" si="3"/>
        <v>366.51901558891467</v>
      </c>
      <c r="V105" s="171"/>
      <c r="W105" s="171"/>
      <c r="X105" s="171"/>
      <c r="Y105" s="171"/>
    </row>
    <row r="106" spans="1:25" x14ac:dyDescent="0.2">
      <c r="A106" s="171">
        <v>4</v>
      </c>
      <c r="B106" s="171"/>
      <c r="C106" s="171">
        <v>92.6</v>
      </c>
      <c r="D106" s="171">
        <v>78.099999999999994</v>
      </c>
      <c r="E106" s="171"/>
      <c r="F106" s="171"/>
      <c r="G106" s="171"/>
      <c r="I106" s="176">
        <v>87.3</v>
      </c>
      <c r="J106" s="168">
        <v>4</v>
      </c>
      <c r="L106" s="177">
        <v>11640</v>
      </c>
      <c r="M106" s="176">
        <v>138.20000000000005</v>
      </c>
      <c r="N106" s="176">
        <f t="shared" si="1"/>
        <v>245.22584765177561</v>
      </c>
      <c r="O106" s="177">
        <v>13048</v>
      </c>
      <c r="P106" s="176">
        <v>427.00000000000023</v>
      </c>
      <c r="Q106" s="176">
        <f t="shared" si="2"/>
        <v>757.68044100801899</v>
      </c>
      <c r="R106" s="177">
        <v>13048</v>
      </c>
      <c r="S106" s="176">
        <v>185</v>
      </c>
      <c r="T106" s="176">
        <f t="shared" si="3"/>
        <v>328.26904352806423</v>
      </c>
      <c r="V106" s="171" t="s">
        <v>87</v>
      </c>
      <c r="W106" s="181">
        <f>IF('Tab7'!C8="",+'Tab7'!C7+'Tab11'!C7,+'Tab7'!C8+'Tab11'!C8)</f>
        <v>390651.28172068601</v>
      </c>
      <c r="X106" s="181">
        <f>IF('Tab7'!D8="",+'Tab7'!D7+'Tab11'!D7,+'Tab7'!D8+'Tab11'!D8)</f>
        <v>388736.80000120739</v>
      </c>
      <c r="Y106" s="181">
        <f>IF('Tab7'!E8="",+'Tab7'!E7+'Tab11'!E7,+'Tab7'!E8+'Tab11'!E8)</f>
        <v>337210.0657852884</v>
      </c>
    </row>
    <row r="107" spans="1:25" x14ac:dyDescent="0.2">
      <c r="A107" s="171">
        <v>1</v>
      </c>
      <c r="B107" s="171">
        <v>1992</v>
      </c>
      <c r="C107" s="171">
        <v>102</v>
      </c>
      <c r="D107" s="171">
        <v>87.1</v>
      </c>
      <c r="E107" s="171"/>
      <c r="F107" s="171"/>
      <c r="G107" s="171"/>
      <c r="I107" s="176">
        <v>87.5</v>
      </c>
      <c r="J107" s="168">
        <v>1</v>
      </c>
      <c r="K107" s="168">
        <v>1992</v>
      </c>
      <c r="L107" s="177">
        <v>10520</v>
      </c>
      <c r="M107" s="176">
        <v>129.4</v>
      </c>
      <c r="N107" s="176">
        <f>M107/I107*$I$69</f>
        <v>229.08606285714291</v>
      </c>
      <c r="O107" s="177">
        <v>6509</v>
      </c>
      <c r="P107" s="176">
        <v>409.5</v>
      </c>
      <c r="Q107" s="176">
        <f t="shared" si="2"/>
        <v>724.96710000000007</v>
      </c>
      <c r="R107" s="177">
        <v>11030</v>
      </c>
      <c r="S107" s="176">
        <v>180.5</v>
      </c>
      <c r="T107" s="176">
        <f t="shared" si="3"/>
        <v>319.55204285714291</v>
      </c>
    </row>
    <row r="108" spans="1:25" x14ac:dyDescent="0.2">
      <c r="A108" s="171">
        <v>2</v>
      </c>
      <c r="B108" s="171"/>
      <c r="C108" s="171">
        <v>92.2</v>
      </c>
      <c r="D108" s="171">
        <v>78.900000000000006</v>
      </c>
      <c r="E108" s="171"/>
      <c r="F108" s="171"/>
      <c r="G108" s="171"/>
      <c r="I108" s="176">
        <v>88.6</v>
      </c>
      <c r="J108" s="168">
        <v>2</v>
      </c>
      <c r="L108" s="177">
        <v>10661</v>
      </c>
      <c r="M108" s="176">
        <v>112.9</v>
      </c>
      <c r="N108" s="176">
        <f t="shared" ref="N108:N171" si="4">M108/I108*$I$69</f>
        <v>197.39341704288947</v>
      </c>
      <c r="O108" s="177">
        <v>5632</v>
      </c>
      <c r="P108" s="176">
        <v>412</v>
      </c>
      <c r="Q108" s="176">
        <f t="shared" si="2"/>
        <v>720.33735891647871</v>
      </c>
      <c r="R108" s="177">
        <v>13252</v>
      </c>
      <c r="S108" s="176">
        <v>167</v>
      </c>
      <c r="T108" s="176">
        <f t="shared" si="3"/>
        <v>291.98140519187365</v>
      </c>
    </row>
    <row r="109" spans="1:25" x14ac:dyDescent="0.2">
      <c r="A109" s="171">
        <v>3</v>
      </c>
      <c r="B109" s="171"/>
      <c r="C109" s="171">
        <v>93.3</v>
      </c>
      <c r="D109" s="171">
        <v>79.900000000000006</v>
      </c>
      <c r="E109" s="171"/>
      <c r="F109" s="171"/>
      <c r="G109" s="171"/>
      <c r="I109" s="176">
        <v>88.7</v>
      </c>
      <c r="J109" s="168">
        <v>3</v>
      </c>
      <c r="L109" s="177">
        <v>11590</v>
      </c>
      <c r="M109" s="176">
        <v>130.59999999999997</v>
      </c>
      <c r="N109" s="176">
        <f t="shared" si="4"/>
        <v>228.082519729425</v>
      </c>
      <c r="O109" s="177">
        <v>8642</v>
      </c>
      <c r="P109" s="176">
        <v>440.40000000000009</v>
      </c>
      <c r="Q109" s="176">
        <f t="shared" si="2"/>
        <v>769.12359639233398</v>
      </c>
      <c r="R109" s="177">
        <v>15450</v>
      </c>
      <c r="S109" s="176">
        <v>219.10000000000002</v>
      </c>
      <c r="T109" s="176">
        <f t="shared" si="3"/>
        <v>382.64073562570468</v>
      </c>
      <c r="V109" s="170" t="s">
        <v>186</v>
      </c>
      <c r="W109" s="171"/>
      <c r="X109" s="171"/>
      <c r="Y109" s="171"/>
    </row>
    <row r="110" spans="1:25" x14ac:dyDescent="0.2">
      <c r="A110" s="171">
        <v>4</v>
      </c>
      <c r="B110" s="171"/>
      <c r="C110" s="171">
        <v>90.8</v>
      </c>
      <c r="D110" s="171">
        <v>77.599999999999994</v>
      </c>
      <c r="E110" s="171"/>
      <c r="F110" s="171"/>
      <c r="G110" s="171"/>
      <c r="I110" s="176">
        <v>89.3</v>
      </c>
      <c r="J110" s="168">
        <v>4</v>
      </c>
      <c r="L110" s="177">
        <v>11917</v>
      </c>
      <c r="M110" s="176">
        <v>108.50000000000006</v>
      </c>
      <c r="N110" s="176">
        <f t="shared" si="4"/>
        <v>188.2134798432252</v>
      </c>
      <c r="O110" s="177">
        <v>7139</v>
      </c>
      <c r="P110" s="176">
        <v>425.59999999999991</v>
      </c>
      <c r="Q110" s="176">
        <f t="shared" si="2"/>
        <v>738.28255319148934</v>
      </c>
      <c r="R110" s="177">
        <v>12309</v>
      </c>
      <c r="S110" s="176">
        <v>109.39999999999998</v>
      </c>
      <c r="T110" s="176">
        <f t="shared" si="3"/>
        <v>189.77469764837628</v>
      </c>
      <c r="V110" s="171"/>
      <c r="W110" s="171"/>
      <c r="X110" s="171"/>
      <c r="Y110" s="171"/>
    </row>
    <row r="111" spans="1:25" x14ac:dyDescent="0.2">
      <c r="A111" s="171">
        <v>1</v>
      </c>
      <c r="B111" s="171">
        <v>1993</v>
      </c>
      <c r="C111" s="171">
        <v>112.6</v>
      </c>
      <c r="D111" s="171">
        <v>96.5</v>
      </c>
      <c r="E111" s="171"/>
      <c r="F111" s="171"/>
      <c r="G111" s="171"/>
      <c r="I111" s="176">
        <v>89.8</v>
      </c>
      <c r="J111" s="168">
        <v>1</v>
      </c>
      <c r="K111" s="168">
        <v>1993</v>
      </c>
      <c r="L111" s="177">
        <v>11275</v>
      </c>
      <c r="M111" s="176">
        <v>136.89999999999998</v>
      </c>
      <c r="N111" s="176">
        <f t="shared" si="4"/>
        <v>236.15631124721605</v>
      </c>
      <c r="O111" s="177">
        <v>6982</v>
      </c>
      <c r="P111" s="176">
        <v>449.4</v>
      </c>
      <c r="Q111" s="176">
        <f t="shared" si="2"/>
        <v>775.22751113585764</v>
      </c>
      <c r="R111" s="177">
        <v>10571</v>
      </c>
      <c r="S111" s="176">
        <v>175.5</v>
      </c>
      <c r="T111" s="176">
        <f t="shared" si="3"/>
        <v>302.7423858574611</v>
      </c>
      <c r="V111" s="171"/>
      <c r="W111" s="175" t="str">
        <f>+W100</f>
        <v>2020</v>
      </c>
      <c r="X111" s="175" t="str">
        <f>+X100</f>
        <v>2021</v>
      </c>
      <c r="Y111" s="175" t="str">
        <f>+Y100</f>
        <v>2022</v>
      </c>
    </row>
    <row r="112" spans="1:25" x14ac:dyDescent="0.2">
      <c r="A112" s="171">
        <v>2</v>
      </c>
      <c r="B112" s="171"/>
      <c r="C112" s="171">
        <f>205.6-C111</f>
        <v>93</v>
      </c>
      <c r="D112" s="171">
        <f>176.6-D111</f>
        <v>80.099999999999994</v>
      </c>
      <c r="E112" s="171"/>
      <c r="F112" s="171"/>
      <c r="G112" s="171"/>
      <c r="I112" s="176">
        <v>90.8</v>
      </c>
      <c r="J112" s="168">
        <v>2</v>
      </c>
      <c r="L112" s="177">
        <v>10076</v>
      </c>
      <c r="M112" s="176">
        <v>115.20000000000002</v>
      </c>
      <c r="N112" s="176">
        <f t="shared" si="4"/>
        <v>196.53462555066088</v>
      </c>
      <c r="O112" s="177">
        <v>6332</v>
      </c>
      <c r="P112" s="176">
        <v>352.9</v>
      </c>
      <c r="Q112" s="176">
        <f t="shared" si="2"/>
        <v>602.05789372246704</v>
      </c>
      <c r="R112" s="177">
        <v>12919</v>
      </c>
      <c r="S112" s="176">
        <v>191.20000000000005</v>
      </c>
      <c r="T112" s="176">
        <f t="shared" si="3"/>
        <v>326.19288546255518</v>
      </c>
      <c r="V112" s="171" t="s">
        <v>171</v>
      </c>
      <c r="W112" s="180">
        <f>IF('Tab7'!C38="",+'Tab7'!C37+'Tab11'!C37,+'Tab7'!C38+'Tab11'!C38)</f>
        <v>4013.5679997518241</v>
      </c>
      <c r="X112" s="180">
        <f>IF('Tab7'!D38="",+'Tab7'!D37+'Tab11'!D37,+'Tab7'!D38+'Tab11'!D38)</f>
        <v>4324.2553642740986</v>
      </c>
      <c r="Y112" s="180">
        <f>IF('Tab7'!E38="",+'Tab7'!E37+'Tab11'!E37,+'Tab7'!E38+'Tab11'!E38)</f>
        <v>4972.1505358669619</v>
      </c>
    </row>
    <row r="113" spans="1:25" x14ac:dyDescent="0.2">
      <c r="A113" s="171">
        <v>3</v>
      </c>
      <c r="B113" s="171"/>
      <c r="C113" s="171">
        <f>293.1-C112-C111</f>
        <v>87.500000000000028</v>
      </c>
      <c r="D113" s="171">
        <f>250.2-D112-D111</f>
        <v>73.599999999999994</v>
      </c>
      <c r="E113" s="171"/>
      <c r="F113" s="171"/>
      <c r="G113" s="171"/>
      <c r="I113" s="176">
        <v>90.6</v>
      </c>
      <c r="J113" s="168">
        <v>3</v>
      </c>
      <c r="L113" s="177">
        <v>11766</v>
      </c>
      <c r="M113" s="176">
        <v>132.79999999999998</v>
      </c>
      <c r="N113" s="176">
        <f t="shared" si="4"/>
        <v>227.06088300220753</v>
      </c>
      <c r="O113" s="177">
        <v>6675</v>
      </c>
      <c r="P113" s="176">
        <v>388.50000000000023</v>
      </c>
      <c r="Q113" s="176">
        <f t="shared" si="2"/>
        <v>664.25567052980182</v>
      </c>
      <c r="R113" s="177">
        <v>14800</v>
      </c>
      <c r="S113" s="176">
        <v>216.89999999999998</v>
      </c>
      <c r="T113" s="176">
        <f t="shared" si="3"/>
        <v>370.85471026490069</v>
      </c>
      <c r="V113" s="171" t="s">
        <v>86</v>
      </c>
      <c r="W113" s="180">
        <f>IF('Tab7'!C40="",+'Tab7'!C39+'Tab11'!C39,+'Tab7'!C40+'Tab11'!C40)</f>
        <v>3380.6634540400155</v>
      </c>
      <c r="X113" s="180">
        <f>IF('Tab7'!D40="",+'Tab7'!D39+'Tab11'!D39,+'Tab7'!D40+'Tab11'!D40)</f>
        <v>4041.1009142627217</v>
      </c>
      <c r="Y113" s="180">
        <f>IF('Tab7'!E40="",+'Tab7'!E39+'Tab11'!E39,+'Tab7'!E40+'Tab11'!E40)</f>
        <v>3710.1800121123592</v>
      </c>
    </row>
    <row r="114" spans="1:25" x14ac:dyDescent="0.2">
      <c r="A114" s="171">
        <v>4</v>
      </c>
      <c r="B114" s="171"/>
      <c r="C114" s="171">
        <f>413.2-C113-C112-C111</f>
        <v>120.09999999999994</v>
      </c>
      <c r="D114" s="171">
        <f>356.8-D113-D112-D111</f>
        <v>106.60000000000005</v>
      </c>
      <c r="E114" s="171"/>
      <c r="F114" s="171"/>
      <c r="G114" s="171"/>
      <c r="I114" s="176">
        <v>91</v>
      </c>
      <c r="J114" s="168">
        <v>4</v>
      </c>
      <c r="L114" s="177">
        <v>12707</v>
      </c>
      <c r="M114" s="176">
        <v>157.79999999999995</v>
      </c>
      <c r="N114" s="176">
        <f t="shared" si="4"/>
        <v>268.61981868131863</v>
      </c>
      <c r="O114" s="177">
        <v>6319</v>
      </c>
      <c r="P114" s="176">
        <v>466.99999999999977</v>
      </c>
      <c r="Q114" s="176">
        <f t="shared" si="2"/>
        <v>794.96486263736244</v>
      </c>
      <c r="R114" s="177">
        <v>11391</v>
      </c>
      <c r="S114" s="176">
        <v>164.5</v>
      </c>
      <c r="T114" s="176">
        <f t="shared" si="3"/>
        <v>280.02509615384622</v>
      </c>
      <c r="V114" s="171" t="s">
        <v>63</v>
      </c>
      <c r="W114" s="180">
        <f>IF('Tab7'!C42="",+'Tab7'!C41+'Tab11'!C41,+'Tab7'!C42+'Tab11'!C42)</f>
        <v>430.46547927356085</v>
      </c>
      <c r="X114" s="180">
        <f>IF('Tab7'!D42="",+'Tab7'!D41+'Tab11'!D41,+'Tab7'!D42+'Tab11'!D42)</f>
        <v>351.09475325986273</v>
      </c>
      <c r="Y114" s="180">
        <f>IF('Tab7'!E42="",+'Tab7'!E41+'Tab11'!E41,+'Tab7'!E42+'Tab11'!E42)</f>
        <v>463.99447469833103</v>
      </c>
    </row>
    <row r="115" spans="1:25" x14ac:dyDescent="0.2">
      <c r="A115" s="171">
        <v>1</v>
      </c>
      <c r="B115" s="171">
        <v>1994</v>
      </c>
      <c r="C115" s="171">
        <v>138.4</v>
      </c>
      <c r="D115" s="171">
        <v>120</v>
      </c>
      <c r="E115" s="171"/>
      <c r="F115" s="171"/>
      <c r="G115" s="171"/>
      <c r="I115" s="176">
        <v>91</v>
      </c>
      <c r="J115" s="168">
        <v>1</v>
      </c>
      <c r="K115" s="168">
        <v>1994</v>
      </c>
      <c r="L115" s="177">
        <v>15224</v>
      </c>
      <c r="M115" s="176">
        <v>189</v>
      </c>
      <c r="N115" s="176">
        <f t="shared" si="4"/>
        <v>321.7309615384616</v>
      </c>
      <c r="O115" s="177">
        <v>6291</v>
      </c>
      <c r="P115" s="176">
        <v>427.6</v>
      </c>
      <c r="Q115" s="176">
        <f t="shared" si="2"/>
        <v>727.8950219780221</v>
      </c>
      <c r="R115" s="177">
        <v>8795</v>
      </c>
      <c r="S115" s="176">
        <v>161.69999999999999</v>
      </c>
      <c r="T115" s="176">
        <f t="shared" si="3"/>
        <v>275.25871153846157</v>
      </c>
      <c r="V115" s="171" t="s">
        <v>14</v>
      </c>
      <c r="W115" s="183">
        <f>+W117-SUM(W112:W114)</f>
        <v>3104.2042469300713</v>
      </c>
      <c r="X115" s="183">
        <f>+X117-SUM(X112:X114)</f>
        <v>2997.763739581027</v>
      </c>
      <c r="Y115" s="183">
        <f>+Y117-SUM(Y112:Y114)</f>
        <v>2950.0344591968369</v>
      </c>
    </row>
    <row r="116" spans="1:25" x14ac:dyDescent="0.2">
      <c r="A116" s="171">
        <v>2</v>
      </c>
      <c r="B116" s="171"/>
      <c r="C116" s="171">
        <f>252.9-C115</f>
        <v>114.5</v>
      </c>
      <c r="D116" s="171">
        <f>218.1-D115</f>
        <v>98.1</v>
      </c>
      <c r="E116" s="171"/>
      <c r="F116" s="171"/>
      <c r="G116" s="171"/>
      <c r="I116" s="176">
        <v>91.7</v>
      </c>
      <c r="J116" s="168">
        <v>2</v>
      </c>
      <c r="L116" s="177">
        <v>13585</v>
      </c>
      <c r="M116" s="176">
        <v>166.5</v>
      </c>
      <c r="N116" s="176">
        <f t="shared" si="4"/>
        <v>281.26607142857148</v>
      </c>
      <c r="O116" s="177">
        <v>5517</v>
      </c>
      <c r="P116" s="176">
        <v>494.30000000000007</v>
      </c>
      <c r="Q116" s="176">
        <f t="shared" si="2"/>
        <v>835.01392857142878</v>
      </c>
      <c r="R116" s="177">
        <v>13449</v>
      </c>
      <c r="S116" s="176">
        <v>196.2</v>
      </c>
      <c r="T116" s="176">
        <f t="shared" si="3"/>
        <v>331.43785714285718</v>
      </c>
      <c r="V116" s="171"/>
      <c r="W116" s="180"/>
      <c r="X116" s="180"/>
      <c r="Y116" s="180"/>
    </row>
    <row r="117" spans="1:25" x14ac:dyDescent="0.2">
      <c r="A117" s="171">
        <v>3</v>
      </c>
      <c r="B117" s="171"/>
      <c r="C117" s="171">
        <f>365.7-C115-C116</f>
        <v>112.79999999999998</v>
      </c>
      <c r="D117" s="171">
        <f>316.9-D115-D116</f>
        <v>98.799999999999983</v>
      </c>
      <c r="E117" s="171"/>
      <c r="F117" s="171"/>
      <c r="G117" s="171"/>
      <c r="I117" s="176">
        <v>92.1</v>
      </c>
      <c r="J117" s="168">
        <v>3</v>
      </c>
      <c r="L117" s="177">
        <v>13956</v>
      </c>
      <c r="M117" s="176">
        <v>169.89999999999998</v>
      </c>
      <c r="N117" s="176">
        <f t="shared" si="4"/>
        <v>285.7631297502715</v>
      </c>
      <c r="O117" s="177">
        <v>8952</v>
      </c>
      <c r="P117" s="176">
        <v>425.5</v>
      </c>
      <c r="Q117" s="176">
        <f t="shared" si="2"/>
        <v>715.66928610206321</v>
      </c>
      <c r="R117" s="177">
        <v>15669</v>
      </c>
      <c r="S117" s="176">
        <v>219.80000000000007</v>
      </c>
      <c r="T117" s="176">
        <f t="shared" si="3"/>
        <v>369.69238327904475</v>
      </c>
      <c r="V117" s="171" t="s">
        <v>87</v>
      </c>
      <c r="W117" s="180">
        <f>IF('Tab7'!C36="",+'Tab7'!C35+'Tab11'!C35,+'Tab7'!C36+'Tab11'!C36)</f>
        <v>10928.901179995471</v>
      </c>
      <c r="X117" s="180">
        <f>IF('Tab7'!D36="",+'Tab7'!D35+'Tab11'!D35,+'Tab7'!D36+'Tab11'!D36)</f>
        <v>11714.214771377709</v>
      </c>
      <c r="Y117" s="180">
        <f>IF('Tab7'!E36="",+'Tab7'!E35+'Tab11'!E35,+'Tab7'!E36+'Tab11'!E36)</f>
        <v>12096.35948187449</v>
      </c>
    </row>
    <row r="118" spans="1:25" x14ac:dyDescent="0.2">
      <c r="A118" s="171">
        <v>4</v>
      </c>
      <c r="B118" s="171"/>
      <c r="C118" s="171">
        <f>480.2-C115-C116-C117</f>
        <v>114.49999999999997</v>
      </c>
      <c r="D118" s="171">
        <f>417.1-D115-D116-D117</f>
        <v>100.20000000000005</v>
      </c>
      <c r="E118" s="171"/>
      <c r="F118" s="171"/>
      <c r="G118" s="171"/>
      <c r="I118" s="176">
        <v>92.6</v>
      </c>
      <c r="J118" s="168">
        <v>4</v>
      </c>
      <c r="L118" s="177">
        <v>14006</v>
      </c>
      <c r="M118" s="176">
        <v>140.80000000000007</v>
      </c>
      <c r="N118" s="176">
        <f t="shared" si="4"/>
        <v>235.53969762419021</v>
      </c>
      <c r="O118" s="177">
        <v>8189</v>
      </c>
      <c r="P118" s="176">
        <v>390.59999999999991</v>
      </c>
      <c r="Q118" s="176">
        <f t="shared" si="2"/>
        <v>653.42191684665238</v>
      </c>
      <c r="R118" s="177">
        <v>14139</v>
      </c>
      <c r="S118" s="176">
        <v>214.39999999999998</v>
      </c>
      <c r="T118" s="176">
        <f t="shared" si="3"/>
        <v>358.66272138228948</v>
      </c>
      <c r="V118" s="171"/>
      <c r="X118" s="171"/>
    </row>
    <row r="119" spans="1:25" x14ac:dyDescent="0.2">
      <c r="A119" s="171">
        <v>1</v>
      </c>
      <c r="B119" s="171">
        <v>1995</v>
      </c>
      <c r="C119" s="171">
        <v>137.19999999999999</v>
      </c>
      <c r="D119" s="171">
        <v>119.3</v>
      </c>
      <c r="E119" s="171"/>
      <c r="F119" s="171"/>
      <c r="G119" s="171"/>
      <c r="I119" s="176">
        <v>93.4</v>
      </c>
      <c r="J119" s="168">
        <v>1</v>
      </c>
      <c r="K119" s="168">
        <v>1995</v>
      </c>
      <c r="L119" s="177">
        <v>13188</v>
      </c>
      <c r="M119" s="176">
        <v>171.1</v>
      </c>
      <c r="N119" s="176">
        <f t="shared" si="4"/>
        <v>283.77594486081375</v>
      </c>
      <c r="O119" s="177">
        <v>7699</v>
      </c>
      <c r="P119" s="176">
        <v>543</v>
      </c>
      <c r="Q119" s="176">
        <f t="shared" si="2"/>
        <v>900.58642933618853</v>
      </c>
      <c r="R119" s="177">
        <v>11007</v>
      </c>
      <c r="S119" s="176">
        <v>183.1</v>
      </c>
      <c r="T119" s="176">
        <f t="shared" si="3"/>
        <v>303.67840738758036</v>
      </c>
      <c r="V119" s="170" t="s">
        <v>180</v>
      </c>
    </row>
    <row r="120" spans="1:25" x14ac:dyDescent="0.2">
      <c r="A120" s="171">
        <v>2</v>
      </c>
      <c r="B120" s="171"/>
      <c r="C120" s="171">
        <f>248.2-C119</f>
        <v>111</v>
      </c>
      <c r="D120" s="171">
        <f>214.7-D119</f>
        <v>95.399999999999991</v>
      </c>
      <c r="E120" s="171"/>
      <c r="F120" s="171"/>
      <c r="G120" s="171"/>
      <c r="I120" s="176">
        <v>94.1</v>
      </c>
      <c r="J120" s="168">
        <v>2</v>
      </c>
      <c r="L120" s="177">
        <v>11077</v>
      </c>
      <c r="M120" s="176">
        <v>148.30000000000004</v>
      </c>
      <c r="N120" s="176">
        <f t="shared" si="4"/>
        <v>244.13158607863988</v>
      </c>
      <c r="O120" s="177">
        <v>5465</v>
      </c>
      <c r="P120" s="176">
        <v>462.40000000000009</v>
      </c>
      <c r="Q120" s="176">
        <f t="shared" si="2"/>
        <v>761.2032731137092</v>
      </c>
      <c r="R120" s="177">
        <v>13915</v>
      </c>
      <c r="S120" s="176">
        <v>213.4</v>
      </c>
      <c r="T120" s="176">
        <f t="shared" si="3"/>
        <v>351.29926142401706</v>
      </c>
    </row>
    <row r="121" spans="1:25" x14ac:dyDescent="0.2">
      <c r="A121" s="171">
        <v>3</v>
      </c>
      <c r="B121" s="171"/>
      <c r="C121" s="171">
        <f>364.1-C119-C120</f>
        <v>115.90000000000003</v>
      </c>
      <c r="D121" s="171">
        <f>315.7-D119-D120</f>
        <v>100.99999999999999</v>
      </c>
      <c r="E121" s="171"/>
      <c r="F121" s="171"/>
      <c r="G121" s="171"/>
      <c r="I121" s="176">
        <v>94.1</v>
      </c>
      <c r="J121" s="168">
        <v>3</v>
      </c>
      <c r="L121" s="177">
        <v>13937</v>
      </c>
      <c r="M121" s="176">
        <v>180.19999999999993</v>
      </c>
      <c r="N121" s="176">
        <f t="shared" si="4"/>
        <v>296.64539319872472</v>
      </c>
      <c r="O121" s="177">
        <v>9139</v>
      </c>
      <c r="P121" s="176">
        <v>487.89999999999986</v>
      </c>
      <c r="Q121" s="176">
        <f t="shared" si="2"/>
        <v>803.18139479277352</v>
      </c>
      <c r="R121" s="177">
        <v>17436</v>
      </c>
      <c r="S121" s="176">
        <v>224.09999999999991</v>
      </c>
      <c r="T121" s="176">
        <f t="shared" si="3"/>
        <v>368.91361052072256</v>
      </c>
      <c r="V121" s="171"/>
      <c r="W121" s="175" t="str">
        <f>+'Tab3'!C6</f>
        <v>2020</v>
      </c>
      <c r="X121" s="175" t="str">
        <f>+'Tab3'!D6</f>
        <v>2021</v>
      </c>
      <c r="Y121" s="175" t="str">
        <f>+'Tab3'!E6</f>
        <v>2022</v>
      </c>
    </row>
    <row r="122" spans="1:25" x14ac:dyDescent="0.2">
      <c r="A122" s="171">
        <v>4</v>
      </c>
      <c r="B122" s="171"/>
      <c r="C122" s="171">
        <f>482.9-C119-C120-C121</f>
        <v>118.79999999999995</v>
      </c>
      <c r="D122" s="171">
        <f>420.1-D119-D120-D121</f>
        <v>104.40000000000005</v>
      </c>
      <c r="E122" s="171"/>
      <c r="F122" s="171"/>
      <c r="G122" s="171"/>
      <c r="I122" s="176">
        <v>94.6</v>
      </c>
      <c r="J122" s="168">
        <v>4</v>
      </c>
      <c r="L122" s="177">
        <v>13920</v>
      </c>
      <c r="M122" s="176">
        <v>172.00000000000006</v>
      </c>
      <c r="N122" s="176">
        <f t="shared" si="4"/>
        <v>281.65000000000015</v>
      </c>
      <c r="O122" s="177">
        <v>7500</v>
      </c>
      <c r="P122" s="176">
        <v>369.89999999999986</v>
      </c>
      <c r="Q122" s="176">
        <f t="shared" si="2"/>
        <v>605.71124999999995</v>
      </c>
      <c r="R122" s="177">
        <v>15130</v>
      </c>
      <c r="S122" s="176">
        <v>206.30000000000018</v>
      </c>
      <c r="T122" s="176">
        <f t="shared" si="3"/>
        <v>337.81625000000037</v>
      </c>
      <c r="V122" s="171" t="s">
        <v>10</v>
      </c>
      <c r="W122" s="175">
        <f>IF('Tab3'!C22="",'Tab3'!C29,'Tab3'!C30)</f>
        <v>375186</v>
      </c>
      <c r="X122" s="175">
        <f>IF('Tab3'!D22="",'Tab3'!D29,'Tab3'!D30)</f>
        <v>112892.84615384616</v>
      </c>
      <c r="Y122" s="175">
        <f>IF('Tab3'!E22="",'Tab3'!E29,'Tab3'!E30)</f>
        <v>272587</v>
      </c>
    </row>
    <row r="123" spans="1:25" x14ac:dyDescent="0.2">
      <c r="A123" s="171">
        <v>1</v>
      </c>
      <c r="B123" s="171">
        <v>1996</v>
      </c>
      <c r="C123" s="171">
        <v>143.9</v>
      </c>
      <c r="D123" s="171">
        <v>126.9</v>
      </c>
      <c r="E123" s="171"/>
      <c r="F123" s="171"/>
      <c r="G123" s="171"/>
      <c r="I123" s="176">
        <v>94.2</v>
      </c>
      <c r="J123" s="168">
        <v>1</v>
      </c>
      <c r="K123" s="168">
        <v>1996</v>
      </c>
      <c r="L123" s="177">
        <v>29850</v>
      </c>
      <c r="M123" s="176">
        <v>375.59999999999997</v>
      </c>
      <c r="N123" s="176">
        <f t="shared" si="4"/>
        <v>617.65665605095546</v>
      </c>
      <c r="O123" s="177">
        <v>7239</v>
      </c>
      <c r="P123" s="176">
        <v>479.9</v>
      </c>
      <c r="Q123" s="176">
        <f t="shared" si="2"/>
        <v>789.17313428874752</v>
      </c>
      <c r="R123" s="177">
        <v>11785</v>
      </c>
      <c r="S123" s="176">
        <v>198.60000000000002</v>
      </c>
      <c r="T123" s="176">
        <f t="shared" si="3"/>
        <v>326.58842356687904</v>
      </c>
      <c r="V123" s="168" t="s">
        <v>112</v>
      </c>
      <c r="W123" s="175">
        <f>IF('Tab9'!C8="",'Tab9'!C7,'Tab9'!C8)</f>
        <v>102401.97556636843</v>
      </c>
      <c r="X123" s="175">
        <f>IF('Tab9'!D8="",'Tab9'!D7,'Tab9'!D8)</f>
        <v>112820.34615183383</v>
      </c>
      <c r="Y123" s="175">
        <f>IF('Tab9'!E8="",'Tab9'!E7,'Tab9'!E8)</f>
        <v>95185.337368257198</v>
      </c>
    </row>
    <row r="124" spans="1:25" x14ac:dyDescent="0.2">
      <c r="A124" s="171">
        <v>2</v>
      </c>
      <c r="B124" s="171"/>
      <c r="C124" s="171">
        <f>275.5-C123</f>
        <v>131.6</v>
      </c>
      <c r="D124" s="171">
        <f>242.6-D123</f>
        <v>115.69999999999999</v>
      </c>
      <c r="E124" s="171"/>
      <c r="F124" s="171"/>
      <c r="G124" s="171"/>
      <c r="I124" s="176">
        <v>95.1</v>
      </c>
      <c r="J124" s="168">
        <v>2</v>
      </c>
      <c r="L124" s="177">
        <v>17799</v>
      </c>
      <c r="M124" s="176">
        <v>234.8</v>
      </c>
      <c r="N124" s="176">
        <f t="shared" si="4"/>
        <v>382.46352260778139</v>
      </c>
      <c r="O124" s="177">
        <v>6503</v>
      </c>
      <c r="P124" s="176">
        <v>585.30000000000007</v>
      </c>
      <c r="Q124" s="176">
        <f t="shared" si="2"/>
        <v>953.38969242902238</v>
      </c>
      <c r="R124" s="177">
        <v>14642</v>
      </c>
      <c r="S124" s="176">
        <v>220.09999999999997</v>
      </c>
      <c r="T124" s="176">
        <f t="shared" si="3"/>
        <v>358.51883017875923</v>
      </c>
      <c r="V124" s="168" t="s">
        <v>111</v>
      </c>
      <c r="W124" s="175">
        <f>IF('Tab8'!C8="",'Tab8'!C7,'Tab8'!C8)</f>
        <v>173987.3295662638</v>
      </c>
      <c r="X124" s="175">
        <f>IF('Tab8'!D8="",'Tab8'!D7,'Tab8'!D8)</f>
        <v>188188.28956731019</v>
      </c>
      <c r="Y124" s="175">
        <f>IF('Tab8'!E8="",'Tab8'!E7,'Tab8'!E8)</f>
        <v>183082.73117773244</v>
      </c>
    </row>
    <row r="125" spans="1:25" x14ac:dyDescent="0.2">
      <c r="A125" s="171">
        <v>3</v>
      </c>
      <c r="B125" s="171"/>
      <c r="C125" s="171">
        <f>387.5-C123-C124</f>
        <v>112</v>
      </c>
      <c r="D125" s="171">
        <f>339.3-D123-D124</f>
        <v>96.700000000000017</v>
      </c>
      <c r="E125" s="171"/>
      <c r="F125" s="171"/>
      <c r="G125" s="171"/>
      <c r="I125" s="176">
        <v>95.5</v>
      </c>
      <c r="J125" s="168">
        <v>3</v>
      </c>
      <c r="L125" s="177">
        <v>16263</v>
      </c>
      <c r="M125" s="176">
        <v>240.00000000000011</v>
      </c>
      <c r="N125" s="176">
        <f t="shared" si="4"/>
        <v>389.2963350785343</v>
      </c>
      <c r="O125" s="177">
        <v>8934</v>
      </c>
      <c r="P125" s="176">
        <v>581.89999999999986</v>
      </c>
      <c r="Q125" s="176">
        <f t="shared" si="2"/>
        <v>943.88140575916225</v>
      </c>
      <c r="R125" s="177">
        <v>17198</v>
      </c>
      <c r="S125" s="176">
        <v>233.2</v>
      </c>
      <c r="T125" s="176">
        <f t="shared" si="3"/>
        <v>378.26627225130898</v>
      </c>
      <c r="V125" s="171" t="s">
        <v>169</v>
      </c>
      <c r="W125" s="175">
        <f>IF('Tab3'!C16="",'Tab3'!C15,'Tab3'!C16)</f>
        <v>33616.30625895843</v>
      </c>
      <c r="X125" s="175">
        <f>IF('Tab3'!D16="",'Tab3'!D15,'Tab3'!D16)</f>
        <v>35814.894648829431</v>
      </c>
      <c r="Y125" s="175">
        <f>IF('Tab3'!E16="",'Tab3'!E15,'Tab3'!E16)</f>
        <v>32504.417029049211</v>
      </c>
    </row>
    <row r="126" spans="1:25" x14ac:dyDescent="0.2">
      <c r="A126" s="171">
        <v>4</v>
      </c>
      <c r="B126" s="171"/>
      <c r="C126" s="171">
        <f>520-C123-C124-C125</f>
        <v>132.50000000000003</v>
      </c>
      <c r="D126" s="171">
        <f>452.4-D123-D124-D125</f>
        <v>113.1</v>
      </c>
      <c r="E126" s="171"/>
      <c r="F126" s="171"/>
      <c r="G126" s="171"/>
      <c r="I126" s="176">
        <v>96.3</v>
      </c>
      <c r="J126" s="168">
        <v>4</v>
      </c>
      <c r="L126" s="177">
        <v>16638</v>
      </c>
      <c r="M126" s="176">
        <v>233.40000000000009</v>
      </c>
      <c r="N126" s="176">
        <f t="shared" si="4"/>
        <v>375.44559190031174</v>
      </c>
      <c r="O126" s="177">
        <v>7966</v>
      </c>
      <c r="P126" s="176">
        <v>665.80000000000018</v>
      </c>
      <c r="Q126" s="176">
        <f t="shared" si="2"/>
        <v>1071.0011786085156</v>
      </c>
      <c r="R126" s="177">
        <v>13841</v>
      </c>
      <c r="S126" s="176">
        <v>188.00000000000011</v>
      </c>
      <c r="T126" s="176">
        <f t="shared" si="3"/>
        <v>302.41547248182786</v>
      </c>
    </row>
    <row r="127" spans="1:25" x14ac:dyDescent="0.2">
      <c r="A127" s="171">
        <v>1</v>
      </c>
      <c r="B127" s="171">
        <v>1997</v>
      </c>
      <c r="C127" s="171">
        <v>142.6</v>
      </c>
      <c r="D127" s="171">
        <v>124.8</v>
      </c>
      <c r="E127" s="171"/>
      <c r="F127" s="171"/>
      <c r="G127" s="171"/>
      <c r="I127" s="176">
        <v>97.3</v>
      </c>
      <c r="J127" s="168">
        <v>1</v>
      </c>
      <c r="K127" s="168">
        <v>1997</v>
      </c>
      <c r="L127" s="177">
        <v>17837</v>
      </c>
      <c r="M127" s="176">
        <v>255.29999999999998</v>
      </c>
      <c r="N127" s="176">
        <f t="shared" si="4"/>
        <v>406.45308067831456</v>
      </c>
      <c r="O127" s="177">
        <v>7574</v>
      </c>
      <c r="P127" s="176">
        <v>625.70000000000005</v>
      </c>
      <c r="Q127" s="176">
        <f t="shared" si="2"/>
        <v>996.15234069886969</v>
      </c>
      <c r="R127" s="177">
        <v>10571</v>
      </c>
      <c r="S127" s="176">
        <v>187.8</v>
      </c>
      <c r="T127" s="176">
        <f t="shared" si="3"/>
        <v>298.98898766700933</v>
      </c>
      <c r="V127" s="170" t="s">
        <v>181</v>
      </c>
    </row>
    <row r="128" spans="1:25" x14ac:dyDescent="0.2">
      <c r="A128" s="171">
        <v>2</v>
      </c>
      <c r="B128" s="171"/>
      <c r="C128" s="171">
        <f>284.4-C127</f>
        <v>141.79999999999998</v>
      </c>
      <c r="D128" s="171">
        <f>247.3-D127</f>
        <v>122.50000000000001</v>
      </c>
      <c r="E128" s="171"/>
      <c r="F128" s="171"/>
      <c r="G128" s="171"/>
      <c r="I128" s="176">
        <v>97.7</v>
      </c>
      <c r="J128" s="168">
        <v>2</v>
      </c>
      <c r="L128" s="177">
        <v>16872</v>
      </c>
      <c r="M128" s="176">
        <v>281.30000000000007</v>
      </c>
      <c r="N128" s="176">
        <f t="shared" si="4"/>
        <v>446.01309877175044</v>
      </c>
      <c r="O128" s="177">
        <v>7284</v>
      </c>
      <c r="P128" s="176">
        <v>664.39999999999986</v>
      </c>
      <c r="Q128" s="176">
        <f t="shared" si="2"/>
        <v>1053.4344216990787</v>
      </c>
      <c r="R128" s="177">
        <v>14837</v>
      </c>
      <c r="S128" s="176">
        <v>224.59999999999997</v>
      </c>
      <c r="T128" s="176">
        <f t="shared" si="3"/>
        <v>356.11284032753326</v>
      </c>
      <c r="W128" s="175" t="str">
        <f>+'Tab3'!C6</f>
        <v>2020</v>
      </c>
      <c r="X128" s="175" t="str">
        <f>+'Tab3'!D6</f>
        <v>2021</v>
      </c>
      <c r="Y128" s="175" t="str">
        <f>+'Tab3'!E6</f>
        <v>2022</v>
      </c>
    </row>
    <row r="129" spans="1:25" x14ac:dyDescent="0.2">
      <c r="A129" s="171">
        <v>3</v>
      </c>
      <c r="B129" s="171"/>
      <c r="C129" s="171">
        <f>419.8-C127-C128</f>
        <v>135.40000000000006</v>
      </c>
      <c r="D129" s="171">
        <f>364.6-D127-D128</f>
        <v>117.3</v>
      </c>
      <c r="E129" s="171"/>
      <c r="F129" s="171" t="s">
        <v>74</v>
      </c>
      <c r="G129" s="171"/>
      <c r="I129" s="176">
        <v>97.7</v>
      </c>
      <c r="J129" s="168">
        <v>3</v>
      </c>
      <c r="L129" s="177">
        <v>17873</v>
      </c>
      <c r="M129" s="176">
        <v>297.89999999999998</v>
      </c>
      <c r="N129" s="176">
        <f t="shared" si="4"/>
        <v>472.33310388945756</v>
      </c>
      <c r="O129" s="177">
        <v>14581</v>
      </c>
      <c r="P129" s="176">
        <v>720.30000000000018</v>
      </c>
      <c r="Q129" s="176">
        <f t="shared" si="2"/>
        <v>1142.0662461617201</v>
      </c>
      <c r="R129" s="177">
        <v>15670</v>
      </c>
      <c r="S129" s="176">
        <v>198.80000000000007</v>
      </c>
      <c r="T129" s="176">
        <f t="shared" si="3"/>
        <v>315.20584442169923</v>
      </c>
      <c r="V129" s="171" t="s">
        <v>11</v>
      </c>
      <c r="W129" s="175">
        <f>IF('Tab3'!C30="",'Tab3'!C31,'Tab3'!C32)</f>
        <v>11333.992503086034</v>
      </c>
      <c r="X129" s="175">
        <f>IF('Tab3'!D30="",'Tab3'!D31,'Tab3'!D32)</f>
        <v>10743.278054862843</v>
      </c>
      <c r="Y129" s="175">
        <f>IF('Tab3'!E30="",'Tab3'!E31,'Tab3'!E32)</f>
        <v>9463.556109725685</v>
      </c>
    </row>
    <row r="130" spans="1:25" x14ac:dyDescent="0.2">
      <c r="A130" s="171">
        <v>4</v>
      </c>
      <c r="B130" s="171"/>
      <c r="C130" s="171">
        <f>550.4-C127-C128-C129</f>
        <v>130.59999999999994</v>
      </c>
      <c r="D130" s="171">
        <f>478.3-D127-D128-D129</f>
        <v>113.7</v>
      </c>
      <c r="E130" s="171"/>
      <c r="F130" s="171"/>
      <c r="G130" s="171"/>
      <c r="I130" s="176">
        <v>98.4</v>
      </c>
      <c r="J130" s="168">
        <v>4</v>
      </c>
      <c r="L130" s="177">
        <v>15493</v>
      </c>
      <c r="M130" s="176">
        <v>267.70000000000005</v>
      </c>
      <c r="N130" s="176">
        <f t="shared" si="4"/>
        <v>421.43026168699197</v>
      </c>
      <c r="O130" s="177">
        <v>9445</v>
      </c>
      <c r="P130" s="176">
        <v>564</v>
      </c>
      <c r="Q130" s="176">
        <f t="shared" si="2"/>
        <v>887.88445121951236</v>
      </c>
      <c r="R130" s="177">
        <v>13087</v>
      </c>
      <c r="S130" s="176">
        <v>185.09999999999991</v>
      </c>
      <c r="T130" s="176">
        <f t="shared" si="3"/>
        <v>291.39612042682916</v>
      </c>
      <c r="V130" s="171" t="s">
        <v>12</v>
      </c>
      <c r="W130" s="175">
        <f>IF('Tab3'!C32="",'Tab3'!C33,'Tab3'!C34)</f>
        <v>8411.9601644300001</v>
      </c>
      <c r="X130" s="175">
        <f>IF('Tab3'!D32="",'Tab3'!D33,'Tab3'!D34)</f>
        <v>8518.8459999999995</v>
      </c>
      <c r="Y130" s="175">
        <f>IF('Tab3'!E32="",'Tab3'!E33,'Tab3'!E34)</f>
        <v>8678.9101406499994</v>
      </c>
    </row>
    <row r="131" spans="1:25" x14ac:dyDescent="0.2">
      <c r="A131" s="171">
        <v>1</v>
      </c>
      <c r="B131" s="171">
        <v>1998</v>
      </c>
      <c r="C131" s="171">
        <v>150</v>
      </c>
      <c r="D131" s="171">
        <v>131.9</v>
      </c>
      <c r="E131" s="171"/>
      <c r="F131" s="171" t="s">
        <v>78</v>
      </c>
      <c r="G131" s="171"/>
      <c r="I131" s="176">
        <v>99.3</v>
      </c>
      <c r="J131" s="168">
        <v>1</v>
      </c>
      <c r="K131" s="168">
        <v>1998</v>
      </c>
      <c r="L131" s="177">
        <v>17629</v>
      </c>
      <c r="M131" s="176">
        <v>285</v>
      </c>
      <c r="N131" s="176">
        <f t="shared" si="4"/>
        <v>444.59856495468284</v>
      </c>
      <c r="O131" s="177">
        <v>7614</v>
      </c>
      <c r="P131" s="176">
        <v>599.6</v>
      </c>
      <c r="Q131" s="176">
        <f t="shared" si="2"/>
        <v>935.37298086606268</v>
      </c>
      <c r="R131" s="177">
        <v>11958</v>
      </c>
      <c r="S131" s="176">
        <v>185.4</v>
      </c>
      <c r="T131" s="176">
        <f t="shared" si="3"/>
        <v>289.22306646525686</v>
      </c>
      <c r="V131" s="171" t="s">
        <v>7</v>
      </c>
      <c r="W131" s="175">
        <f>IF('Tab3'!C18="",'Tab3'!C17,'Tab3'!C18)</f>
        <v>6161.3536816326532</v>
      </c>
      <c r="X131" s="175">
        <f>IF('Tab3'!D18="",'Tab3'!D17,'Tab3'!D18)</f>
        <v>6310.199289795919</v>
      </c>
      <c r="Y131" s="175">
        <f>IF('Tab3'!E18="",'Tab3'!E17,'Tab3'!E18)</f>
        <v>6270.6122612244899</v>
      </c>
    </row>
    <row r="132" spans="1:25" x14ac:dyDescent="0.2">
      <c r="A132" s="171">
        <v>2</v>
      </c>
      <c r="B132" s="171"/>
      <c r="C132" s="171">
        <f>289.8-C131</f>
        <v>139.80000000000001</v>
      </c>
      <c r="D132" s="171">
        <f>253.9-D131</f>
        <v>122</v>
      </c>
      <c r="E132" s="171"/>
      <c r="F132" s="171" t="s">
        <v>79</v>
      </c>
      <c r="G132" s="171" t="s">
        <v>80</v>
      </c>
      <c r="I132" s="176">
        <v>99.7</v>
      </c>
      <c r="J132" s="168">
        <v>2</v>
      </c>
      <c r="L132" s="177">
        <v>14484</v>
      </c>
      <c r="M132" s="176">
        <v>253.5</v>
      </c>
      <c r="N132" s="176">
        <f t="shared" si="4"/>
        <v>393.87212888666005</v>
      </c>
      <c r="O132" s="177">
        <v>6009</v>
      </c>
      <c r="P132" s="176">
        <v>576.9</v>
      </c>
      <c r="Q132" s="176">
        <f t="shared" si="2"/>
        <v>896.35041875626894</v>
      </c>
      <c r="R132" s="177">
        <v>15060</v>
      </c>
      <c r="S132" s="176">
        <v>204.20000000000002</v>
      </c>
      <c r="T132" s="176">
        <f t="shared" si="3"/>
        <v>317.27293380140429</v>
      </c>
      <c r="V132" s="168" t="s">
        <v>113</v>
      </c>
      <c r="W132" s="175">
        <f>IF('Tab10'!C8="",'Tab10'!C7,'Tab10'!C8)</f>
        <v>15370.772092293204</v>
      </c>
      <c r="X132" s="175">
        <f>IF('Tab10'!D8="",'Tab10'!D7,'Tab10'!D8)</f>
        <v>17809.5</v>
      </c>
      <c r="Y132" s="175">
        <f>IF('Tab10'!E8="",'Tab10'!E7,'Tab10'!E8)</f>
        <v>14558.442002825303</v>
      </c>
    </row>
    <row r="133" spans="1:25" x14ac:dyDescent="0.2">
      <c r="A133" s="171">
        <v>3</v>
      </c>
      <c r="B133" s="171"/>
      <c r="C133" s="171">
        <f>+E133-C131-C132</f>
        <v>128.09999999999997</v>
      </c>
      <c r="D133" s="171">
        <f>+G133-D131-D132</f>
        <v>112.1</v>
      </c>
      <c r="E133" s="171">
        <v>417.9</v>
      </c>
      <c r="G133" s="171">
        <v>366</v>
      </c>
      <c r="I133" s="180">
        <v>99.8</v>
      </c>
      <c r="J133" s="168">
        <v>3</v>
      </c>
      <c r="L133" s="177">
        <v>15693</v>
      </c>
      <c r="M133" s="176">
        <v>257.89999999999998</v>
      </c>
      <c r="N133" s="176">
        <f t="shared" si="4"/>
        <v>400.30705661322651</v>
      </c>
      <c r="O133" s="177">
        <v>8328</v>
      </c>
      <c r="P133" s="176">
        <v>432.80000000000018</v>
      </c>
      <c r="Q133" s="176">
        <f t="shared" si="2"/>
        <v>671.78322645290621</v>
      </c>
      <c r="R133" s="177">
        <v>17098</v>
      </c>
      <c r="S133" s="176">
        <v>209.60000000000002</v>
      </c>
      <c r="T133" s="176">
        <f t="shared" si="3"/>
        <v>325.33679358717444</v>
      </c>
      <c r="V133" s="171" t="s">
        <v>9</v>
      </c>
      <c r="W133" s="175">
        <f>IF('Tab3'!C22="",'Tab3'!C21,'Tab3'!C22)</f>
        <v>19809.1175</v>
      </c>
      <c r="X133" s="175">
        <f>IF('Tab3'!D22="",'Tab3'!D21,'Tab3'!D22)</f>
        <v>22635.919999999998</v>
      </c>
      <c r="Y133" s="175">
        <f>IF('Tab3'!E22="",'Tab3'!E21,'Tab3'!E22)</f>
        <v>27615.32</v>
      </c>
    </row>
    <row r="134" spans="1:25" x14ac:dyDescent="0.2">
      <c r="A134" s="171">
        <v>4</v>
      </c>
      <c r="B134" s="171"/>
      <c r="C134" s="171">
        <f>+E134-E133</f>
        <v>141.80000000000007</v>
      </c>
      <c r="D134" s="171">
        <f>+G134-G133</f>
        <v>125.60000000000002</v>
      </c>
      <c r="E134" s="171">
        <v>559.70000000000005</v>
      </c>
      <c r="G134" s="171">
        <v>491.6</v>
      </c>
      <c r="I134" s="180">
        <v>100.7</v>
      </c>
      <c r="J134" s="168">
        <v>4</v>
      </c>
      <c r="L134" s="177">
        <v>16502</v>
      </c>
      <c r="M134" s="176">
        <v>299.10000000000002</v>
      </c>
      <c r="N134" s="176">
        <f t="shared" si="4"/>
        <v>460.10757944389286</v>
      </c>
      <c r="O134" s="177">
        <v>7526</v>
      </c>
      <c r="P134" s="176">
        <v>738.59999999999945</v>
      </c>
      <c r="Q134" s="176">
        <f t="shared" si="2"/>
        <v>1136.193440913604</v>
      </c>
      <c r="R134" s="177">
        <v>14647</v>
      </c>
      <c r="S134" s="176">
        <v>205.79999999999995</v>
      </c>
      <c r="T134" s="176">
        <f t="shared" si="3"/>
        <v>316.58355014895727</v>
      </c>
    </row>
    <row r="135" spans="1:25" x14ac:dyDescent="0.2">
      <c r="A135" s="171">
        <v>1</v>
      </c>
      <c r="B135" s="171">
        <v>1999</v>
      </c>
      <c r="C135" s="171">
        <f>+E135</f>
        <v>154.19999999999999</v>
      </c>
      <c r="D135" s="171">
        <f>+G135</f>
        <v>137.1</v>
      </c>
      <c r="E135" s="171">
        <v>154.19999999999999</v>
      </c>
      <c r="G135" s="171">
        <v>137.1</v>
      </c>
      <c r="I135" s="180">
        <v>101.4</v>
      </c>
      <c r="J135" s="168">
        <v>1</v>
      </c>
      <c r="K135" s="168">
        <v>1999</v>
      </c>
      <c r="L135" s="177">
        <v>18095</v>
      </c>
      <c r="M135" s="176">
        <v>328.50000000000006</v>
      </c>
      <c r="N135" s="176">
        <f t="shared" si="4"/>
        <v>501.84530325443802</v>
      </c>
      <c r="O135" s="177">
        <v>8863</v>
      </c>
      <c r="P135" s="176">
        <v>689.1</v>
      </c>
      <c r="Q135" s="176">
        <f t="shared" si="2"/>
        <v>1052.7293713017755</v>
      </c>
      <c r="R135" s="177">
        <v>11175</v>
      </c>
      <c r="S135" s="176">
        <v>162.80000000000001</v>
      </c>
      <c r="T135" s="176">
        <f t="shared" si="3"/>
        <v>248.70750493096651</v>
      </c>
    </row>
    <row r="136" spans="1:25" x14ac:dyDescent="0.2">
      <c r="A136" s="171">
        <v>2</v>
      </c>
      <c r="B136" s="171"/>
      <c r="C136" s="171">
        <f>+E136-E135</f>
        <v>159.30000000000001</v>
      </c>
      <c r="D136" s="171">
        <f>+G136-G135</f>
        <v>140.70000000000002</v>
      </c>
      <c r="E136" s="171">
        <v>313.5</v>
      </c>
      <c r="G136" s="171">
        <v>277.8</v>
      </c>
      <c r="I136" s="180">
        <v>102.2</v>
      </c>
      <c r="J136" s="168">
        <v>2</v>
      </c>
      <c r="L136" s="177">
        <v>12899</v>
      </c>
      <c r="M136" s="176">
        <v>332.7</v>
      </c>
      <c r="N136" s="176">
        <f t="shared" si="4"/>
        <v>504.28302592954998</v>
      </c>
      <c r="O136" s="177">
        <v>5920</v>
      </c>
      <c r="P136" s="176">
        <v>874.6</v>
      </c>
      <c r="Q136" s="176">
        <f t="shared" si="2"/>
        <v>1325.6565508806266</v>
      </c>
      <c r="R136" s="177">
        <v>12451</v>
      </c>
      <c r="S136" s="176">
        <v>199.09999999999997</v>
      </c>
      <c r="T136" s="176">
        <f t="shared" si="3"/>
        <v>301.7816364970646</v>
      </c>
    </row>
    <row r="137" spans="1:25" x14ac:dyDescent="0.2">
      <c r="A137" s="171">
        <v>3</v>
      </c>
      <c r="B137" s="171"/>
      <c r="C137" s="171">
        <f>+E137-E136</f>
        <v>146.30000000000001</v>
      </c>
      <c r="D137" s="171">
        <f>+G137-G136</f>
        <v>128.69999999999999</v>
      </c>
      <c r="E137" s="171">
        <v>459.8</v>
      </c>
      <c r="G137" s="171">
        <v>406.5</v>
      </c>
      <c r="I137" s="180">
        <v>101.7</v>
      </c>
      <c r="J137" s="168">
        <v>3</v>
      </c>
      <c r="L137" s="177">
        <v>23305</v>
      </c>
      <c r="M137" s="176">
        <v>445.5</v>
      </c>
      <c r="N137" s="176">
        <f t="shared" si="4"/>
        <v>678.57710176991156</v>
      </c>
      <c r="O137" s="177">
        <v>11181</v>
      </c>
      <c r="P137" s="176">
        <v>566.99999999999977</v>
      </c>
      <c r="Q137" s="176">
        <f t="shared" si="2"/>
        <v>863.64358407079624</v>
      </c>
      <c r="R137" s="177">
        <v>18817</v>
      </c>
      <c r="S137" s="176">
        <v>227.70000000000005</v>
      </c>
      <c r="T137" s="176">
        <f t="shared" si="3"/>
        <v>346.82829646017717</v>
      </c>
    </row>
    <row r="138" spans="1:25" x14ac:dyDescent="0.2">
      <c r="A138" s="171">
        <v>4</v>
      </c>
      <c r="B138" s="171"/>
      <c r="C138" s="171">
        <f>+E138-E137</f>
        <v>141.90000000000003</v>
      </c>
      <c r="D138" s="171">
        <f>+G138-G137</f>
        <v>126.39999999999998</v>
      </c>
      <c r="E138" s="171">
        <v>601.70000000000005</v>
      </c>
      <c r="G138" s="171">
        <v>532.9</v>
      </c>
      <c r="I138" s="176">
        <v>103.5</v>
      </c>
      <c r="J138" s="168">
        <v>4</v>
      </c>
      <c r="L138" s="177">
        <v>18359</v>
      </c>
      <c r="M138" s="176">
        <v>410.59999999999968</v>
      </c>
      <c r="N138" s="176">
        <f t="shared" si="4"/>
        <v>614.54125120772903</v>
      </c>
      <c r="O138" s="177">
        <v>9544</v>
      </c>
      <c r="P138" s="176">
        <v>935.5</v>
      </c>
      <c r="Q138" s="176">
        <f t="shared" si="2"/>
        <v>1400.1542632850244</v>
      </c>
      <c r="R138" s="177">
        <v>13692</v>
      </c>
      <c r="S138" s="176">
        <v>192.19999999999993</v>
      </c>
      <c r="T138" s="176">
        <f t="shared" si="3"/>
        <v>287.66397584541056</v>
      </c>
    </row>
    <row r="139" spans="1:25" x14ac:dyDescent="0.2">
      <c r="A139" s="171">
        <v>1</v>
      </c>
      <c r="B139" s="171">
        <v>2000</v>
      </c>
      <c r="C139" s="171">
        <f>+E139</f>
        <v>169.1</v>
      </c>
      <c r="D139" s="171">
        <f>+G139</f>
        <v>150.9</v>
      </c>
      <c r="E139" s="171">
        <v>169.1</v>
      </c>
      <c r="G139" s="171">
        <v>150.9</v>
      </c>
      <c r="I139" s="176">
        <v>104.6</v>
      </c>
      <c r="J139" s="168">
        <v>1</v>
      </c>
      <c r="K139" s="168">
        <v>2000</v>
      </c>
      <c r="L139" s="177">
        <v>17570</v>
      </c>
      <c r="M139" s="176">
        <v>345.9</v>
      </c>
      <c r="N139" s="176">
        <f t="shared" si="4"/>
        <v>512.26103489483751</v>
      </c>
      <c r="O139" s="177">
        <v>9154</v>
      </c>
      <c r="P139" s="176">
        <v>819.9</v>
      </c>
      <c r="Q139" s="176">
        <f t="shared" si="2"/>
        <v>1214.2319239961762</v>
      </c>
      <c r="R139" s="177">
        <v>12421</v>
      </c>
      <c r="S139" s="176">
        <v>198</v>
      </c>
      <c r="T139" s="176">
        <f t="shared" si="3"/>
        <v>293.22834608030598</v>
      </c>
    </row>
    <row r="140" spans="1:25" x14ac:dyDescent="0.2">
      <c r="A140" s="171">
        <v>2</v>
      </c>
      <c r="B140" s="171"/>
      <c r="C140" s="171">
        <f>+E140-E139</f>
        <v>151.50000000000003</v>
      </c>
      <c r="D140" s="171">
        <f>+G140-G139</f>
        <v>133.4</v>
      </c>
      <c r="E140" s="171">
        <v>320.60000000000002</v>
      </c>
      <c r="G140" s="171">
        <v>284.3</v>
      </c>
      <c r="I140" s="176">
        <v>105.1</v>
      </c>
      <c r="J140" s="168">
        <v>2</v>
      </c>
      <c r="L140" s="177">
        <v>14069</v>
      </c>
      <c r="M140" s="176">
        <v>252.39999999999998</v>
      </c>
      <c r="N140" s="176">
        <f t="shared" si="4"/>
        <v>372.01382492863945</v>
      </c>
      <c r="O140" s="177">
        <v>10238</v>
      </c>
      <c r="P140" s="176">
        <v>674.19999999999993</v>
      </c>
      <c r="Q140" s="176">
        <f t="shared" si="2"/>
        <v>993.70729305423424</v>
      </c>
      <c r="R140" s="177">
        <v>13950</v>
      </c>
      <c r="S140" s="176">
        <v>184.5</v>
      </c>
      <c r="T140" s="176">
        <f t="shared" si="3"/>
        <v>271.93562083729785</v>
      </c>
    </row>
    <row r="141" spans="1:25" x14ac:dyDescent="0.2">
      <c r="A141" s="171">
        <v>3</v>
      </c>
      <c r="B141" s="171"/>
      <c r="C141" s="171">
        <f>+E141-E140</f>
        <v>139</v>
      </c>
      <c r="D141" s="171">
        <f>+G141-G140</f>
        <v>123.5</v>
      </c>
      <c r="E141" s="171">
        <v>459.6</v>
      </c>
      <c r="G141" s="171">
        <v>407.8</v>
      </c>
      <c r="I141" s="176">
        <v>105.3</v>
      </c>
      <c r="J141" s="168">
        <v>3</v>
      </c>
      <c r="L141" s="177">
        <v>16329</v>
      </c>
      <c r="M141" s="176">
        <v>313.5</v>
      </c>
      <c r="N141" s="176">
        <f t="shared" si="4"/>
        <v>461.19184472934478</v>
      </c>
      <c r="O141" s="177">
        <v>13877</v>
      </c>
      <c r="P141" s="176">
        <v>706.20000000000027</v>
      </c>
      <c r="Q141" s="176">
        <f t="shared" si="2"/>
        <v>1038.895313390314</v>
      </c>
      <c r="R141" s="177">
        <v>14850</v>
      </c>
      <c r="S141" s="176">
        <v>193.89999999999998</v>
      </c>
      <c r="T141" s="176">
        <f t="shared" si="3"/>
        <v>285.24752374169043</v>
      </c>
    </row>
    <row r="142" spans="1:25" x14ac:dyDescent="0.2">
      <c r="A142" s="171">
        <v>4</v>
      </c>
      <c r="B142" s="171"/>
      <c r="C142" s="171">
        <f>+E142-E141</f>
        <v>135.10000000000002</v>
      </c>
      <c r="D142" s="171">
        <f>+G142-G141</f>
        <v>121.40000000000003</v>
      </c>
      <c r="E142" s="171">
        <v>594.70000000000005</v>
      </c>
      <c r="G142" s="171">
        <v>529.20000000000005</v>
      </c>
      <c r="I142" s="176">
        <v>106.8</v>
      </c>
      <c r="J142" s="168">
        <v>4</v>
      </c>
      <c r="L142" s="177">
        <v>21735</v>
      </c>
      <c r="M142" s="176">
        <v>484.79999999999995</v>
      </c>
      <c r="N142" s="176">
        <f t="shared" si="4"/>
        <v>703.17561797752819</v>
      </c>
      <c r="O142" s="177">
        <v>9978</v>
      </c>
      <c r="P142" s="176">
        <v>739.19999999999982</v>
      </c>
      <c r="Q142" s="176">
        <f t="shared" si="2"/>
        <v>1072.1687640449438</v>
      </c>
      <c r="R142" s="177">
        <v>13212</v>
      </c>
      <c r="S142" s="176">
        <v>215</v>
      </c>
      <c r="T142" s="176">
        <f t="shared" si="3"/>
        <v>311.84562265917612</v>
      </c>
    </row>
    <row r="143" spans="1:25" x14ac:dyDescent="0.2">
      <c r="A143" s="171">
        <v>1</v>
      </c>
      <c r="B143" s="171">
        <v>2001</v>
      </c>
      <c r="C143" s="171">
        <f>+E143</f>
        <v>158.5</v>
      </c>
      <c r="D143" s="171">
        <f>+G143</f>
        <v>143.1</v>
      </c>
      <c r="E143" s="171">
        <v>158.5</v>
      </c>
      <c r="G143" s="171">
        <v>143.1</v>
      </c>
      <c r="I143" s="176">
        <v>108.4</v>
      </c>
      <c r="J143" s="168">
        <v>1</v>
      </c>
      <c r="K143" s="168">
        <v>2001</v>
      </c>
      <c r="L143" s="177">
        <v>27280</v>
      </c>
      <c r="M143" s="176">
        <v>675.3</v>
      </c>
      <c r="N143" s="176">
        <f t="shared" si="4"/>
        <v>965.02799584870854</v>
      </c>
      <c r="O143" s="177">
        <v>7776</v>
      </c>
      <c r="P143" s="176">
        <v>877</v>
      </c>
      <c r="Q143" s="176">
        <f t="shared" si="2"/>
        <v>1253.264552583026</v>
      </c>
      <c r="R143" s="177">
        <v>10538</v>
      </c>
      <c r="S143" s="176">
        <v>164.1</v>
      </c>
      <c r="T143" s="176">
        <f t="shared" si="3"/>
        <v>234.50480396678969</v>
      </c>
    </row>
    <row r="144" spans="1:25" x14ac:dyDescent="0.2">
      <c r="A144" s="171">
        <v>2</v>
      </c>
      <c r="B144" s="171"/>
      <c r="C144" s="171">
        <f>+E144-E143</f>
        <v>140.45999999999998</v>
      </c>
      <c r="D144" s="171">
        <f>+G144-G143</f>
        <v>125.70000000000002</v>
      </c>
      <c r="E144" s="171">
        <v>298.95999999999998</v>
      </c>
      <c r="G144" s="171">
        <v>268.8</v>
      </c>
      <c r="I144" s="176">
        <v>109.6</v>
      </c>
      <c r="J144" s="168">
        <v>2</v>
      </c>
      <c r="L144" s="177">
        <v>17111</v>
      </c>
      <c r="M144" s="176">
        <v>452</v>
      </c>
      <c r="N144" s="176">
        <f t="shared" si="4"/>
        <v>638.85209854014613</v>
      </c>
      <c r="O144" s="177">
        <v>5711</v>
      </c>
      <c r="P144" s="176">
        <v>923</v>
      </c>
      <c r="Q144" s="176">
        <f t="shared" si="2"/>
        <v>1304.558599452555</v>
      </c>
      <c r="R144" s="177">
        <v>11841</v>
      </c>
      <c r="S144" s="176">
        <v>190.29999999999998</v>
      </c>
      <c r="T144" s="176">
        <f t="shared" si="3"/>
        <v>268.96804060218983</v>
      </c>
    </row>
    <row r="145" spans="1:20" x14ac:dyDescent="0.2">
      <c r="A145" s="171">
        <v>3</v>
      </c>
      <c r="C145" s="171">
        <f>+E145-E144</f>
        <v>134.24</v>
      </c>
      <c r="D145" s="171">
        <f>+G145-G144</f>
        <v>119.19999999999999</v>
      </c>
      <c r="E145" s="171">
        <v>433.2</v>
      </c>
      <c r="G145" s="171">
        <v>388</v>
      </c>
      <c r="I145" s="176">
        <v>108.1</v>
      </c>
      <c r="J145" s="168">
        <v>3</v>
      </c>
      <c r="L145" s="177">
        <v>16407</v>
      </c>
      <c r="M145" s="176">
        <v>400.40000000000009</v>
      </c>
      <c r="N145" s="176">
        <f t="shared" si="4"/>
        <v>573.77394079555995</v>
      </c>
      <c r="O145" s="177">
        <v>15359</v>
      </c>
      <c r="P145" s="176">
        <v>1172.1999999999998</v>
      </c>
      <c r="Q145" s="176">
        <f t="shared" si="2"/>
        <v>1679.7647687326551</v>
      </c>
      <c r="R145" s="177">
        <v>13534</v>
      </c>
      <c r="S145" s="176">
        <v>158.5</v>
      </c>
      <c r="T145" s="176">
        <f t="shared" si="3"/>
        <v>227.13079324699356</v>
      </c>
    </row>
    <row r="146" spans="1:20" x14ac:dyDescent="0.2">
      <c r="A146" s="171">
        <v>4</v>
      </c>
      <c r="C146" s="171">
        <f>+E146-E145</f>
        <v>137.49520000000001</v>
      </c>
      <c r="D146" s="171">
        <f>+G146-G145</f>
        <v>124.07220000000007</v>
      </c>
      <c r="E146" s="179">
        <v>570.6952</v>
      </c>
      <c r="F146" s="184"/>
      <c r="G146" s="179">
        <v>512.07220000000007</v>
      </c>
      <c r="I146" s="176">
        <v>108.7</v>
      </c>
      <c r="J146" s="168">
        <v>4</v>
      </c>
      <c r="L146" s="177">
        <v>16945</v>
      </c>
      <c r="M146" s="176">
        <v>509.39999999999986</v>
      </c>
      <c r="N146" s="176">
        <f t="shared" si="4"/>
        <v>725.94186292548284</v>
      </c>
      <c r="O146" s="177">
        <v>9601</v>
      </c>
      <c r="P146" s="176">
        <v>803.30000000000018</v>
      </c>
      <c r="Q146" s="176">
        <f t="shared" si="2"/>
        <v>1144.7764006439747</v>
      </c>
      <c r="R146" s="177">
        <v>12341</v>
      </c>
      <c r="S146" s="176">
        <v>258.5</v>
      </c>
      <c r="T146" s="176">
        <f t="shared" si="3"/>
        <v>368.38628104875806</v>
      </c>
    </row>
    <row r="147" spans="1:20" x14ac:dyDescent="0.2">
      <c r="A147" s="171">
        <v>1</v>
      </c>
      <c r="B147" s="171">
        <v>2002</v>
      </c>
      <c r="C147" s="171">
        <f>+E147</f>
        <v>155.81399999999999</v>
      </c>
      <c r="D147" s="171">
        <f>+G147</f>
        <v>141.72399999999999</v>
      </c>
      <c r="E147" s="179">
        <v>155.81399999999999</v>
      </c>
      <c r="F147" s="184"/>
      <c r="G147" s="179">
        <v>141.72399999999999</v>
      </c>
      <c r="I147" s="176">
        <v>109.3</v>
      </c>
      <c r="J147" s="168">
        <v>1</v>
      </c>
      <c r="K147" s="168">
        <v>2002</v>
      </c>
      <c r="L147" s="177">
        <v>17523</v>
      </c>
      <c r="M147" s="176">
        <v>466.5</v>
      </c>
      <c r="N147" s="176">
        <f t="shared" si="4"/>
        <v>661.15598124428186</v>
      </c>
      <c r="O147" s="177">
        <v>6856</v>
      </c>
      <c r="P147" s="176">
        <v>820.40000000000009</v>
      </c>
      <c r="Q147" s="176">
        <f t="shared" si="2"/>
        <v>1162.7274748398906</v>
      </c>
      <c r="R147" s="177">
        <v>9371</v>
      </c>
      <c r="S147" s="176">
        <v>197.9</v>
      </c>
      <c r="T147" s="176">
        <f t="shared" si="3"/>
        <v>280.47753202195798</v>
      </c>
    </row>
    <row r="148" spans="1:20" x14ac:dyDescent="0.2">
      <c r="A148" s="171">
        <v>2</v>
      </c>
      <c r="B148" s="171"/>
      <c r="C148" s="171">
        <f>+E148-E147</f>
        <v>146.54300000000003</v>
      </c>
      <c r="D148" s="171">
        <f>+G148-G147</f>
        <v>133.19</v>
      </c>
      <c r="E148" s="171">
        <v>302.35700000000003</v>
      </c>
      <c r="G148" s="171">
        <v>274.91399999999999</v>
      </c>
      <c r="I148" s="176">
        <v>110</v>
      </c>
      <c r="J148" s="168">
        <v>2</v>
      </c>
      <c r="L148" s="177">
        <v>17469</v>
      </c>
      <c r="M148" s="176">
        <v>408.5</v>
      </c>
      <c r="N148" s="176">
        <f t="shared" si="4"/>
        <v>575.27012500000012</v>
      </c>
      <c r="O148" s="177">
        <v>9323</v>
      </c>
      <c r="P148" s="176">
        <v>689.09999999999991</v>
      </c>
      <c r="Q148" s="176">
        <f t="shared" si="2"/>
        <v>970.42507499999999</v>
      </c>
      <c r="R148" s="177">
        <v>14749</v>
      </c>
      <c r="S148" s="176">
        <v>233.49999999999997</v>
      </c>
      <c r="T148" s="176">
        <f t="shared" si="3"/>
        <v>328.82637500000004</v>
      </c>
    </row>
    <row r="149" spans="1:20" x14ac:dyDescent="0.2">
      <c r="A149" s="171">
        <v>3</v>
      </c>
      <c r="C149" s="171">
        <f>+E149-E148</f>
        <v>146.23099999999999</v>
      </c>
      <c r="D149" s="171">
        <f>+G149-G148</f>
        <v>127.14100000000002</v>
      </c>
      <c r="E149" s="171">
        <v>448.58800000000002</v>
      </c>
      <c r="G149" s="171">
        <v>402.05500000000001</v>
      </c>
      <c r="I149" s="176">
        <v>109.6</v>
      </c>
      <c r="J149" s="168">
        <v>3</v>
      </c>
      <c r="L149" s="177">
        <v>19641</v>
      </c>
      <c r="M149" s="176">
        <v>503</v>
      </c>
      <c r="N149" s="176">
        <f t="shared" si="4"/>
        <v>710.93496806569351</v>
      </c>
      <c r="O149" s="177">
        <v>17422</v>
      </c>
      <c r="P149" s="176">
        <v>895.90000000000009</v>
      </c>
      <c r="Q149" s="176">
        <f t="shared" si="2"/>
        <v>1266.2557413321172</v>
      </c>
      <c r="R149" s="177">
        <v>14722</v>
      </c>
      <c r="S149" s="176">
        <v>184.5</v>
      </c>
      <c r="T149" s="176">
        <f t="shared" si="3"/>
        <v>260.77038093065698</v>
      </c>
    </row>
    <row r="150" spans="1:20" x14ac:dyDescent="0.2">
      <c r="A150" s="171">
        <v>4</v>
      </c>
      <c r="C150" s="171">
        <f>+E150-E149</f>
        <v>137.96699999999993</v>
      </c>
      <c r="D150" s="171">
        <f>+G150-G149</f>
        <v>124.64100000000002</v>
      </c>
      <c r="E150" s="179">
        <v>586.55499999999995</v>
      </c>
      <c r="F150" s="184"/>
      <c r="G150" s="179">
        <v>526.69600000000003</v>
      </c>
      <c r="I150" s="176">
        <v>111</v>
      </c>
      <c r="J150" s="168">
        <v>4</v>
      </c>
      <c r="L150" s="177">
        <v>17442</v>
      </c>
      <c r="M150" s="176">
        <v>464.20000000000005</v>
      </c>
      <c r="N150" s="176">
        <f t="shared" si="4"/>
        <v>647.82037387387402</v>
      </c>
      <c r="O150" s="177">
        <v>8123</v>
      </c>
      <c r="P150" s="176">
        <v>938.5</v>
      </c>
      <c r="Q150" s="176">
        <f t="shared" si="2"/>
        <v>1309.7359346846849</v>
      </c>
      <c r="R150" s="177">
        <v>14689</v>
      </c>
      <c r="S150" s="176">
        <v>194.00000000000011</v>
      </c>
      <c r="T150" s="176">
        <f t="shared" si="3"/>
        <v>270.73923423423446</v>
      </c>
    </row>
    <row r="151" spans="1:20" x14ac:dyDescent="0.2">
      <c r="A151" s="171">
        <v>1</v>
      </c>
      <c r="B151" s="171">
        <v>2003</v>
      </c>
      <c r="C151" s="179">
        <f>+E151</f>
        <v>165.679</v>
      </c>
      <c r="D151" s="171">
        <f>+G151</f>
        <v>150.81100000000001</v>
      </c>
      <c r="E151" s="179">
        <v>165.679</v>
      </c>
      <c r="F151" s="184"/>
      <c r="G151" s="179">
        <v>150.81100000000001</v>
      </c>
      <c r="I151" s="176">
        <v>114.6</v>
      </c>
      <c r="J151" s="168">
        <v>1</v>
      </c>
      <c r="K151" s="168">
        <v>2003</v>
      </c>
      <c r="L151" s="177">
        <v>22781</v>
      </c>
      <c r="M151" s="176">
        <v>626.79999999999995</v>
      </c>
      <c r="N151" s="176">
        <f t="shared" si="4"/>
        <v>847.26021815008733</v>
      </c>
      <c r="O151" s="177">
        <v>6823</v>
      </c>
      <c r="P151" s="176">
        <v>1087.2</v>
      </c>
      <c r="Q151" s="176">
        <f t="shared" si="2"/>
        <v>1469.5936649214664</v>
      </c>
      <c r="R151" s="177">
        <v>10626</v>
      </c>
      <c r="S151" s="176">
        <v>183</v>
      </c>
      <c r="T151" s="176">
        <f t="shared" si="3"/>
        <v>247.3653795811519</v>
      </c>
    </row>
    <row r="152" spans="1:20" x14ac:dyDescent="0.2">
      <c r="A152" s="171">
        <v>2</v>
      </c>
      <c r="B152" s="171"/>
      <c r="C152" s="179">
        <f>+E152-E151</f>
        <v>135.02099999999999</v>
      </c>
      <c r="D152" s="171">
        <f>+G152-G151</f>
        <v>121.10099999999997</v>
      </c>
      <c r="E152" s="171">
        <v>300.7</v>
      </c>
      <c r="G152" s="171">
        <v>271.91199999999998</v>
      </c>
      <c r="I152" s="176">
        <v>112.3</v>
      </c>
      <c r="J152" s="168">
        <v>2</v>
      </c>
      <c r="L152" s="177">
        <v>15417</v>
      </c>
      <c r="M152" s="176">
        <v>406.10000000000014</v>
      </c>
      <c r="N152" s="176">
        <f t="shared" si="4"/>
        <v>560.17752226179903</v>
      </c>
      <c r="O152" s="177">
        <v>5618</v>
      </c>
      <c r="P152" s="176">
        <v>817.8</v>
      </c>
      <c r="Q152" s="176">
        <f t="shared" si="2"/>
        <v>1128.0797284060554</v>
      </c>
      <c r="R152" s="177">
        <v>12719</v>
      </c>
      <c r="S152" s="176">
        <v>203.2</v>
      </c>
      <c r="T152" s="176">
        <f t="shared" si="3"/>
        <v>280.29567230632239</v>
      </c>
    </row>
    <row r="153" spans="1:20" x14ac:dyDescent="0.2">
      <c r="A153" s="171">
        <v>3</v>
      </c>
      <c r="B153" s="171"/>
      <c r="C153" s="179">
        <f>+E153-E152</f>
        <v>134.11099999999999</v>
      </c>
      <c r="D153" s="171">
        <f>+G153-G152</f>
        <v>119.49100000000004</v>
      </c>
      <c r="E153" s="171">
        <v>434.81099999999998</v>
      </c>
      <c r="G153" s="171">
        <v>391.40300000000002</v>
      </c>
      <c r="I153" s="176">
        <v>111.9</v>
      </c>
      <c r="J153" s="168">
        <v>3</v>
      </c>
      <c r="L153" s="177">
        <v>18848</v>
      </c>
      <c r="M153" s="176">
        <v>430.5</v>
      </c>
      <c r="N153" s="176">
        <f t="shared" si="4"/>
        <v>595.95780831099205</v>
      </c>
      <c r="O153" s="177">
        <v>16056</v>
      </c>
      <c r="P153" s="176">
        <v>860.19999999999982</v>
      </c>
      <c r="Q153" s="176">
        <f t="shared" si="2"/>
        <v>1190.8081456657728</v>
      </c>
      <c r="R153" s="177">
        <v>13690</v>
      </c>
      <c r="S153" s="176">
        <v>188.8</v>
      </c>
      <c r="T153" s="176">
        <f t="shared" si="3"/>
        <v>261.36314566577306</v>
      </c>
    </row>
    <row r="154" spans="1:20" x14ac:dyDescent="0.2">
      <c r="A154" s="171">
        <v>4</v>
      </c>
      <c r="B154" s="171"/>
      <c r="C154" s="179">
        <f>+E154-E153</f>
        <v>142.01299999999998</v>
      </c>
      <c r="D154" s="171">
        <f>+G154-G153</f>
        <v>125.95899999999995</v>
      </c>
      <c r="E154" s="171">
        <v>576.82399999999996</v>
      </c>
      <c r="G154" s="171">
        <v>517.36199999999997</v>
      </c>
      <c r="I154" s="176">
        <v>112.6</v>
      </c>
      <c r="J154" s="168">
        <v>4</v>
      </c>
      <c r="L154" s="177">
        <v>16096</v>
      </c>
      <c r="M154" s="176">
        <v>471.89999999999986</v>
      </c>
      <c r="N154" s="176">
        <f t="shared" si="4"/>
        <v>649.20825266429836</v>
      </c>
      <c r="O154" s="177">
        <v>7652</v>
      </c>
      <c r="P154" s="176">
        <v>762.30000000000018</v>
      </c>
      <c r="Q154" s="176">
        <f t="shared" si="2"/>
        <v>1048.7210235346363</v>
      </c>
      <c r="R154" s="177">
        <v>11607</v>
      </c>
      <c r="S154" s="176">
        <v>220.90000000000009</v>
      </c>
      <c r="T154" s="176">
        <f t="shared" si="3"/>
        <v>303.89934946714055</v>
      </c>
    </row>
    <row r="155" spans="1:20" x14ac:dyDescent="0.2">
      <c r="A155" s="171">
        <v>1</v>
      </c>
      <c r="B155" s="171">
        <v>2004</v>
      </c>
      <c r="C155" s="179">
        <f>+E155</f>
        <v>168.309</v>
      </c>
      <c r="D155" s="171">
        <f>+G155</f>
        <v>153.04300000000001</v>
      </c>
      <c r="E155" s="171">
        <v>168.309</v>
      </c>
      <c r="G155" s="171">
        <v>153.04300000000001</v>
      </c>
      <c r="I155" s="176">
        <v>112.6</v>
      </c>
      <c r="J155" s="168">
        <v>1</v>
      </c>
      <c r="K155" s="168">
        <v>2004</v>
      </c>
      <c r="L155" s="177">
        <v>17805</v>
      </c>
      <c r="M155" s="176">
        <v>517.69999999999993</v>
      </c>
      <c r="N155" s="176">
        <f t="shared" si="4"/>
        <v>712.21680950266432</v>
      </c>
      <c r="O155" s="177">
        <v>7033</v>
      </c>
      <c r="P155" s="176">
        <v>735.2</v>
      </c>
      <c r="Q155" s="176">
        <f t="shared" si="2"/>
        <v>1011.4386678507996</v>
      </c>
      <c r="R155" s="177">
        <v>8913</v>
      </c>
      <c r="S155" s="176">
        <v>178.89999999999998</v>
      </c>
      <c r="T155" s="176">
        <f t="shared" si="3"/>
        <v>246.11857682060392</v>
      </c>
    </row>
    <row r="156" spans="1:20" x14ac:dyDescent="0.2">
      <c r="A156" s="171">
        <v>2</v>
      </c>
      <c r="B156" s="171"/>
      <c r="C156" s="179">
        <f>+E156-E155</f>
        <v>140.26700000000002</v>
      </c>
      <c r="D156" s="171">
        <f>+G156-G155</f>
        <v>125.56799999999998</v>
      </c>
      <c r="E156" s="171">
        <v>308.57600000000002</v>
      </c>
      <c r="G156" s="171">
        <v>278.61099999999999</v>
      </c>
      <c r="I156" s="176">
        <v>113.4</v>
      </c>
      <c r="J156" s="168">
        <v>2</v>
      </c>
      <c r="L156" s="177">
        <v>13855</v>
      </c>
      <c r="M156" s="176">
        <v>344.69999999999993</v>
      </c>
      <c r="N156" s="176">
        <f t="shared" si="4"/>
        <v>470.869623015873</v>
      </c>
      <c r="O156" s="177">
        <v>6436</v>
      </c>
      <c r="P156" s="176">
        <v>708.3</v>
      </c>
      <c r="Q156" s="176">
        <f t="shared" si="2"/>
        <v>967.55716269841275</v>
      </c>
      <c r="R156" s="177">
        <v>10802</v>
      </c>
      <c r="S156" s="176">
        <v>228.40000000000003</v>
      </c>
      <c r="T156" s="176">
        <f t="shared" si="3"/>
        <v>312.00064373897715</v>
      </c>
    </row>
    <row r="157" spans="1:20" x14ac:dyDescent="0.2">
      <c r="A157" s="171">
        <v>3</v>
      </c>
      <c r="B157" s="171"/>
      <c r="C157" s="179">
        <f>+E157-E156</f>
        <v>137.76999999999998</v>
      </c>
      <c r="D157" s="171">
        <f>+G157-G156</f>
        <v>123.12100000000004</v>
      </c>
      <c r="E157" s="171">
        <v>446.346</v>
      </c>
      <c r="G157" s="171">
        <v>401.73200000000003</v>
      </c>
      <c r="I157" s="176">
        <v>113</v>
      </c>
      <c r="J157" s="168">
        <v>3</v>
      </c>
      <c r="L157" s="177">
        <v>17630</v>
      </c>
      <c r="M157" s="176">
        <v>454.09999999999991</v>
      </c>
      <c r="N157" s="176">
        <f t="shared" si="4"/>
        <v>622.5088119469026</v>
      </c>
      <c r="O157" s="177">
        <v>11805</v>
      </c>
      <c r="P157" s="176">
        <v>652.69999999999982</v>
      </c>
      <c r="Q157" s="176">
        <f t="shared" si="2"/>
        <v>894.76217035398224</v>
      </c>
      <c r="R157" s="177">
        <v>11365</v>
      </c>
      <c r="S157" s="176">
        <v>160.7999999999999</v>
      </c>
      <c r="T157" s="176">
        <f t="shared" si="3"/>
        <v>220.43474336283177</v>
      </c>
    </row>
    <row r="158" spans="1:20" x14ac:dyDescent="0.2">
      <c r="A158" s="171">
        <v>4</v>
      </c>
      <c r="B158" s="171"/>
      <c r="C158" s="179">
        <f>+E158-E157</f>
        <v>137.68499999999995</v>
      </c>
      <c r="D158" s="171">
        <f>+G158-G157</f>
        <v>124.50600000000003</v>
      </c>
      <c r="E158" s="171">
        <v>584.03099999999995</v>
      </c>
      <c r="G158" s="171">
        <v>526.23800000000006</v>
      </c>
      <c r="I158" s="176">
        <v>114</v>
      </c>
      <c r="J158" s="168">
        <v>4</v>
      </c>
      <c r="L158" s="177">
        <v>16674</v>
      </c>
      <c r="M158" s="176">
        <v>428.20000000000027</v>
      </c>
      <c r="N158" s="176">
        <f t="shared" si="4"/>
        <v>581.85431140350931</v>
      </c>
      <c r="O158" s="177">
        <v>10088</v>
      </c>
      <c r="P158" s="176">
        <v>709.40000000000055</v>
      </c>
      <c r="Q158" s="176">
        <f t="shared" si="2"/>
        <v>963.95947807017637</v>
      </c>
      <c r="R158" s="177">
        <v>9276</v>
      </c>
      <c r="S158" s="176">
        <v>162.90000000000009</v>
      </c>
      <c r="T158" s="176">
        <f t="shared" si="3"/>
        <v>221.35466447368438</v>
      </c>
    </row>
    <row r="159" spans="1:20" x14ac:dyDescent="0.2">
      <c r="A159" s="171">
        <v>1</v>
      </c>
      <c r="B159" s="171">
        <v>2005</v>
      </c>
      <c r="C159" s="179">
        <f>+E159</f>
        <v>147.31100000000001</v>
      </c>
      <c r="D159" s="171">
        <f>+G159</f>
        <v>133.756</v>
      </c>
      <c r="E159" s="171">
        <v>147.31100000000001</v>
      </c>
      <c r="G159" s="171">
        <v>133.756</v>
      </c>
      <c r="I159" s="176">
        <v>113.7</v>
      </c>
      <c r="J159" s="168">
        <v>1</v>
      </c>
      <c r="K159" s="168">
        <v>2005</v>
      </c>
      <c r="L159" s="177">
        <v>15151</v>
      </c>
      <c r="M159" s="176">
        <v>418</v>
      </c>
      <c r="N159" s="176">
        <f t="shared" si="4"/>
        <v>569.49283201407218</v>
      </c>
      <c r="O159" s="177">
        <v>7287</v>
      </c>
      <c r="P159" s="176">
        <v>715.2</v>
      </c>
      <c r="Q159" s="176">
        <f t="shared" si="2"/>
        <v>974.40496042216375</v>
      </c>
      <c r="R159" s="177">
        <v>7498</v>
      </c>
      <c r="S159" s="176">
        <v>159.69999999999999</v>
      </c>
      <c r="T159" s="176">
        <f t="shared" si="3"/>
        <v>217.57895998240988</v>
      </c>
    </row>
    <row r="160" spans="1:20" x14ac:dyDescent="0.2">
      <c r="A160" s="171">
        <v>2</v>
      </c>
      <c r="B160" s="171"/>
      <c r="C160" s="179">
        <f>+E160-E159</f>
        <v>143.51699999999997</v>
      </c>
      <c r="D160" s="171">
        <f>+G160-G159</f>
        <v>128.79</v>
      </c>
      <c r="E160" s="171">
        <v>290.82799999999997</v>
      </c>
      <c r="G160" s="171">
        <v>262.54599999999999</v>
      </c>
      <c r="I160" s="176">
        <v>115.2</v>
      </c>
      <c r="J160" s="168">
        <v>2</v>
      </c>
      <c r="L160" s="177">
        <v>14855</v>
      </c>
      <c r="M160" s="176">
        <v>323.20000000000005</v>
      </c>
      <c r="N160" s="176">
        <f t="shared" si="4"/>
        <v>434.60159722222232</v>
      </c>
      <c r="O160" s="177">
        <v>6172</v>
      </c>
      <c r="P160" s="176">
        <v>745.5</v>
      </c>
      <c r="Q160" s="176">
        <f t="shared" si="2"/>
        <v>1002.4612955729167</v>
      </c>
      <c r="R160" s="177">
        <v>11610</v>
      </c>
      <c r="S160" s="176">
        <v>152.50000000000006</v>
      </c>
      <c r="T160" s="176">
        <f t="shared" si="3"/>
        <v>205.064181857639</v>
      </c>
    </row>
    <row r="161" spans="1:20" x14ac:dyDescent="0.2">
      <c r="A161" s="171">
        <v>3</v>
      </c>
      <c r="B161" s="171"/>
      <c r="C161" s="179">
        <f>+E161-E160</f>
        <v>134.78300000000002</v>
      </c>
      <c r="D161" s="171">
        <f>+G161-G160</f>
        <v>120.57100000000003</v>
      </c>
      <c r="E161" s="171">
        <v>425.61099999999999</v>
      </c>
      <c r="G161" s="171">
        <v>383.11700000000002</v>
      </c>
      <c r="I161" s="176">
        <v>115.1</v>
      </c>
      <c r="J161" s="168">
        <v>3</v>
      </c>
      <c r="L161" s="177">
        <v>13014</v>
      </c>
      <c r="M161" s="176">
        <v>448.29999999999995</v>
      </c>
      <c r="N161" s="176">
        <f t="shared" si="4"/>
        <v>603.34519765421373</v>
      </c>
      <c r="O161" s="177">
        <v>6734</v>
      </c>
      <c r="P161" s="176">
        <v>832.10000000000014</v>
      </c>
      <c r="Q161" s="176">
        <f t="shared" si="2"/>
        <v>1119.8829778453523</v>
      </c>
      <c r="R161" s="177">
        <v>8742</v>
      </c>
      <c r="S161" s="176">
        <v>152.99999999999994</v>
      </c>
      <c r="T161" s="176">
        <f t="shared" si="3"/>
        <v>205.91526933101645</v>
      </c>
    </row>
    <row r="162" spans="1:20" x14ac:dyDescent="0.2">
      <c r="A162" s="171">
        <v>4</v>
      </c>
      <c r="B162" s="171"/>
      <c r="C162" s="179">
        <f>+E162-E161</f>
        <v>137.37</v>
      </c>
      <c r="D162" s="171">
        <f>+G162-G161</f>
        <v>124.38200000000001</v>
      </c>
      <c r="E162" s="171">
        <v>562.98099999999999</v>
      </c>
      <c r="G162" s="171">
        <v>507.49900000000002</v>
      </c>
      <c r="I162" s="176">
        <v>116</v>
      </c>
      <c r="J162" s="168">
        <v>4</v>
      </c>
      <c r="L162" s="177">
        <v>22745</v>
      </c>
      <c r="M162" s="176">
        <v>478.79999999999995</v>
      </c>
      <c r="N162" s="176">
        <f t="shared" si="4"/>
        <v>639.39406034482761</v>
      </c>
      <c r="O162" s="177">
        <v>8144</v>
      </c>
      <c r="P162" s="176">
        <v>795.79999999999973</v>
      </c>
      <c r="Q162" s="176">
        <f t="shared" si="2"/>
        <v>1062.7188663793102</v>
      </c>
      <c r="R162" s="177">
        <v>11407</v>
      </c>
      <c r="S162" s="176">
        <v>142.00000000000006</v>
      </c>
      <c r="T162" s="176">
        <f t="shared" si="3"/>
        <v>189.62814655172426</v>
      </c>
    </row>
    <row r="163" spans="1:20" x14ac:dyDescent="0.2">
      <c r="A163" s="171">
        <v>1</v>
      </c>
      <c r="B163" s="171">
        <v>2006</v>
      </c>
      <c r="C163" s="179">
        <f>+E163</f>
        <v>155.21299999999999</v>
      </c>
      <c r="D163" s="171">
        <f>+G163</f>
        <v>139.72800000000001</v>
      </c>
      <c r="E163" s="171">
        <v>155.21299999999999</v>
      </c>
      <c r="G163" s="171">
        <v>139.72800000000001</v>
      </c>
      <c r="I163" s="176">
        <v>116.6</v>
      </c>
      <c r="J163" s="168">
        <v>1</v>
      </c>
      <c r="K163" s="168">
        <v>2006</v>
      </c>
      <c r="L163" s="177">
        <v>18196</v>
      </c>
      <c r="M163" s="176">
        <v>585</v>
      </c>
      <c r="N163" s="176">
        <f t="shared" si="4"/>
        <v>777.19457547169839</v>
      </c>
      <c r="O163" s="177">
        <v>6106</v>
      </c>
      <c r="P163" s="176">
        <v>947.2</v>
      </c>
      <c r="Q163" s="176">
        <f t="shared" si="2"/>
        <v>1258.3909433962269</v>
      </c>
      <c r="R163" s="177">
        <v>7106</v>
      </c>
      <c r="S163" s="176">
        <v>150.6</v>
      </c>
      <c r="T163" s="176">
        <f t="shared" si="3"/>
        <v>200.07778301886796</v>
      </c>
    </row>
    <row r="164" spans="1:20" x14ac:dyDescent="0.2">
      <c r="A164" s="171">
        <v>2</v>
      </c>
      <c r="B164" s="171"/>
      <c r="C164" s="179">
        <f>+E164-E163</f>
        <v>147.44399999999999</v>
      </c>
      <c r="D164" s="171">
        <f>+G164-G163</f>
        <v>129.572</v>
      </c>
      <c r="E164" s="171">
        <v>302.65699999999998</v>
      </c>
      <c r="G164" s="171">
        <v>269.3</v>
      </c>
      <c r="I164" s="176">
        <v>117.9</v>
      </c>
      <c r="J164" s="168">
        <v>2</v>
      </c>
      <c r="L164" s="177">
        <v>13943</v>
      </c>
      <c r="M164" s="176">
        <v>433.79999999999995</v>
      </c>
      <c r="N164" s="176">
        <f t="shared" si="4"/>
        <v>569.96500000000003</v>
      </c>
      <c r="O164" s="177">
        <v>5246</v>
      </c>
      <c r="P164" s="176">
        <v>811.2</v>
      </c>
      <c r="Q164" s="176">
        <f t="shared" si="2"/>
        <v>1065.8266666666668</v>
      </c>
      <c r="R164" s="177">
        <v>9193</v>
      </c>
      <c r="S164" s="176">
        <v>176.1</v>
      </c>
      <c r="T164" s="176">
        <f t="shared" si="3"/>
        <v>231.37583333333336</v>
      </c>
    </row>
    <row r="165" spans="1:20" x14ac:dyDescent="0.2">
      <c r="A165" s="171">
        <v>3</v>
      </c>
      <c r="B165" s="171"/>
      <c r="C165" s="179">
        <f>+E165-E164</f>
        <v>143.45100000000002</v>
      </c>
      <c r="D165" s="171">
        <f>+G165-G164</f>
        <v>126.00599999999997</v>
      </c>
      <c r="E165" s="171">
        <v>446.108</v>
      </c>
      <c r="G165" s="171">
        <v>395.30599999999998</v>
      </c>
      <c r="I165" s="180">
        <v>117.3</v>
      </c>
      <c r="J165" s="168">
        <v>3</v>
      </c>
      <c r="L165" s="177">
        <v>13690</v>
      </c>
      <c r="M165" s="176">
        <v>496.59999999999991</v>
      </c>
      <c r="N165" s="176">
        <f t="shared" si="4"/>
        <v>655.81470161977836</v>
      </c>
      <c r="O165" s="177">
        <v>9450</v>
      </c>
      <c r="P165" s="176">
        <v>855.90000000000009</v>
      </c>
      <c r="Q165" s="176">
        <f t="shared" si="2"/>
        <v>1130.3097122762151</v>
      </c>
      <c r="R165" s="177">
        <v>10840</v>
      </c>
      <c r="S165" s="176">
        <v>167.10000000000002</v>
      </c>
      <c r="T165" s="176">
        <f t="shared" si="3"/>
        <v>220.67385549872131</v>
      </c>
    </row>
    <row r="166" spans="1:20" x14ac:dyDescent="0.2">
      <c r="A166" s="171">
        <v>4</v>
      </c>
      <c r="B166" s="171"/>
      <c r="C166" s="179">
        <f>+E166-E165</f>
        <v>148.56090999999998</v>
      </c>
      <c r="D166" s="171">
        <f>+G166-G165</f>
        <v>131.19532799999996</v>
      </c>
      <c r="E166" s="171">
        <v>594.66890999999998</v>
      </c>
      <c r="G166" s="171">
        <v>526.50132799999994</v>
      </c>
      <c r="I166" s="180">
        <v>119</v>
      </c>
      <c r="J166" s="168">
        <v>4</v>
      </c>
      <c r="L166" s="177">
        <v>16682</v>
      </c>
      <c r="M166" s="176">
        <v>525.60000000000014</v>
      </c>
      <c r="N166" s="176">
        <f t="shared" si="4"/>
        <v>684.19648739495824</v>
      </c>
      <c r="O166" s="177">
        <v>10233</v>
      </c>
      <c r="P166" s="176">
        <v>826</v>
      </c>
      <c r="Q166" s="176">
        <f t="shared" si="2"/>
        <v>1075.2402941176472</v>
      </c>
      <c r="R166" s="177">
        <v>9520</v>
      </c>
      <c r="S166" s="176">
        <v>144.09999999999997</v>
      </c>
      <c r="T166" s="176">
        <f t="shared" si="3"/>
        <v>187.58126680672268</v>
      </c>
    </row>
    <row r="167" spans="1:20" x14ac:dyDescent="0.2">
      <c r="A167" s="171">
        <v>1</v>
      </c>
      <c r="B167" s="171">
        <v>2007</v>
      </c>
      <c r="C167" s="179">
        <f>+E167</f>
        <v>158.09976</v>
      </c>
      <c r="D167" s="171">
        <f>+G167</f>
        <v>141.08400800000001</v>
      </c>
      <c r="E167" s="171">
        <v>158.09976</v>
      </c>
      <c r="G167" s="171">
        <v>141.08400800000001</v>
      </c>
      <c r="I167" s="180">
        <v>117.5</v>
      </c>
      <c r="J167" s="168">
        <v>1</v>
      </c>
      <c r="K167" s="168">
        <v>2007</v>
      </c>
      <c r="L167" s="177">
        <v>18623</v>
      </c>
      <c r="M167" s="176">
        <v>649.6</v>
      </c>
      <c r="N167" s="176">
        <f t="shared" si="4"/>
        <v>856.4077617021278</v>
      </c>
      <c r="O167" s="177">
        <v>7737</v>
      </c>
      <c r="P167" s="176">
        <v>1092.1999999999998</v>
      </c>
      <c r="Q167" s="176">
        <f t="shared" si="2"/>
        <v>1439.91465106383</v>
      </c>
      <c r="R167" s="177">
        <v>8112</v>
      </c>
      <c r="S167" s="176">
        <v>167.4</v>
      </c>
      <c r="T167" s="176">
        <f t="shared" si="3"/>
        <v>220.69374893617027</v>
      </c>
    </row>
    <row r="168" spans="1:20" x14ac:dyDescent="0.2">
      <c r="A168" s="171">
        <v>2</v>
      </c>
      <c r="B168" s="171"/>
      <c r="C168" s="179">
        <f>+E168-E167</f>
        <v>161.61276000000004</v>
      </c>
      <c r="D168" s="171">
        <f>+G168-G167</f>
        <v>142.897008</v>
      </c>
      <c r="E168" s="171">
        <v>319.71252000000004</v>
      </c>
      <c r="G168" s="171">
        <v>283.98101600000001</v>
      </c>
      <c r="I168" s="180">
        <v>118.3</v>
      </c>
      <c r="J168" s="168">
        <v>2</v>
      </c>
      <c r="L168" s="177">
        <v>15831</v>
      </c>
      <c r="M168" s="176">
        <v>514.19999999999993</v>
      </c>
      <c r="N168" s="176">
        <f t="shared" si="4"/>
        <v>673.31729923922239</v>
      </c>
      <c r="O168" s="177">
        <v>5067</v>
      </c>
      <c r="P168" s="176">
        <v>1041.6999999999998</v>
      </c>
      <c r="Q168" s="176">
        <f t="shared" ref="Q168:Q189" si="5">P168/I168*$I$69</f>
        <v>1364.0502345731193</v>
      </c>
      <c r="R168" s="177">
        <v>10608</v>
      </c>
      <c r="S168" s="176">
        <v>160.99999999999997</v>
      </c>
      <c r="T168" s="176">
        <f t="shared" ref="T168:T189" si="6">S168/I168*$I$69</f>
        <v>210.8208579881657</v>
      </c>
    </row>
    <row r="169" spans="1:20" x14ac:dyDescent="0.2">
      <c r="A169" s="171">
        <v>3</v>
      </c>
      <c r="B169" s="171"/>
      <c r="C169" s="179">
        <f>+E169-E168</f>
        <v>135.82058024999998</v>
      </c>
      <c r="D169" s="171">
        <f>+G169-G168</f>
        <v>119.75308425000003</v>
      </c>
      <c r="E169" s="171">
        <v>455.53310025000002</v>
      </c>
      <c r="G169" s="171">
        <v>403.73410025000004</v>
      </c>
      <c r="I169" s="180">
        <v>117.8</v>
      </c>
      <c r="J169" s="168">
        <v>3</v>
      </c>
      <c r="L169" s="177">
        <v>18428</v>
      </c>
      <c r="M169" s="176">
        <v>654.20000000000027</v>
      </c>
      <c r="N169" s="176">
        <f t="shared" si="4"/>
        <v>860.27577674023826</v>
      </c>
      <c r="O169" s="177">
        <v>6417</v>
      </c>
      <c r="P169" s="176">
        <v>679.60000000000036</v>
      </c>
      <c r="Q169" s="176">
        <f t="shared" si="5"/>
        <v>893.67688455008556</v>
      </c>
      <c r="R169" s="177">
        <v>10319</v>
      </c>
      <c r="S169" s="176">
        <v>152.89999999999998</v>
      </c>
      <c r="T169" s="176">
        <f t="shared" si="6"/>
        <v>201.06414898132428</v>
      </c>
    </row>
    <row r="170" spans="1:20" x14ac:dyDescent="0.2">
      <c r="A170" s="171">
        <v>4</v>
      </c>
      <c r="B170" s="171"/>
      <c r="C170" s="179">
        <f>+E170-E169</f>
        <v>149.79139924999998</v>
      </c>
      <c r="D170" s="171">
        <f>+G170-G169</f>
        <v>133.49839924999998</v>
      </c>
      <c r="E170" s="171">
        <v>605.3244995</v>
      </c>
      <c r="G170" s="171">
        <v>537.23249950000002</v>
      </c>
      <c r="I170" s="180">
        <v>120.8</v>
      </c>
      <c r="J170" s="168">
        <v>4</v>
      </c>
      <c r="L170" s="177">
        <v>15870</v>
      </c>
      <c r="M170" s="176">
        <v>567.19999999999959</v>
      </c>
      <c r="N170" s="176">
        <f t="shared" si="4"/>
        <v>727.34713576158913</v>
      </c>
      <c r="O170" s="177">
        <v>5114</v>
      </c>
      <c r="P170" s="176">
        <v>911.69999999999982</v>
      </c>
      <c r="Q170" s="176">
        <f t="shared" si="5"/>
        <v>1169.1156270695365</v>
      </c>
      <c r="R170" s="177">
        <v>8645</v>
      </c>
      <c r="S170" s="176">
        <v>142.80000000000007</v>
      </c>
      <c r="T170" s="176">
        <f t="shared" si="6"/>
        <v>183.1191307947021</v>
      </c>
    </row>
    <row r="171" spans="1:20" x14ac:dyDescent="0.2">
      <c r="A171" s="171">
        <v>1</v>
      </c>
      <c r="B171" s="171">
        <v>2008</v>
      </c>
      <c r="C171" s="179">
        <f>+E171</f>
        <v>164.64169099999998</v>
      </c>
      <c r="D171" s="171">
        <f>+G171</f>
        <v>148.61369099999999</v>
      </c>
      <c r="E171" s="171">
        <v>164.64169099999998</v>
      </c>
      <c r="G171" s="171">
        <v>148.61369099999999</v>
      </c>
      <c r="I171" s="180">
        <v>121.9</v>
      </c>
      <c r="J171" s="168">
        <v>1</v>
      </c>
      <c r="K171" s="168">
        <v>2008</v>
      </c>
      <c r="L171" s="177">
        <v>17004</v>
      </c>
      <c r="M171" s="176">
        <v>591.9</v>
      </c>
      <c r="N171" s="176">
        <f t="shared" si="4"/>
        <v>752.17185602953248</v>
      </c>
      <c r="O171" s="177">
        <v>6274</v>
      </c>
      <c r="P171" s="176">
        <v>963.6</v>
      </c>
      <c r="Q171" s="176">
        <f t="shared" si="5"/>
        <v>1224.5190073831011</v>
      </c>
      <c r="R171" s="177">
        <v>7939</v>
      </c>
      <c r="S171" s="176">
        <v>160.1</v>
      </c>
      <c r="T171" s="176">
        <f t="shared" si="6"/>
        <v>203.45111361771947</v>
      </c>
    </row>
    <row r="172" spans="1:20" x14ac:dyDescent="0.2">
      <c r="A172" s="171">
        <v>2</v>
      </c>
      <c r="B172" s="171"/>
      <c r="C172" s="179">
        <f>+E172-E171</f>
        <v>197.28657850000002</v>
      </c>
      <c r="D172" s="171">
        <f>+G172-G171</f>
        <v>175.71357850000001</v>
      </c>
      <c r="E172" s="171">
        <v>361.9282695</v>
      </c>
      <c r="G172" s="171">
        <v>324.3272695</v>
      </c>
      <c r="I172" s="180">
        <v>122</v>
      </c>
      <c r="J172" s="168">
        <v>2</v>
      </c>
      <c r="L172" s="177">
        <v>14987</v>
      </c>
      <c r="M172" s="176">
        <v>548.4</v>
      </c>
      <c r="N172" s="176">
        <f t="shared" ref="N172:N181" si="7">M172/I172*$I$69</f>
        <v>696.32190983606574</v>
      </c>
      <c r="O172" s="177">
        <v>5831</v>
      </c>
      <c r="P172" s="176">
        <v>1153.8000000000002</v>
      </c>
      <c r="Q172" s="176">
        <f t="shared" si="5"/>
        <v>1465.0186352459023</v>
      </c>
      <c r="R172" s="177">
        <v>10207</v>
      </c>
      <c r="S172" s="176">
        <v>188.4</v>
      </c>
      <c r="T172" s="176">
        <f t="shared" si="6"/>
        <v>239.21781147540989</v>
      </c>
    </row>
    <row r="173" spans="1:20" x14ac:dyDescent="0.2">
      <c r="A173" s="171">
        <v>3</v>
      </c>
      <c r="B173" s="171"/>
      <c r="C173" s="179">
        <f>+E173-E172</f>
        <v>159.71767174999997</v>
      </c>
      <c r="D173" s="171">
        <f>+G173-G172</f>
        <v>141.40667174999999</v>
      </c>
      <c r="E173" s="171">
        <v>521.64594124999996</v>
      </c>
      <c r="G173" s="171">
        <v>465.73394124999999</v>
      </c>
      <c r="I173" s="180">
        <v>123.1</v>
      </c>
      <c r="J173" s="168">
        <v>3</v>
      </c>
      <c r="L173" s="177">
        <v>19290</v>
      </c>
      <c r="M173" s="176">
        <v>722.70000000000027</v>
      </c>
      <c r="N173" s="176">
        <f t="shared" si="7"/>
        <v>909.43663891145468</v>
      </c>
      <c r="O173" s="177">
        <v>12252</v>
      </c>
      <c r="P173" s="176">
        <v>1486.4999999999995</v>
      </c>
      <c r="Q173" s="176">
        <f t="shared" si="5"/>
        <v>1870.5930036555644</v>
      </c>
      <c r="R173" s="177">
        <v>11007</v>
      </c>
      <c r="S173" s="176">
        <v>186.29999999999995</v>
      </c>
      <c r="T173" s="176">
        <f t="shared" si="6"/>
        <v>234.43758935824533</v>
      </c>
    </row>
    <row r="174" spans="1:20" x14ac:dyDescent="0.2">
      <c r="A174" s="171">
        <v>4</v>
      </c>
      <c r="B174" s="171"/>
      <c r="C174" s="179">
        <f>+E174-E173</f>
        <v>170.05706974999998</v>
      </c>
      <c r="D174" s="171">
        <f>+G174-G173</f>
        <v>152.54014889999991</v>
      </c>
      <c r="E174" s="171">
        <v>691.70301099999995</v>
      </c>
      <c r="G174" s="171">
        <v>618.27409014999989</v>
      </c>
      <c r="I174" s="176">
        <v>124.7</v>
      </c>
      <c r="J174" s="168">
        <v>4</v>
      </c>
      <c r="L174" s="177">
        <v>16976</v>
      </c>
      <c r="M174" s="176">
        <v>703.10000000000014</v>
      </c>
      <c r="N174" s="176">
        <f t="shared" si="7"/>
        <v>873.41991379310377</v>
      </c>
      <c r="O174" s="177">
        <v>7247</v>
      </c>
      <c r="P174" s="176">
        <v>1160</v>
      </c>
      <c r="Q174" s="176">
        <f t="shared" si="5"/>
        <v>1441.0000000000002</v>
      </c>
      <c r="R174" s="177">
        <v>10145</v>
      </c>
      <c r="S174" s="176">
        <v>269.60000000000014</v>
      </c>
      <c r="T174" s="176">
        <f t="shared" si="6"/>
        <v>334.90827586206922</v>
      </c>
    </row>
    <row r="175" spans="1:20" x14ac:dyDescent="0.2">
      <c r="A175" s="171">
        <v>1</v>
      </c>
      <c r="B175" s="171">
        <v>2009</v>
      </c>
      <c r="C175" s="179">
        <f>+E175</f>
        <v>191.37959499999999</v>
      </c>
      <c r="D175" s="171">
        <f>+G175</f>
        <v>172.55938714999999</v>
      </c>
      <c r="E175" s="171">
        <v>191.37959499999999</v>
      </c>
      <c r="G175" s="171">
        <v>172.55938714999999</v>
      </c>
      <c r="I175" s="176">
        <v>125</v>
      </c>
      <c r="J175" s="168">
        <v>1</v>
      </c>
      <c r="K175" s="168">
        <v>2009</v>
      </c>
      <c r="L175" s="177">
        <v>18865</v>
      </c>
      <c r="M175" s="176">
        <v>739.59999999999991</v>
      </c>
      <c r="N175" s="176">
        <f t="shared" si="7"/>
        <v>916.5566960000001</v>
      </c>
      <c r="O175" s="177">
        <v>6194</v>
      </c>
      <c r="P175" s="176">
        <v>1049.9000000000001</v>
      </c>
      <c r="Q175" s="176">
        <f t="shared" si="5"/>
        <v>1301.0990740000002</v>
      </c>
      <c r="R175" s="177">
        <v>8619</v>
      </c>
      <c r="S175" s="176">
        <v>213.2</v>
      </c>
      <c r="T175" s="176">
        <f t="shared" si="6"/>
        <v>264.21023200000002</v>
      </c>
    </row>
    <row r="176" spans="1:20" x14ac:dyDescent="0.2">
      <c r="A176" s="171">
        <v>2</v>
      </c>
      <c r="B176" s="171"/>
      <c r="C176" s="179">
        <f>+E176-E175</f>
        <v>178.90604250000001</v>
      </c>
      <c r="D176" s="171">
        <f>+G176-G175</f>
        <v>160.765232725</v>
      </c>
      <c r="E176" s="171">
        <v>370.28563750000001</v>
      </c>
      <c r="G176" s="171">
        <v>333.324619875</v>
      </c>
      <c r="I176" s="176">
        <v>125.7</v>
      </c>
      <c r="J176" s="168">
        <v>2</v>
      </c>
      <c r="L176" s="177">
        <v>14610</v>
      </c>
      <c r="M176" s="176">
        <v>603.80000000000018</v>
      </c>
      <c r="N176" s="176">
        <f t="shared" si="7"/>
        <v>744.09823786793982</v>
      </c>
      <c r="O176" s="177">
        <v>5486</v>
      </c>
      <c r="P176" s="176">
        <v>1077.9000000000001</v>
      </c>
      <c r="Q176" s="176">
        <f t="shared" si="5"/>
        <v>1328.3595405727926</v>
      </c>
      <c r="R176" s="177">
        <v>11296</v>
      </c>
      <c r="S176" s="176">
        <v>235.3</v>
      </c>
      <c r="T176" s="176">
        <f t="shared" si="6"/>
        <v>289.97402346857604</v>
      </c>
    </row>
    <row r="177" spans="1:20" x14ac:dyDescent="0.2">
      <c r="A177" s="171">
        <v>3</v>
      </c>
      <c r="B177" s="171"/>
      <c r="C177" s="179">
        <f>+E177-E176</f>
        <v>160.23377500000004</v>
      </c>
      <c r="D177" s="171">
        <f>+G177-G176</f>
        <v>142.31202375000004</v>
      </c>
      <c r="E177" s="171">
        <v>530.51941250000004</v>
      </c>
      <c r="G177" s="171">
        <v>475.63664362500003</v>
      </c>
      <c r="I177" s="176">
        <v>125.4</v>
      </c>
      <c r="J177" s="168">
        <v>3</v>
      </c>
      <c r="L177" s="177">
        <v>19220</v>
      </c>
      <c r="M177" s="176">
        <v>795.69999999999982</v>
      </c>
      <c r="N177" s="176">
        <f t="shared" si="7"/>
        <v>982.93379385964897</v>
      </c>
      <c r="O177" s="177">
        <v>13278</v>
      </c>
      <c r="P177" s="176">
        <v>1278.0999999999999</v>
      </c>
      <c r="Q177" s="176">
        <f t="shared" si="5"/>
        <v>1578.8458991228069</v>
      </c>
      <c r="R177" s="177">
        <v>11383</v>
      </c>
      <c r="S177" s="176">
        <v>231.79999999999995</v>
      </c>
      <c r="T177" s="176">
        <f t="shared" si="6"/>
        <v>286.34416666666664</v>
      </c>
    </row>
    <row r="178" spans="1:20" x14ac:dyDescent="0.2">
      <c r="A178" s="171">
        <v>4</v>
      </c>
      <c r="B178" s="171"/>
      <c r="C178" s="179">
        <f>+E178-E177</f>
        <v>179.8571388695641</v>
      </c>
      <c r="D178" s="171">
        <f>+G178-G177</f>
        <v>163.53199924456408</v>
      </c>
      <c r="E178" s="171">
        <v>710.37655136956414</v>
      </c>
      <c r="G178" s="171">
        <v>639.16864286956411</v>
      </c>
      <c r="I178" s="176">
        <v>126.6</v>
      </c>
      <c r="J178" s="168">
        <v>4</v>
      </c>
      <c r="L178" s="177">
        <v>16838</v>
      </c>
      <c r="M178" s="176">
        <v>759.30000000000018</v>
      </c>
      <c r="N178" s="176">
        <f t="shared" si="7"/>
        <v>929.07792061611417</v>
      </c>
      <c r="O178" s="177">
        <v>6227</v>
      </c>
      <c r="P178" s="176">
        <v>1192.2000000000003</v>
      </c>
      <c r="Q178" s="176">
        <f t="shared" si="5"/>
        <v>1458.7734715639817</v>
      </c>
      <c r="R178" s="177">
        <v>10409</v>
      </c>
      <c r="S178" s="176">
        <v>276.40000000000009</v>
      </c>
      <c r="T178" s="176">
        <f t="shared" si="6"/>
        <v>338.20247235387063</v>
      </c>
    </row>
    <row r="179" spans="1:20" x14ac:dyDescent="0.2">
      <c r="A179" s="171">
        <v>1</v>
      </c>
      <c r="B179" s="171">
        <v>2010</v>
      </c>
      <c r="C179" s="179">
        <f>+E179</f>
        <v>204.63648875000001</v>
      </c>
      <c r="D179" s="171">
        <f>+G179</f>
        <v>186.506571025</v>
      </c>
      <c r="E179" s="171">
        <v>204.63648875000001</v>
      </c>
      <c r="G179" s="171">
        <v>186.506571025</v>
      </c>
      <c r="I179" s="176">
        <v>128.69999999999999</v>
      </c>
      <c r="J179" s="168">
        <v>1</v>
      </c>
      <c r="K179" s="168">
        <v>2010</v>
      </c>
      <c r="L179" s="177">
        <v>40484.70904761905</v>
      </c>
      <c r="M179" s="176">
        <v>1693.2251146266974</v>
      </c>
      <c r="N179" s="176">
        <f t="shared" si="7"/>
        <v>2038.020741600895</v>
      </c>
      <c r="O179" s="177">
        <v>6690</v>
      </c>
      <c r="P179" s="176">
        <v>1648.5</v>
      </c>
      <c r="Q179" s="176">
        <f t="shared" si="5"/>
        <v>1984.1881410256417</v>
      </c>
      <c r="R179" s="177">
        <v>7227</v>
      </c>
      <c r="S179" s="176">
        <v>243.10000000000002</v>
      </c>
      <c r="T179" s="176">
        <f t="shared" si="6"/>
        <v>292.60305555555567</v>
      </c>
    </row>
    <row r="180" spans="1:20" x14ac:dyDescent="0.2">
      <c r="A180" s="171">
        <v>2</v>
      </c>
      <c r="B180" s="171"/>
      <c r="C180" s="179">
        <f>+E180-E179</f>
        <v>188.95691625000001</v>
      </c>
      <c r="D180" s="171">
        <f>+G180-G179</f>
        <v>170.46253197500002</v>
      </c>
      <c r="E180" s="171">
        <v>393.59340500000002</v>
      </c>
      <c r="G180" s="171">
        <v>356.96910300000002</v>
      </c>
      <c r="I180" s="176">
        <v>128.9</v>
      </c>
      <c r="J180" s="168">
        <v>2</v>
      </c>
      <c r="L180" s="177">
        <v>20633.79583333333</v>
      </c>
      <c r="M180" s="176">
        <v>864.97098885712671</v>
      </c>
      <c r="N180" s="176">
        <f t="shared" si="7"/>
        <v>1039.4918033854567</v>
      </c>
      <c r="O180" s="177">
        <v>5716</v>
      </c>
      <c r="P180" s="176">
        <v>1381.6999999999998</v>
      </c>
      <c r="Q180" s="176">
        <f t="shared" si="5"/>
        <v>1660.4786093871217</v>
      </c>
      <c r="R180" s="177">
        <v>10696</v>
      </c>
      <c r="S180" s="176">
        <v>201.60000000000002</v>
      </c>
      <c r="T180" s="176">
        <f t="shared" si="6"/>
        <v>242.2758107059737</v>
      </c>
    </row>
    <row r="181" spans="1:20" x14ac:dyDescent="0.2">
      <c r="A181" s="171">
        <v>3</v>
      </c>
      <c r="B181" s="171"/>
      <c r="C181" s="179">
        <f>+E181-E180</f>
        <v>172.07737875000004</v>
      </c>
      <c r="D181" s="171">
        <f>+G181-G180</f>
        <v>154.15607493749997</v>
      </c>
      <c r="E181" s="171">
        <v>565.67078375000006</v>
      </c>
      <c r="G181" s="171">
        <v>511.12517793749998</v>
      </c>
      <c r="I181" s="176">
        <v>127.8</v>
      </c>
      <c r="J181" s="168">
        <v>3</v>
      </c>
      <c r="L181" s="177">
        <v>19149.335833333338</v>
      </c>
      <c r="M181" s="176">
        <v>861.71516601647909</v>
      </c>
      <c r="N181" s="176">
        <f t="shared" si="7"/>
        <v>1044.4925045359762</v>
      </c>
      <c r="O181" s="177">
        <v>9089</v>
      </c>
      <c r="P181" s="176">
        <v>1286.1999999999998</v>
      </c>
      <c r="Q181" s="176">
        <f t="shared" si="5"/>
        <v>1559.0142918622851</v>
      </c>
      <c r="R181" s="177">
        <v>11532</v>
      </c>
      <c r="S181" s="176">
        <v>200.69999999999993</v>
      </c>
      <c r="T181" s="176">
        <f t="shared" si="6"/>
        <v>243.2702288732394</v>
      </c>
    </row>
    <row r="182" spans="1:20" x14ac:dyDescent="0.2">
      <c r="A182" s="171">
        <v>4</v>
      </c>
      <c r="B182" s="171"/>
      <c r="C182" s="179">
        <f>+E182-E181</f>
        <v>192.96143124999992</v>
      </c>
      <c r="D182" s="171">
        <f>+G182-G181</f>
        <v>174.39946771249993</v>
      </c>
      <c r="E182" s="171">
        <v>758.63221499999997</v>
      </c>
      <c r="G182" s="171">
        <v>685.52464564999991</v>
      </c>
      <c r="I182" s="176">
        <v>129</v>
      </c>
      <c r="J182" s="168">
        <v>4</v>
      </c>
      <c r="L182" s="177">
        <v>22322.361666666664</v>
      </c>
      <c r="M182" s="176">
        <v>889.84894905372039</v>
      </c>
      <c r="N182" s="176">
        <f t="shared" ref="N182" si="8">M182/I182*$I$69</f>
        <v>1068.5602796553428</v>
      </c>
      <c r="O182" s="177">
        <v>5858</v>
      </c>
      <c r="P182" s="176">
        <v>1310.8000000000011</v>
      </c>
      <c r="Q182" s="176">
        <f t="shared" si="5"/>
        <v>1574.0523333333349</v>
      </c>
      <c r="R182" s="177">
        <v>9548</v>
      </c>
      <c r="S182" s="176">
        <v>205</v>
      </c>
      <c r="T182" s="176">
        <f t="shared" si="6"/>
        <v>246.17083333333338</v>
      </c>
    </row>
    <row r="183" spans="1:20" x14ac:dyDescent="0.2">
      <c r="A183" s="171">
        <v>1</v>
      </c>
      <c r="B183" s="171">
        <v>2011</v>
      </c>
      <c r="C183" s="179">
        <f>+E183</f>
        <v>204.00503875000001</v>
      </c>
      <c r="D183" s="171">
        <f>+G183</f>
        <v>184.8599929625</v>
      </c>
      <c r="E183" s="171">
        <v>204.00503875000001</v>
      </c>
      <c r="G183" s="171">
        <v>184.8599929625</v>
      </c>
      <c r="I183" s="176">
        <v>130.19999999999999</v>
      </c>
      <c r="J183" s="168">
        <v>1</v>
      </c>
      <c r="K183" s="168">
        <v>2011</v>
      </c>
      <c r="L183" s="177">
        <v>26141.662648809524</v>
      </c>
      <c r="M183" s="176">
        <v>1061.4209517567813</v>
      </c>
      <c r="N183" s="176">
        <f t="shared" ref="N183:N186" si="9">M183/I183*$I$69</f>
        <v>1262.8422894336686</v>
      </c>
      <c r="O183" s="177">
        <v>5959</v>
      </c>
      <c r="P183" s="176">
        <v>1698.7</v>
      </c>
      <c r="Q183" s="176">
        <f t="shared" si="5"/>
        <v>2021.0550710445473</v>
      </c>
      <c r="R183" s="177">
        <v>6732</v>
      </c>
      <c r="S183" s="176">
        <v>156.5</v>
      </c>
      <c r="T183" s="176">
        <f t="shared" si="6"/>
        <v>186.19833909370206</v>
      </c>
    </row>
    <row r="184" spans="1:20" x14ac:dyDescent="0.2">
      <c r="A184" s="171">
        <v>2</v>
      </c>
      <c r="B184" s="171"/>
      <c r="C184" s="179">
        <f>+E184-E183</f>
        <v>188.74104374999999</v>
      </c>
      <c r="D184" s="171">
        <f>+G184-G183</f>
        <v>171.33320521249996</v>
      </c>
      <c r="E184" s="168">
        <v>392.7460825</v>
      </c>
      <c r="G184" s="168">
        <v>356.19319817499996</v>
      </c>
      <c r="I184" s="176">
        <v>131</v>
      </c>
      <c r="J184" s="168">
        <v>2</v>
      </c>
      <c r="L184" s="185">
        <v>18851.951101190472</v>
      </c>
      <c r="M184" s="186">
        <v>776.58308820124375</v>
      </c>
      <c r="N184" s="176">
        <f t="shared" si="9"/>
        <v>918.30950179797094</v>
      </c>
      <c r="O184" s="177">
        <v>7524</v>
      </c>
      <c r="P184" s="176">
        <v>1533.4000000000003</v>
      </c>
      <c r="Q184" s="176">
        <f t="shared" si="5"/>
        <v>1813.2455000000007</v>
      </c>
      <c r="R184" s="177">
        <v>10017</v>
      </c>
      <c r="S184" s="176">
        <v>197.79999999999995</v>
      </c>
      <c r="T184" s="176">
        <f t="shared" si="6"/>
        <v>233.89849999999998</v>
      </c>
    </row>
    <row r="185" spans="1:20" x14ac:dyDescent="0.2">
      <c r="A185" s="171">
        <v>3</v>
      </c>
      <c r="C185" s="179">
        <f>+E185-E184</f>
        <v>169.93391749999995</v>
      </c>
      <c r="D185" s="171">
        <f>+G185-G184</f>
        <v>151.69380182500004</v>
      </c>
      <c r="E185" s="168">
        <v>562.67999999999995</v>
      </c>
      <c r="G185" s="168">
        <v>507.887</v>
      </c>
      <c r="I185" s="176">
        <v>129.4</v>
      </c>
      <c r="J185" s="168">
        <v>3</v>
      </c>
      <c r="L185" s="185">
        <v>24107.386250000007</v>
      </c>
      <c r="M185" s="186">
        <v>914.64669811090494</v>
      </c>
      <c r="N185" s="176">
        <f t="shared" si="9"/>
        <v>1094.9430710016616</v>
      </c>
      <c r="O185" s="177">
        <v>10171</v>
      </c>
      <c r="P185" s="176">
        <v>1285.3999999999996</v>
      </c>
      <c r="Q185" s="176">
        <f t="shared" si="5"/>
        <v>1538.7797565687788</v>
      </c>
      <c r="R185" s="177">
        <v>10339</v>
      </c>
      <c r="S185" s="176">
        <v>167.29999999999995</v>
      </c>
      <c r="T185" s="176">
        <f t="shared" si="6"/>
        <v>200.27839837712514</v>
      </c>
    </row>
    <row r="186" spans="1:20" x14ac:dyDescent="0.2">
      <c r="A186" s="168">
        <v>4</v>
      </c>
      <c r="C186" s="179">
        <f>+E186-E185</f>
        <v>202.17554500000006</v>
      </c>
      <c r="D186" s="171">
        <f>+G186-G185</f>
        <v>178.91908595000001</v>
      </c>
      <c r="E186" s="168">
        <v>764.85554500000001</v>
      </c>
      <c r="G186" s="168">
        <v>686.80608595000001</v>
      </c>
      <c r="I186" s="168">
        <v>130.5</v>
      </c>
      <c r="J186" s="168">
        <v>4</v>
      </c>
      <c r="L186" s="185">
        <v>18022.572976190484</v>
      </c>
      <c r="M186" s="176">
        <v>777.38419736292576</v>
      </c>
      <c r="N186" s="176">
        <f t="shared" si="9"/>
        <v>922.77887013791155</v>
      </c>
      <c r="O186" s="185">
        <v>8775.7956028314002</v>
      </c>
      <c r="P186" s="176">
        <v>1286.8626975018997</v>
      </c>
      <c r="Q186" s="176">
        <f t="shared" si="5"/>
        <v>1527.5454660021117</v>
      </c>
      <c r="R186" s="185">
        <v>9645.4866500746648</v>
      </c>
      <c r="S186" s="176">
        <v>181.103452008619</v>
      </c>
      <c r="T186" s="176">
        <f t="shared" si="6"/>
        <v>214.97534859789391</v>
      </c>
    </row>
    <row r="187" spans="1:20" x14ac:dyDescent="0.2">
      <c r="A187" s="168">
        <v>1</v>
      </c>
      <c r="B187" s="168">
        <v>2012</v>
      </c>
      <c r="C187" s="179">
        <f>+E187</f>
        <v>195.82938625</v>
      </c>
      <c r="D187" s="171">
        <f>+G187</f>
        <v>177.0717714875</v>
      </c>
      <c r="E187" s="168">
        <v>195.82938625</v>
      </c>
      <c r="G187" s="168">
        <v>177.0717714875</v>
      </c>
      <c r="I187" s="168">
        <v>131.69999999999999</v>
      </c>
      <c r="J187" s="168">
        <v>1</v>
      </c>
      <c r="K187" s="168">
        <v>2012</v>
      </c>
      <c r="L187" s="185">
        <v>18517.39324404762</v>
      </c>
      <c r="M187" s="176">
        <v>869.15461769403078</v>
      </c>
      <c r="N187" s="176">
        <f t="shared" ref="N187:N193" si="10">M187/I187*$I$69</f>
        <v>1022.3125963586797</v>
      </c>
      <c r="O187" s="177">
        <v>6822.44890070785</v>
      </c>
      <c r="P187" s="176">
        <v>1150.314057295883</v>
      </c>
      <c r="Q187" s="176">
        <f t="shared" si="5"/>
        <v>1353.0165135198333</v>
      </c>
      <c r="R187" s="177">
        <v>7564.3716625186662</v>
      </c>
      <c r="S187" s="176">
        <v>175.73767321176348</v>
      </c>
      <c r="T187" s="176">
        <f t="shared" si="6"/>
        <v>206.70526661390477</v>
      </c>
    </row>
    <row r="188" spans="1:20" x14ac:dyDescent="0.2">
      <c r="A188" s="168">
        <v>2</v>
      </c>
      <c r="C188" s="179">
        <f>+E188-E187</f>
        <v>182.75061374999999</v>
      </c>
      <c r="D188" s="171">
        <f>+G188-G187</f>
        <v>165.12822851249999</v>
      </c>
      <c r="E188" s="187">
        <v>378.58</v>
      </c>
      <c r="G188" s="187">
        <v>342.2</v>
      </c>
      <c r="I188" s="168">
        <v>131.69999999999999</v>
      </c>
      <c r="J188" s="168">
        <v>2</v>
      </c>
      <c r="L188" s="185">
        <v>14087.60675595238</v>
      </c>
      <c r="M188" s="176">
        <v>635.43152402028181</v>
      </c>
      <c r="N188" s="176">
        <f t="shared" si="10"/>
        <v>747.40401524048468</v>
      </c>
      <c r="O188" s="177">
        <v>4838.55109929215</v>
      </c>
      <c r="P188" s="176">
        <v>1037.7970664905204</v>
      </c>
      <c r="Q188" s="176">
        <f t="shared" si="5"/>
        <v>1220.6723544220222</v>
      </c>
      <c r="R188" s="177">
        <v>10002.628337481334</v>
      </c>
      <c r="S188" s="176">
        <v>184.20744441885319</v>
      </c>
      <c r="T188" s="176">
        <f t="shared" si="6"/>
        <v>216.66753755742982</v>
      </c>
    </row>
    <row r="189" spans="1:20" x14ac:dyDescent="0.2">
      <c r="A189" s="171">
        <v>3</v>
      </c>
      <c r="C189" s="179">
        <f>+E189-E188</f>
        <v>165.72960875000007</v>
      </c>
      <c r="D189" s="171">
        <f>+G189-G188</f>
        <v>148.24155396250001</v>
      </c>
      <c r="E189" s="168">
        <v>544.30960875000005</v>
      </c>
      <c r="G189" s="168">
        <v>490.4415539625</v>
      </c>
      <c r="I189" s="168">
        <v>130</v>
      </c>
      <c r="J189" s="168">
        <v>3</v>
      </c>
      <c r="L189" s="188">
        <v>20999.460714285713</v>
      </c>
      <c r="M189" s="189">
        <v>864.77367174435972</v>
      </c>
      <c r="N189" s="176">
        <f t="shared" si="10"/>
        <v>1030.4609811979956</v>
      </c>
      <c r="O189" s="188">
        <v>6828.0536397386386</v>
      </c>
      <c r="P189" s="189">
        <v>1132.0609213635664</v>
      </c>
      <c r="Q189" s="176">
        <f t="shared" si="5"/>
        <v>1348.9594398163592</v>
      </c>
      <c r="R189" s="188">
        <v>10877.781177428844</v>
      </c>
      <c r="S189" s="189">
        <v>190.02859425457928</v>
      </c>
      <c r="T189" s="176">
        <f t="shared" si="6"/>
        <v>226.43734203454804</v>
      </c>
    </row>
    <row r="190" spans="1:20" x14ac:dyDescent="0.2">
      <c r="A190" s="171">
        <v>4</v>
      </c>
      <c r="C190" s="179">
        <f>+E190-E189</f>
        <v>166.80539124999996</v>
      </c>
      <c r="D190" s="171">
        <f>+G190-G189</f>
        <v>151.72844603749996</v>
      </c>
      <c r="E190" s="168">
        <v>711.11500000000001</v>
      </c>
      <c r="G190" s="168">
        <v>642.16999999999996</v>
      </c>
      <c r="I190" s="168">
        <v>132</v>
      </c>
      <c r="J190" s="168">
        <v>4</v>
      </c>
      <c r="L190" s="188">
        <v>17946.539285714287</v>
      </c>
      <c r="M190" s="189">
        <v>826.79347775776318</v>
      </c>
      <c r="N190" s="176">
        <f t="shared" si="10"/>
        <v>970.27659587697508</v>
      </c>
      <c r="O190" s="188">
        <v>5621.9463602613596</v>
      </c>
      <c r="P190" s="189">
        <v>1071.0118577206574</v>
      </c>
      <c r="Q190" s="176">
        <f t="shared" ref="Q190:Q229" si="11">P190/I190*$I$69</f>
        <v>1256.8770405292632</v>
      </c>
      <c r="R190" s="188">
        <v>8525.2188225711561</v>
      </c>
      <c r="S190" s="189">
        <v>190.41732478586363</v>
      </c>
      <c r="T190" s="176">
        <f t="shared" ref="T190:T229" si="12">S190/I190*$I$69</f>
        <v>223.4626646914104</v>
      </c>
    </row>
    <row r="191" spans="1:20" x14ac:dyDescent="0.2">
      <c r="A191" s="168">
        <v>1</v>
      </c>
      <c r="B191" s="168">
        <v>2013</v>
      </c>
      <c r="C191" s="179">
        <f>+E191</f>
        <v>199.180995</v>
      </c>
      <c r="D191" s="171">
        <f>+G191</f>
        <v>183.65288545000001</v>
      </c>
      <c r="E191" s="168">
        <v>199.180995</v>
      </c>
      <c r="G191" s="168">
        <v>183.65288545000001</v>
      </c>
      <c r="I191" s="168">
        <v>133</v>
      </c>
      <c r="J191" s="168">
        <v>1</v>
      </c>
      <c r="K191" s="168">
        <f>B191</f>
        <v>2013</v>
      </c>
      <c r="L191" s="188">
        <v>21974.571815476189</v>
      </c>
      <c r="M191" s="189">
        <v>1023.0812127444322</v>
      </c>
      <c r="N191" s="176">
        <f t="shared" si="10"/>
        <v>1191.6011500993093</v>
      </c>
      <c r="O191" s="188">
        <v>5520.4451678348678</v>
      </c>
      <c r="P191" s="189">
        <v>1148.1840804128565</v>
      </c>
      <c r="Q191" s="176">
        <f t="shared" si="11"/>
        <v>1337.3107175680798</v>
      </c>
      <c r="R191" s="188">
        <v>5958.3970505452735</v>
      </c>
      <c r="S191" s="189">
        <v>167.84779905693762</v>
      </c>
      <c r="T191" s="176">
        <f t="shared" si="12"/>
        <v>195.49536039407946</v>
      </c>
    </row>
    <row r="192" spans="1:20" x14ac:dyDescent="0.2">
      <c r="A192" s="168">
        <v>2</v>
      </c>
      <c r="C192" s="179">
        <f>+E192-E191</f>
        <v>205.01500500000003</v>
      </c>
      <c r="D192" s="171">
        <f>+G192-G191</f>
        <v>185.63411454999996</v>
      </c>
      <c r="E192" s="168">
        <v>404.19600000000003</v>
      </c>
      <c r="G192" s="168">
        <v>369.28699999999998</v>
      </c>
      <c r="I192" s="168">
        <v>134.30000000000001</v>
      </c>
      <c r="J192" s="168">
        <v>2</v>
      </c>
      <c r="L192" s="188">
        <v>23960.428184523811</v>
      </c>
      <c r="M192" s="189">
        <v>1011.581560458749</v>
      </c>
      <c r="N192" s="176">
        <f t="shared" si="10"/>
        <v>1166.8024614799976</v>
      </c>
      <c r="O192" s="188">
        <v>6388.5548321651322</v>
      </c>
      <c r="P192" s="189">
        <v>1133.7065185307133</v>
      </c>
      <c r="Q192" s="176">
        <f t="shared" si="11"/>
        <v>1307.6667350654986</v>
      </c>
      <c r="R192" s="188">
        <v>10154.602949454726</v>
      </c>
      <c r="S192" s="189">
        <v>176.1673175310234</v>
      </c>
      <c r="T192" s="176">
        <f t="shared" si="12"/>
        <v>203.19909709930758</v>
      </c>
    </row>
    <row r="193" spans="1:20" x14ac:dyDescent="0.2">
      <c r="A193" s="168">
        <v>3</v>
      </c>
      <c r="C193" s="179">
        <f>+E193-E192</f>
        <v>172.04383408071794</v>
      </c>
      <c r="D193" s="171">
        <f>+G193-G192</f>
        <v>153.21019910313902</v>
      </c>
      <c r="E193" s="168">
        <v>576.23983408071797</v>
      </c>
      <c r="G193" s="168">
        <v>522.497199103139</v>
      </c>
      <c r="I193" s="168">
        <v>134.19999999999999</v>
      </c>
      <c r="J193" s="168">
        <v>3</v>
      </c>
      <c r="L193" s="188">
        <v>18388.581422924897</v>
      </c>
      <c r="M193" s="189">
        <v>735.52528494140915</v>
      </c>
      <c r="N193" s="176">
        <f t="shared" si="10"/>
        <v>849.01924796618005</v>
      </c>
      <c r="O193" s="188">
        <v>11492.955434782609</v>
      </c>
      <c r="P193" s="189">
        <v>1323.3889549928699</v>
      </c>
      <c r="Q193" s="176">
        <f t="shared" si="11"/>
        <v>1527.5922097284504</v>
      </c>
      <c r="R193" s="188">
        <v>11786.02326086957</v>
      </c>
      <c r="S193" s="189">
        <v>172.41802435151402</v>
      </c>
      <c r="T193" s="176">
        <f t="shared" si="12"/>
        <v>199.02269081395056</v>
      </c>
    </row>
    <row r="194" spans="1:20" x14ac:dyDescent="0.2">
      <c r="A194" s="171">
        <v>4</v>
      </c>
      <c r="C194" s="179">
        <f>+E194-E193</f>
        <v>204.099832585949</v>
      </c>
      <c r="D194" s="171">
        <f>+G194-G193</f>
        <v>188.07946756352794</v>
      </c>
      <c r="E194" s="168">
        <v>780.33966666666697</v>
      </c>
      <c r="G194" s="168">
        <v>710.57666666666694</v>
      </c>
      <c r="I194" s="168">
        <v>135.30000000000001</v>
      </c>
      <c r="J194" s="168">
        <v>4</v>
      </c>
      <c r="L194" s="188">
        <v>18420.418577075106</v>
      </c>
      <c r="M194" s="188">
        <v>895.71090498583999</v>
      </c>
      <c r="N194" s="176">
        <f>M194/I194*$I$69</f>
        <v>1025.5161641839914</v>
      </c>
      <c r="O194" s="188">
        <v>7745.0445652173912</v>
      </c>
      <c r="P194" s="188">
        <v>1212.6630411771803</v>
      </c>
      <c r="Q194" s="176">
        <f t="shared" si="11"/>
        <v>1388.4005916567189</v>
      </c>
      <c r="R194" s="188">
        <v>11621.97673913043</v>
      </c>
      <c r="S194" s="188">
        <v>180.100371437175</v>
      </c>
      <c r="T194" s="176">
        <f t="shared" si="12"/>
        <v>206.20028298894448</v>
      </c>
    </row>
    <row r="195" spans="1:20" x14ac:dyDescent="0.2">
      <c r="A195" s="171">
        <v>1</v>
      </c>
      <c r="B195" s="168">
        <v>2014</v>
      </c>
      <c r="C195" s="179">
        <f>E195</f>
        <v>196.17699999999999</v>
      </c>
      <c r="D195" s="171">
        <f>G195</f>
        <v>179.55199999999999</v>
      </c>
      <c r="E195" s="168">
        <v>196.17699999999999</v>
      </c>
      <c r="G195" s="168">
        <v>179.55199999999999</v>
      </c>
      <c r="I195" s="168">
        <v>135.80000000000001</v>
      </c>
      <c r="J195" s="168">
        <f>A195</f>
        <v>1</v>
      </c>
      <c r="K195" s="168">
        <f>B195</f>
        <v>2014</v>
      </c>
      <c r="L195" s="188">
        <v>19713</v>
      </c>
      <c r="M195" s="188">
        <v>886.67647724495987</v>
      </c>
      <c r="N195" s="176">
        <f>M195/I195*$I$69</f>
        <v>1011.4347304773464</v>
      </c>
      <c r="O195" s="188">
        <v>7032</v>
      </c>
      <c r="P195" s="188">
        <v>1484.9150299297401</v>
      </c>
      <c r="Q195" s="176">
        <f t="shared" ref="Q195" si="13">P195/I195*$I$69</f>
        <v>1693.8473858530283</v>
      </c>
      <c r="R195" s="188">
        <v>8004</v>
      </c>
      <c r="S195" s="188">
        <v>165.16263465729782</v>
      </c>
      <c r="T195" s="176">
        <f t="shared" ref="T195" si="14">S195/I195*$I$69</f>
        <v>188.40155249024568</v>
      </c>
    </row>
    <row r="196" spans="1:20" x14ac:dyDescent="0.2">
      <c r="A196" s="168">
        <v>2</v>
      </c>
      <c r="C196" s="179">
        <f>+E196-E195</f>
        <v>197.965</v>
      </c>
      <c r="D196" s="171">
        <f>+G196-G195</f>
        <v>179.76700000000002</v>
      </c>
      <c r="E196" s="168">
        <v>394.142</v>
      </c>
      <c r="G196" s="168">
        <v>359.31900000000002</v>
      </c>
      <c r="I196" s="168">
        <v>136.69999999999999</v>
      </c>
      <c r="J196" s="168">
        <v>2</v>
      </c>
      <c r="L196" s="188">
        <v>16691</v>
      </c>
      <c r="M196" s="188">
        <v>732.96206934555016</v>
      </c>
      <c r="N196" s="176">
        <f t="shared" ref="N196:N229" si="15">M196/I196*$I$69</f>
        <v>830.58757686280785</v>
      </c>
      <c r="O196" s="188">
        <v>6228</v>
      </c>
      <c r="P196" s="188">
        <v>1158.7677611998799</v>
      </c>
      <c r="Q196" s="176">
        <f t="shared" si="11"/>
        <v>1313.1076588739609</v>
      </c>
      <c r="R196" s="188">
        <v>11579</v>
      </c>
      <c r="S196" s="188">
        <v>167.32102845142202</v>
      </c>
      <c r="T196" s="176">
        <f t="shared" si="12"/>
        <v>189.60703887958056</v>
      </c>
    </row>
    <row r="197" spans="1:20" x14ac:dyDescent="0.2">
      <c r="A197" s="168">
        <v>3</v>
      </c>
      <c r="C197" s="179">
        <f>+E197-E196</f>
        <v>192.10452006852</v>
      </c>
      <c r="D197" s="171">
        <f>+G197-G196</f>
        <v>173.47352006851992</v>
      </c>
      <c r="E197" s="168">
        <v>586.24652006852</v>
      </c>
      <c r="G197" s="168">
        <v>532.79252006851993</v>
      </c>
      <c r="I197" s="168">
        <v>137</v>
      </c>
      <c r="J197" s="168">
        <v>3</v>
      </c>
      <c r="L197" s="188">
        <v>21817</v>
      </c>
      <c r="M197" s="188">
        <v>1080.59231996894</v>
      </c>
      <c r="N197" s="176">
        <f t="shared" si="15"/>
        <v>1221.8383562451722</v>
      </c>
      <c r="O197" s="188">
        <v>20407</v>
      </c>
      <c r="P197" s="188">
        <v>1259.8740491119995</v>
      </c>
      <c r="Q197" s="176">
        <f t="shared" si="11"/>
        <v>1424.5543011884461</v>
      </c>
      <c r="R197" s="188">
        <v>11684</v>
      </c>
      <c r="S197" s="188">
        <v>177.03184293206914</v>
      </c>
      <c r="T197" s="176">
        <f t="shared" si="12"/>
        <v>200.17197232846354</v>
      </c>
    </row>
    <row r="198" spans="1:20" x14ac:dyDescent="0.2">
      <c r="A198" s="168">
        <v>4</v>
      </c>
      <c r="C198" s="179">
        <f>+E198-E197</f>
        <v>196.808833167682</v>
      </c>
      <c r="D198" s="171">
        <f>+G198-G197</f>
        <v>184.73883316768206</v>
      </c>
      <c r="E198" s="168">
        <v>783.055353236202</v>
      </c>
      <c r="G198" s="168">
        <v>717.53135323620199</v>
      </c>
      <c r="I198" s="168">
        <v>137.9</v>
      </c>
      <c r="J198" s="168">
        <v>4</v>
      </c>
      <c r="L198" s="188">
        <v>20183</v>
      </c>
      <c r="M198" s="188">
        <v>869.67426416194962</v>
      </c>
      <c r="N198" s="176">
        <f t="shared" si="15"/>
        <v>976.93303898235843</v>
      </c>
      <c r="O198" s="188">
        <v>12863</v>
      </c>
      <c r="P198" s="188">
        <v>1106.850761909501</v>
      </c>
      <c r="Q198" s="176">
        <f t="shared" si="11"/>
        <v>1243.3610181326762</v>
      </c>
      <c r="R198" s="188">
        <v>9690</v>
      </c>
      <c r="S198" s="188">
        <v>175.42101671448501</v>
      </c>
      <c r="T198" s="176">
        <f t="shared" si="12"/>
        <v>197.05606342783966</v>
      </c>
    </row>
    <row r="199" spans="1:20" x14ac:dyDescent="0.2">
      <c r="A199" s="168">
        <v>1</v>
      </c>
      <c r="B199" s="168">
        <v>2015</v>
      </c>
      <c r="C199" s="179">
        <f>E199</f>
        <v>219.418599054541</v>
      </c>
      <c r="D199" s="171">
        <f>G199</f>
        <v>202.59159905454101</v>
      </c>
      <c r="E199" s="168">
        <v>219.418599054541</v>
      </c>
      <c r="G199" s="168">
        <v>202.59159905454101</v>
      </c>
      <c r="I199" s="168">
        <v>138.4</v>
      </c>
      <c r="J199" s="168">
        <v>1</v>
      </c>
      <c r="K199" s="168">
        <v>2015</v>
      </c>
      <c r="L199" s="188">
        <v>19630</v>
      </c>
      <c r="M199" s="188">
        <v>957.60520650282388</v>
      </c>
      <c r="N199" s="176">
        <f t="shared" si="15"/>
        <v>1071.8224604504062</v>
      </c>
      <c r="O199" s="188">
        <v>9848</v>
      </c>
      <c r="P199" s="188">
        <v>1279.8360091262539</v>
      </c>
      <c r="Q199" s="176">
        <f t="shared" si="11"/>
        <v>1432.4869695355867</v>
      </c>
      <c r="R199" s="188">
        <v>7135</v>
      </c>
      <c r="S199" s="188">
        <v>155.36971992416409</v>
      </c>
      <c r="T199" s="176">
        <f t="shared" si="12"/>
        <v>173.90126364994546</v>
      </c>
    </row>
    <row r="200" spans="1:20" x14ac:dyDescent="0.2">
      <c r="A200" s="168">
        <v>2</v>
      </c>
      <c r="C200" s="179">
        <f>+E200-E199</f>
        <v>188.69592411436798</v>
      </c>
      <c r="D200" s="171">
        <f>+G200-G199</f>
        <v>171.45081948058601</v>
      </c>
      <c r="E200" s="168">
        <v>408.11452316890899</v>
      </c>
      <c r="G200" s="168">
        <v>374.04241853512701</v>
      </c>
      <c r="I200" s="168">
        <v>139.6</v>
      </c>
      <c r="J200" s="168">
        <v>2</v>
      </c>
      <c r="L200" s="188">
        <v>15703.949675889351</v>
      </c>
      <c r="M200" s="188">
        <v>739.71582874915612</v>
      </c>
      <c r="N200" s="176">
        <f t="shared" si="15"/>
        <v>820.82757694813699</v>
      </c>
      <c r="O200" s="188">
        <v>5422.7168724637304</v>
      </c>
      <c r="P200" s="188">
        <v>1206.7408437095464</v>
      </c>
      <c r="Q200" s="176">
        <f t="shared" si="11"/>
        <v>1339.0630891614371</v>
      </c>
      <c r="R200" s="188">
        <v>9988.3050621118018</v>
      </c>
      <c r="S200" s="188">
        <v>168.85276765034422</v>
      </c>
      <c r="T200" s="176">
        <f t="shared" si="12"/>
        <v>187.36790906014113</v>
      </c>
    </row>
    <row r="201" spans="1:20" x14ac:dyDescent="0.2">
      <c r="A201" s="168">
        <v>3</v>
      </c>
      <c r="C201" s="179">
        <f>+E201-E200</f>
        <v>180.38826158445403</v>
      </c>
      <c r="D201" s="171">
        <f>+G201-G200</f>
        <v>162.29720926756397</v>
      </c>
      <c r="E201" s="168">
        <v>588.50278475336302</v>
      </c>
      <c r="G201" s="168">
        <v>536.33962780269098</v>
      </c>
      <c r="I201" s="168">
        <v>139.69999999999999</v>
      </c>
      <c r="J201" s="168">
        <v>3</v>
      </c>
      <c r="L201" s="188">
        <v>22728.974837944646</v>
      </c>
      <c r="M201" s="188">
        <v>979.87465749478997</v>
      </c>
      <c r="N201" s="176">
        <f t="shared" si="15"/>
        <v>1086.5421152890067</v>
      </c>
      <c r="O201" s="188">
        <v>8619.8584362319707</v>
      </c>
      <c r="P201" s="188">
        <v>1341.1049733657396</v>
      </c>
      <c r="Q201" s="176">
        <f t="shared" si="11"/>
        <v>1487.0953375923648</v>
      </c>
      <c r="R201" s="188">
        <v>10649.652531055901</v>
      </c>
      <c r="S201" s="188">
        <v>131.16322330640469</v>
      </c>
      <c r="T201" s="176">
        <f t="shared" si="12"/>
        <v>145.44142458365704</v>
      </c>
    </row>
    <row r="202" spans="1:20" x14ac:dyDescent="0.2">
      <c r="A202" s="168">
        <v>4</v>
      </c>
      <c r="C202" s="179">
        <f>+E202-E201</f>
        <v>195.22963867497901</v>
      </c>
      <c r="D202" s="171">
        <f>+G202-G201</f>
        <v>179.89113138755602</v>
      </c>
      <c r="E202" s="168">
        <v>783.73242342834203</v>
      </c>
      <c r="G202" s="168">
        <v>716.230759190247</v>
      </c>
      <c r="I202" s="168">
        <v>141.69999999999999</v>
      </c>
      <c r="J202" s="168">
        <v>4</v>
      </c>
      <c r="L202" s="188">
        <v>17661.404213438705</v>
      </c>
      <c r="M202" s="188">
        <v>882.4718984768997</v>
      </c>
      <c r="N202" s="176">
        <f t="shared" si="15"/>
        <v>964.72488082787845</v>
      </c>
      <c r="O202" s="188">
        <v>7193.856491304301</v>
      </c>
      <c r="P202" s="188">
        <v>1425.3376484527203</v>
      </c>
      <c r="Q202" s="176">
        <f t="shared" si="11"/>
        <v>1558.1897796590672</v>
      </c>
      <c r="R202" s="188">
        <v>9159.825978260902</v>
      </c>
      <c r="S202" s="188">
        <v>158.55842389179503</v>
      </c>
      <c r="T202" s="176">
        <f t="shared" si="12"/>
        <v>173.33725510951479</v>
      </c>
    </row>
    <row r="203" spans="1:20" x14ac:dyDescent="0.2">
      <c r="A203" s="168">
        <v>1</v>
      </c>
      <c r="B203" s="168">
        <v>2016</v>
      </c>
      <c r="C203" s="179">
        <f>E203</f>
        <v>217.297581707322</v>
      </c>
      <c r="D203" s="171">
        <f>G203</f>
        <v>201.19677375494101</v>
      </c>
      <c r="E203" s="168">
        <v>217.297581707322</v>
      </c>
      <c r="G203" s="168">
        <v>201.19677375494101</v>
      </c>
      <c r="I203" s="168">
        <v>142.69999999999999</v>
      </c>
      <c r="J203" s="168">
        <v>1</v>
      </c>
      <c r="K203" s="168">
        <v>2016</v>
      </c>
      <c r="L203" s="188">
        <v>20668.165818181998</v>
      </c>
      <c r="M203" s="188">
        <v>1021.6300324660001</v>
      </c>
      <c r="N203" s="176">
        <f t="shared" si="15"/>
        <v>1109.0270094900277</v>
      </c>
      <c r="O203" s="188">
        <v>6682.5362000000005</v>
      </c>
      <c r="P203" s="188">
        <v>1267.176908724</v>
      </c>
      <c r="Q203" s="176">
        <f t="shared" si="11"/>
        <v>1375.5795864622501</v>
      </c>
      <c r="R203" s="188">
        <v>6340.7358571430004</v>
      </c>
      <c r="S203" s="188">
        <v>128.592957756</v>
      </c>
      <c r="T203" s="176">
        <f t="shared" si="12"/>
        <v>139.59364823817504</v>
      </c>
    </row>
    <row r="204" spans="1:20" x14ac:dyDescent="0.2">
      <c r="A204" s="168">
        <v>2</v>
      </c>
      <c r="C204" s="179">
        <f>+E204-E203</f>
        <v>210.94903078835901</v>
      </c>
      <c r="D204" s="171">
        <f>+G204-G203</f>
        <v>192.89311593057502</v>
      </c>
      <c r="E204" s="168">
        <v>428.24661249568101</v>
      </c>
      <c r="G204" s="168">
        <v>394.08988968551603</v>
      </c>
      <c r="I204" s="168">
        <v>144.30000000000001</v>
      </c>
      <c r="J204" s="168">
        <v>2</v>
      </c>
      <c r="L204" s="188">
        <v>19039.287573122998</v>
      </c>
      <c r="M204" s="188">
        <v>795.20392340999979</v>
      </c>
      <c r="N204" s="176">
        <f t="shared" si="15"/>
        <v>853.6594023952498</v>
      </c>
      <c r="O204" s="188">
        <v>5385.3991579709982</v>
      </c>
      <c r="P204" s="188">
        <v>991.5183596400002</v>
      </c>
      <c r="Q204" s="176">
        <f t="shared" si="11"/>
        <v>1064.4049223557404</v>
      </c>
      <c r="R204" s="188">
        <v>10107.700518632999</v>
      </c>
      <c r="S204" s="188">
        <v>152.61472035099999</v>
      </c>
      <c r="T204" s="176">
        <f t="shared" si="12"/>
        <v>163.83343584734951</v>
      </c>
    </row>
    <row r="205" spans="1:20" x14ac:dyDescent="0.2">
      <c r="A205" s="168">
        <v>3</v>
      </c>
      <c r="C205" s="179">
        <f>+E205-E204</f>
        <v>193.64755294266695</v>
      </c>
      <c r="D205" s="171">
        <f>+G205-G204</f>
        <v>175.641874720337</v>
      </c>
      <c r="E205" s="168">
        <v>621.89416543834795</v>
      </c>
      <c r="G205" s="168">
        <v>569.73176440585303</v>
      </c>
      <c r="I205" s="168">
        <v>145.30000000000001</v>
      </c>
      <c r="J205" s="168">
        <v>3</v>
      </c>
      <c r="L205" s="188">
        <v>25325.005330874006</v>
      </c>
      <c r="M205" s="188">
        <v>1404.3111468839998</v>
      </c>
      <c r="N205" s="176">
        <f t="shared" si="15"/>
        <v>1497.1667514517083</v>
      </c>
      <c r="O205" s="188">
        <v>9666.7747891530034</v>
      </c>
      <c r="P205" s="188">
        <v>1492.4533452979995</v>
      </c>
      <c r="Q205" s="176">
        <f t="shared" si="11"/>
        <v>1591.1370721730893</v>
      </c>
      <c r="R205" s="188">
        <v>10325.156290487997</v>
      </c>
      <c r="S205" s="188">
        <v>149.15188867200001</v>
      </c>
      <c r="T205" s="176">
        <f t="shared" si="12"/>
        <v>159.01408254960663</v>
      </c>
    </row>
    <row r="206" spans="1:20" x14ac:dyDescent="0.2">
      <c r="A206" s="168">
        <v>4</v>
      </c>
      <c r="C206" s="179">
        <f>+E206-E205</f>
        <v>194.66297676649504</v>
      </c>
      <c r="D206" s="171">
        <f>+G206-G205</f>
        <v>178.45454935802093</v>
      </c>
      <c r="E206" s="168">
        <v>816.55714220484299</v>
      </c>
      <c r="G206" s="168">
        <v>748.18631376387395</v>
      </c>
      <c r="I206" s="168">
        <v>146.69999999999999</v>
      </c>
      <c r="J206" s="168">
        <v>4</v>
      </c>
      <c r="L206" s="188">
        <v>18369.446222722992</v>
      </c>
      <c r="M206" s="188">
        <v>962.00640138500057</v>
      </c>
      <c r="N206" s="176">
        <f t="shared" si="15"/>
        <v>1015.8282660023655</v>
      </c>
      <c r="O206" s="188">
        <v>6575.4640743699983</v>
      </c>
      <c r="P206" s="188">
        <v>1222.1149542560006</v>
      </c>
      <c r="Q206" s="176">
        <f t="shared" si="11"/>
        <v>1290.4892452379786</v>
      </c>
      <c r="R206" s="188">
        <v>7957.0224983410008</v>
      </c>
      <c r="S206" s="188">
        <v>147.86469469900001</v>
      </c>
      <c r="T206" s="176">
        <f t="shared" si="12"/>
        <v>156.13735646956613</v>
      </c>
    </row>
    <row r="207" spans="1:20" x14ac:dyDescent="0.2">
      <c r="A207" s="168">
        <v>1</v>
      </c>
      <c r="B207" s="168">
        <v>2017</v>
      </c>
      <c r="C207" s="179">
        <f>E207</f>
        <v>227.02914608932699</v>
      </c>
      <c r="D207" s="171">
        <f>G207</f>
        <v>210.737716871462</v>
      </c>
      <c r="E207" s="168">
        <v>227.02914608932699</v>
      </c>
      <c r="G207" s="168">
        <v>210.737716871462</v>
      </c>
      <c r="I207" s="168">
        <v>146.4</v>
      </c>
      <c r="J207" s="168">
        <v>1</v>
      </c>
      <c r="K207" s="168">
        <v>2017</v>
      </c>
      <c r="L207" s="188">
        <v>20188.970584052</v>
      </c>
      <c r="M207" s="188">
        <v>1029.1484993670001</v>
      </c>
      <c r="N207" s="176">
        <f t="shared" si="15"/>
        <v>1088.9536964869781</v>
      </c>
      <c r="O207" s="188">
        <v>7124.2571060979999</v>
      </c>
      <c r="P207" s="188">
        <v>1296.4468783369998</v>
      </c>
      <c r="Q207" s="176">
        <f t="shared" si="11"/>
        <v>1371.78514211741</v>
      </c>
      <c r="R207" s="188">
        <v>6121.3819215860003</v>
      </c>
      <c r="S207" s="188">
        <v>141.149656131</v>
      </c>
      <c r="T207" s="176">
        <f t="shared" si="12"/>
        <v>149.35205161962352</v>
      </c>
    </row>
    <row r="208" spans="1:20" x14ac:dyDescent="0.2">
      <c r="A208" s="168">
        <v>2</v>
      </c>
      <c r="C208" s="179">
        <f>+E208-E207</f>
        <v>200.76722202181199</v>
      </c>
      <c r="D208" s="171">
        <f>+G208-G207</f>
        <v>183.70797761744905</v>
      </c>
      <c r="E208" s="168">
        <v>427.79636811113897</v>
      </c>
      <c r="G208" s="168">
        <v>394.44569448891104</v>
      </c>
      <c r="I208" s="168">
        <v>147.4</v>
      </c>
      <c r="J208" s="168">
        <v>2</v>
      </c>
      <c r="L208" s="188">
        <v>16357.538075795001</v>
      </c>
      <c r="M208" s="188">
        <v>768.50776898899994</v>
      </c>
      <c r="N208" s="176">
        <f t="shared" si="15"/>
        <v>807.65004901399948</v>
      </c>
      <c r="O208" s="188">
        <v>5007.3623026510004</v>
      </c>
      <c r="P208" s="188">
        <v>1681.8190342150001</v>
      </c>
      <c r="Q208" s="176">
        <f t="shared" si="11"/>
        <v>1767.4788469651301</v>
      </c>
      <c r="R208" s="188">
        <v>7194.9193664359991</v>
      </c>
      <c r="S208" s="188">
        <v>119.946167266</v>
      </c>
      <c r="T208" s="176">
        <f t="shared" si="12"/>
        <v>126.05536571070488</v>
      </c>
    </row>
    <row r="209" spans="1:20" x14ac:dyDescent="0.2">
      <c r="A209" s="168">
        <v>3</v>
      </c>
      <c r="C209" s="179">
        <f>+E209-E208</f>
        <v>195.05863188886104</v>
      </c>
      <c r="D209" s="171">
        <f>+G209-G208</f>
        <v>176.76630551108894</v>
      </c>
      <c r="E209" s="168">
        <v>622.85500000000002</v>
      </c>
      <c r="G209" s="168">
        <v>571.21199999999999</v>
      </c>
      <c r="I209" s="168">
        <v>147.30000000000001</v>
      </c>
      <c r="J209" s="168">
        <v>3</v>
      </c>
      <c r="L209" s="188">
        <v>19399</v>
      </c>
      <c r="M209" s="188">
        <v>907</v>
      </c>
      <c r="N209" s="176">
        <f t="shared" si="15"/>
        <v>953.84319416157507</v>
      </c>
      <c r="O209" s="188">
        <v>8892</v>
      </c>
      <c r="P209" s="188">
        <v>954</v>
      </c>
      <c r="Q209" s="176">
        <f t="shared" si="11"/>
        <v>1003.2705702647659</v>
      </c>
      <c r="R209" s="188">
        <v>8727</v>
      </c>
      <c r="S209" s="188">
        <v>128</v>
      </c>
      <c r="T209" s="176">
        <f t="shared" si="12"/>
        <v>134.61072640868974</v>
      </c>
    </row>
    <row r="210" spans="1:20" x14ac:dyDescent="0.2">
      <c r="A210" s="168">
        <v>4</v>
      </c>
      <c r="C210" s="179">
        <f>+E210-E209</f>
        <v>225.423</v>
      </c>
      <c r="D210" s="171">
        <f>+G210-G209</f>
        <v>208.21799999999996</v>
      </c>
      <c r="E210" s="168">
        <v>848.27800000000002</v>
      </c>
      <c r="G210" s="168">
        <v>779.43</v>
      </c>
      <c r="I210" s="168">
        <v>148.4</v>
      </c>
      <c r="J210" s="168">
        <v>4</v>
      </c>
      <c r="L210" s="188">
        <v>23333</v>
      </c>
      <c r="M210" s="188">
        <v>1141</v>
      </c>
      <c r="N210" s="176">
        <f t="shared" si="15"/>
        <v>1191.0340801886794</v>
      </c>
      <c r="O210" s="188">
        <v>6366</v>
      </c>
      <c r="P210" s="188">
        <v>1205</v>
      </c>
      <c r="Q210" s="176">
        <f t="shared" si="11"/>
        <v>1257.8405491913747</v>
      </c>
      <c r="R210" s="188">
        <v>7520</v>
      </c>
      <c r="S210" s="188">
        <v>124</v>
      </c>
      <c r="T210" s="176">
        <f t="shared" si="12"/>
        <v>129.43753369272241</v>
      </c>
    </row>
    <row r="211" spans="1:20" x14ac:dyDescent="0.2">
      <c r="A211" s="168">
        <v>1</v>
      </c>
      <c r="B211" s="168">
        <v>2018</v>
      </c>
      <c r="C211" s="179">
        <f>E211</f>
        <v>241.52799999999999</v>
      </c>
      <c r="D211" s="179">
        <f>G211</f>
        <v>222.678</v>
      </c>
      <c r="E211" s="168">
        <v>241.52799999999999</v>
      </c>
      <c r="G211" s="168">
        <v>222.678</v>
      </c>
      <c r="I211" s="168">
        <v>149.69999999999999</v>
      </c>
      <c r="J211" s="168">
        <v>1</v>
      </c>
      <c r="K211" s="168">
        <v>2018</v>
      </c>
      <c r="L211" s="188">
        <v>25111</v>
      </c>
      <c r="M211" s="188">
        <v>1175</v>
      </c>
      <c r="N211" s="176">
        <f t="shared" si="15"/>
        <v>1215.8738309953242</v>
      </c>
      <c r="O211" s="188">
        <v>6317</v>
      </c>
      <c r="P211" s="188">
        <v>1262</v>
      </c>
      <c r="Q211" s="176">
        <f t="shared" si="11"/>
        <v>1305.9002338009357</v>
      </c>
      <c r="R211" s="188">
        <v>5433</v>
      </c>
      <c r="S211" s="188">
        <v>116</v>
      </c>
      <c r="T211" s="176">
        <f t="shared" si="12"/>
        <v>120.03520374081499</v>
      </c>
    </row>
    <row r="212" spans="1:20" x14ac:dyDescent="0.2">
      <c r="A212" s="168">
        <v>2</v>
      </c>
      <c r="C212" s="179">
        <f>+E212-E211</f>
        <v>226.77080239162902</v>
      </c>
      <c r="D212" s="179">
        <f>+G212-G211</f>
        <v>208.83864191330298</v>
      </c>
      <c r="E212" s="168">
        <v>468.29880239162901</v>
      </c>
      <c r="G212" s="168">
        <v>431.51664191330298</v>
      </c>
      <c r="I212" s="168">
        <v>150.80000000000001</v>
      </c>
      <c r="J212" s="168">
        <v>2</v>
      </c>
      <c r="L212" s="188">
        <v>20973.437462450995</v>
      </c>
      <c r="M212" s="188">
        <v>1076.7915513600001</v>
      </c>
      <c r="N212" s="176">
        <f t="shared" si="15"/>
        <v>1106.1212681850081</v>
      </c>
      <c r="O212" s="188">
        <v>5869.5992710140017</v>
      </c>
      <c r="P212" s="188">
        <v>1471.9660798479999</v>
      </c>
      <c r="Q212" s="176">
        <f t="shared" si="11"/>
        <v>1512.0595856369632</v>
      </c>
      <c r="R212" s="188">
        <v>9319.6839472049996</v>
      </c>
      <c r="S212" s="188">
        <v>135.61776245999999</v>
      </c>
      <c r="T212" s="176">
        <f t="shared" si="12"/>
        <v>139.311727707377</v>
      </c>
    </row>
    <row r="213" spans="1:20" x14ac:dyDescent="0.2">
      <c r="A213" s="168">
        <v>3</v>
      </c>
      <c r="C213" s="179">
        <f>+E213-E212</f>
        <v>230.04425590433516</v>
      </c>
      <c r="D213" s="179">
        <f>+G213-G212</f>
        <v>207.39460472346803</v>
      </c>
      <c r="E213" s="168">
        <v>698.34305829596417</v>
      </c>
      <c r="G213" s="168">
        <v>638.91124663677101</v>
      </c>
      <c r="I213" s="168">
        <v>152.30000000000001</v>
      </c>
      <c r="J213" s="168">
        <v>3</v>
      </c>
      <c r="L213" s="188">
        <v>22635.655438734771</v>
      </c>
      <c r="M213" s="188">
        <v>1212.1884087902995</v>
      </c>
      <c r="N213" s="176">
        <f t="shared" si="15"/>
        <v>1232.9420612914205</v>
      </c>
      <c r="O213" s="188">
        <v>10333.380031159912</v>
      </c>
      <c r="P213" s="188">
        <v>1822.4517080118057</v>
      </c>
      <c r="Q213" s="176">
        <f t="shared" si="11"/>
        <v>1853.6535650613187</v>
      </c>
      <c r="R213" s="188">
        <v>9726.2967189440697</v>
      </c>
      <c r="S213" s="188">
        <v>150.27129325880639</v>
      </c>
      <c r="T213" s="176">
        <f t="shared" si="12"/>
        <v>152.84406014765958</v>
      </c>
    </row>
    <row r="214" spans="1:20" x14ac:dyDescent="0.2">
      <c r="A214" s="168">
        <v>4</v>
      </c>
      <c r="C214" s="179">
        <f>+E214-E213</f>
        <v>212.66674917787782</v>
      </c>
      <c r="D214" s="179">
        <f>+G214-G213</f>
        <v>195.66619934230232</v>
      </c>
      <c r="E214" s="168">
        <v>911.00980747384199</v>
      </c>
      <c r="G214" s="168">
        <v>834.57744597907333</v>
      </c>
      <c r="I214" s="168">
        <v>153.6</v>
      </c>
      <c r="J214" s="168">
        <v>4</v>
      </c>
      <c r="L214" s="188">
        <v>22335.438371541502</v>
      </c>
      <c r="M214" s="188">
        <v>1078.6341079945755</v>
      </c>
      <c r="N214" s="176">
        <f t="shared" si="15"/>
        <v>1087.81584039173</v>
      </c>
      <c r="O214" s="188">
        <v>7362.2217963768126</v>
      </c>
      <c r="P214" s="188">
        <v>1452.0805351783911</v>
      </c>
      <c r="Q214" s="176">
        <f t="shared" si="11"/>
        <v>1464.4411816611112</v>
      </c>
      <c r="R214" s="188">
        <v>8182.2589673913026</v>
      </c>
      <c r="S214" s="188">
        <v>116.53210966099653</v>
      </c>
      <c r="T214" s="176">
        <f t="shared" si="12"/>
        <v>117.52407407103401</v>
      </c>
    </row>
    <row r="215" spans="1:20" x14ac:dyDescent="0.2">
      <c r="A215" s="168">
        <v>1</v>
      </c>
      <c r="B215" s="168">
        <v>2019</v>
      </c>
      <c r="C215" s="179">
        <f>E215</f>
        <v>242.05576995515696</v>
      </c>
      <c r="D215" s="179">
        <f>G215</f>
        <v>223.58363596412556</v>
      </c>
      <c r="E215" s="168">
        <v>242.05576995515696</v>
      </c>
      <c r="G215" s="168">
        <v>223.58363596412556</v>
      </c>
      <c r="I215" s="168">
        <v>154.1</v>
      </c>
      <c r="J215" s="168">
        <v>1</v>
      </c>
      <c r="K215" s="168">
        <v>2019</v>
      </c>
      <c r="L215" s="188">
        <v>22394.924612648225</v>
      </c>
      <c r="M215" s="188">
        <v>1151.1138601930163</v>
      </c>
      <c r="N215" s="176">
        <f t="shared" si="15"/>
        <v>1157.1458163390637</v>
      </c>
      <c r="O215" s="188">
        <v>6179.0660115942028</v>
      </c>
      <c r="P215" s="188">
        <v>1384.5030606846908</v>
      </c>
      <c r="Q215" s="176">
        <f t="shared" si="11"/>
        <v>1391.7580004738079</v>
      </c>
      <c r="R215" s="188">
        <v>6840.1016739130437</v>
      </c>
      <c r="S215" s="188">
        <v>122.43916062391185</v>
      </c>
      <c r="T215" s="176">
        <f t="shared" si="12"/>
        <v>123.08075453827793</v>
      </c>
    </row>
    <row r="216" spans="1:20" x14ac:dyDescent="0.2">
      <c r="A216" s="168">
        <v>2</v>
      </c>
      <c r="C216" s="179">
        <f>+E216-E215</f>
        <v>221.71122705530604</v>
      </c>
      <c r="D216" s="179">
        <f>+G216-G215</f>
        <v>199.97176164424542</v>
      </c>
      <c r="E216" s="168">
        <v>463.766997010463</v>
      </c>
      <c r="G216" s="168">
        <v>423.55539760837098</v>
      </c>
      <c r="I216" s="168">
        <v>154.6</v>
      </c>
      <c r="J216" s="168">
        <v>2</v>
      </c>
      <c r="L216" s="188">
        <v>19703.243703557309</v>
      </c>
      <c r="M216" s="188">
        <v>1006.9446819648526</v>
      </c>
      <c r="N216" s="176">
        <f t="shared" si="15"/>
        <v>1008.9474988452163</v>
      </c>
      <c r="O216" s="188">
        <v>8628.701004347824</v>
      </c>
      <c r="P216" s="188">
        <v>1346.7424148398591</v>
      </c>
      <c r="Q216" s="176">
        <f t="shared" si="11"/>
        <v>1349.4210907296606</v>
      </c>
      <c r="R216" s="188">
        <v>10227.612341614906</v>
      </c>
      <c r="S216" s="188">
        <v>141.53554504088498</v>
      </c>
      <c r="T216" s="176">
        <f t="shared" si="12"/>
        <v>141.8170597892684</v>
      </c>
    </row>
    <row r="217" spans="1:20" x14ac:dyDescent="0.2">
      <c r="A217" s="168">
        <v>3</v>
      </c>
      <c r="C217" s="179">
        <f>+E217-E216</f>
        <v>200.66800298953694</v>
      </c>
      <c r="D217" s="179">
        <f>+G217-G216</f>
        <v>183.517602391629</v>
      </c>
      <c r="E217" s="168">
        <v>664.43499999999995</v>
      </c>
      <c r="G217" s="168">
        <v>607.07299999999998</v>
      </c>
      <c r="I217" s="168">
        <v>154.69999999999999</v>
      </c>
      <c r="J217" s="168">
        <v>3</v>
      </c>
      <c r="L217" s="188">
        <v>26165.077849802379</v>
      </c>
      <c r="M217" s="188">
        <v>1402.3482904344257</v>
      </c>
      <c r="N217" s="176">
        <f t="shared" si="15"/>
        <v>1404.2292682641942</v>
      </c>
      <c r="O217" s="188">
        <v>13748.462299275363</v>
      </c>
      <c r="P217" s="188">
        <v>1484.9789315777889</v>
      </c>
      <c r="Q217" s="176">
        <f t="shared" si="11"/>
        <v>1486.9707423619029</v>
      </c>
      <c r="R217" s="188">
        <v>10507.793672360251</v>
      </c>
      <c r="S217" s="188">
        <v>144.78676128055025</v>
      </c>
      <c r="T217" s="176">
        <f t="shared" si="12"/>
        <v>144.98096459642431</v>
      </c>
    </row>
    <row r="218" spans="1:20" x14ac:dyDescent="0.2">
      <c r="A218" s="168">
        <v>4</v>
      </c>
      <c r="C218" s="179">
        <f>+E218-E217</f>
        <v>216.91973572496272</v>
      </c>
      <c r="D218" s="179">
        <f>+G218-G217</f>
        <v>199.72038857997018</v>
      </c>
      <c r="E218" s="168">
        <v>881.35473572496267</v>
      </c>
      <c r="G218" s="168">
        <v>806.79338857997016</v>
      </c>
      <c r="I218" s="168">
        <v>156.1</v>
      </c>
      <c r="J218" s="168">
        <v>4</v>
      </c>
      <c r="L218" s="188">
        <v>22621.988837944664</v>
      </c>
      <c r="M218" s="188">
        <v>1317.7971704198299</v>
      </c>
      <c r="N218" s="176">
        <f t="shared" si="15"/>
        <v>1307.7300780064691</v>
      </c>
      <c r="O218" s="188">
        <v>7776.9221253623255</v>
      </c>
      <c r="P218" s="188">
        <v>1227.7391162265512</v>
      </c>
      <c r="Q218" s="176">
        <f t="shared" si="11"/>
        <v>1218.3600073469861</v>
      </c>
      <c r="R218" s="188">
        <v>9597.5708897515542</v>
      </c>
      <c r="S218" s="188">
        <v>133.20019148427383</v>
      </c>
      <c r="T218" s="176">
        <f t="shared" si="12"/>
        <v>132.18263076457498</v>
      </c>
    </row>
    <row r="219" spans="1:20" x14ac:dyDescent="0.2">
      <c r="A219" s="168">
        <v>1</v>
      </c>
      <c r="B219" s="168">
        <v>2020</v>
      </c>
      <c r="C219" s="179">
        <f>E219</f>
        <v>245.16278393124065</v>
      </c>
      <c r="D219" s="179">
        <f>G219</f>
        <v>227.94719714499254</v>
      </c>
      <c r="E219" s="168">
        <v>245.16278393124065</v>
      </c>
      <c r="G219" s="168">
        <v>227.94719714499254</v>
      </c>
      <c r="I219" s="168">
        <v>155.52000000000001</v>
      </c>
      <c r="J219" s="168">
        <v>1</v>
      </c>
      <c r="K219" s="168">
        <v>2020</v>
      </c>
      <c r="L219" s="188">
        <v>22417.308750988144</v>
      </c>
      <c r="M219" s="188">
        <v>1187.0066434405767</v>
      </c>
      <c r="N219" s="176">
        <f t="shared" si="15"/>
        <v>1182.3317362318105</v>
      </c>
      <c r="O219" s="188">
        <v>7817.2878601449283</v>
      </c>
      <c r="P219" s="188">
        <v>1773.3957103534681</v>
      </c>
      <c r="Q219" s="176">
        <f t="shared" si="11"/>
        <v>1766.4113683229159</v>
      </c>
      <c r="R219" s="188">
        <v>8173.2696444099374</v>
      </c>
      <c r="S219" s="188">
        <v>145.83786039029874</v>
      </c>
      <c r="T219" s="176">
        <f t="shared" si="12"/>
        <v>145.26349253092982</v>
      </c>
    </row>
    <row r="220" spans="1:20" x14ac:dyDescent="0.2">
      <c r="A220" s="168">
        <v>2</v>
      </c>
      <c r="C220" s="179">
        <f>+E220-E219</f>
        <v>219.4338294469357</v>
      </c>
      <c r="D220" s="179">
        <f>+G220-G219</f>
        <v>199.23928355754859</v>
      </c>
      <c r="E220" s="187">
        <v>464.59661337817636</v>
      </c>
      <c r="G220" s="168">
        <v>427.18648070254113</v>
      </c>
      <c r="I220" s="168">
        <v>156.5</v>
      </c>
      <c r="J220" s="168">
        <v>2</v>
      </c>
      <c r="L220" s="188">
        <v>20318.697663474304</v>
      </c>
      <c r="M220" s="188">
        <v>1003.3659178621033</v>
      </c>
      <c r="N220" s="176">
        <f t="shared" si="15"/>
        <v>993.15594837842684</v>
      </c>
      <c r="O220" s="188">
        <v>6698.4276256020294</v>
      </c>
      <c r="P220" s="188">
        <v>1195.3385633418739</v>
      </c>
      <c r="Q220" s="176">
        <f t="shared" si="11"/>
        <v>1183.1751341909353</v>
      </c>
      <c r="R220" s="188">
        <v>9378.7613872911825</v>
      </c>
      <c r="S220" s="188">
        <v>125.6048434375343</v>
      </c>
      <c r="T220" s="176">
        <f t="shared" si="12"/>
        <v>124.32672386453578</v>
      </c>
    </row>
    <row r="221" spans="1:20" x14ac:dyDescent="0.2">
      <c r="A221" s="168">
        <v>3</v>
      </c>
      <c r="C221" s="179">
        <f>+E221-E220</f>
        <v>230.4091689088192</v>
      </c>
      <c r="D221" s="179">
        <f>+G221-G220</f>
        <v>212.03913512705532</v>
      </c>
      <c r="E221" s="187">
        <v>695.00578228699555</v>
      </c>
      <c r="G221" s="168">
        <v>639.22561582959645</v>
      </c>
      <c r="I221" s="168">
        <v>157.34</v>
      </c>
      <c r="J221" s="168">
        <v>3</v>
      </c>
      <c r="L221" s="188">
        <v>23115.129949173919</v>
      </c>
      <c r="M221" s="188">
        <v>1190.2908927373355</v>
      </c>
      <c r="N221" s="176">
        <f t="shared" si="15"/>
        <v>1171.8888169995478</v>
      </c>
      <c r="O221" s="188">
        <v>9381.5569490356484</v>
      </c>
      <c r="P221" s="188">
        <v>1044.8337260564822</v>
      </c>
      <c r="Q221" s="176">
        <f t="shared" si="11"/>
        <v>1028.6804399332309</v>
      </c>
      <c r="R221" s="188">
        <v>12479.986334758509</v>
      </c>
      <c r="S221" s="188">
        <v>159.02277544572789</v>
      </c>
      <c r="T221" s="176">
        <f t="shared" si="12"/>
        <v>156.56425948493131</v>
      </c>
    </row>
    <row r="222" spans="1:20" x14ac:dyDescent="0.2">
      <c r="A222" s="168">
        <v>4</v>
      </c>
      <c r="C222" s="179">
        <f>+E222-E221</f>
        <v>210.53825269058302</v>
      </c>
      <c r="D222" s="179">
        <f>+G222-G221</f>
        <v>195.42257215246639</v>
      </c>
      <c r="E222" s="187">
        <v>905.54403497757858</v>
      </c>
      <c r="G222" s="168">
        <v>834.64818798206284</v>
      </c>
      <c r="I222" s="168">
        <v>156.08000000000001</v>
      </c>
      <c r="J222" s="168">
        <v>4</v>
      </c>
      <c r="L222" s="188">
        <v>24544.608407612643</v>
      </c>
      <c r="M222" s="188">
        <v>1241.5801516088959</v>
      </c>
      <c r="N222" s="176">
        <f t="shared" si="15"/>
        <v>1232.2531864130899</v>
      </c>
      <c r="O222" s="188">
        <v>8299.8127776884066</v>
      </c>
      <c r="P222" s="188">
        <v>1192.0542375158043</v>
      </c>
      <c r="Q222" s="176">
        <f t="shared" si="11"/>
        <v>1183.0993195667572</v>
      </c>
      <c r="R222" s="188">
        <v>9374.137683010551</v>
      </c>
      <c r="S222" s="188">
        <v>112.80928620726445</v>
      </c>
      <c r="T222" s="176">
        <f t="shared" si="12"/>
        <v>111.96184330568823</v>
      </c>
    </row>
    <row r="223" spans="1:20" x14ac:dyDescent="0.2">
      <c r="A223" s="168">
        <v>1</v>
      </c>
      <c r="B223" s="168">
        <v>2021</v>
      </c>
      <c r="C223" s="179">
        <f>E223</f>
        <v>246.03664372197312</v>
      </c>
      <c r="D223" s="179">
        <f>G223</f>
        <v>229.48208497757849</v>
      </c>
      <c r="E223" s="187">
        <v>246.03664372197312</v>
      </c>
      <c r="G223" s="168">
        <v>229.48208497757849</v>
      </c>
      <c r="I223" s="168">
        <v>155.52000000000001</v>
      </c>
      <c r="J223" s="168">
        <v>1</v>
      </c>
      <c r="K223" s="168">
        <v>2021</v>
      </c>
      <c r="L223" s="188">
        <v>34994.274094861663</v>
      </c>
      <c r="M223" s="188">
        <v>1823.5241188431366</v>
      </c>
      <c r="N223" s="176">
        <f t="shared" si="15"/>
        <v>1816.3423510782743</v>
      </c>
      <c r="O223" s="188">
        <v>8185.2405021739132</v>
      </c>
      <c r="P223" s="188">
        <v>1464.197591740502</v>
      </c>
      <c r="Q223" s="176">
        <f t="shared" si="11"/>
        <v>1458.4309956439163</v>
      </c>
      <c r="R223" s="188">
        <v>6121.5967593167707</v>
      </c>
      <c r="S223" s="188">
        <v>112.87324166947003</v>
      </c>
      <c r="T223" s="176">
        <f t="shared" si="12"/>
        <v>112.42870167125406</v>
      </c>
    </row>
    <row r="224" spans="1:20" x14ac:dyDescent="0.2">
      <c r="A224" s="168">
        <v>2</v>
      </c>
      <c r="C224" s="179">
        <f>+E224-E223</f>
        <v>241.94121614349774</v>
      </c>
      <c r="D224" s="179">
        <f>+G224-G223</f>
        <v>221.09553291479824</v>
      </c>
      <c r="E224" s="187">
        <v>487.97785986547086</v>
      </c>
      <c r="G224" s="168">
        <v>450.57761789237674</v>
      </c>
      <c r="I224" s="168">
        <v>160.69999999999999</v>
      </c>
      <c r="J224" s="168">
        <v>2</v>
      </c>
      <c r="L224" s="188">
        <v>20425.734197628459</v>
      </c>
      <c r="M224" s="188">
        <v>1061.5540769322004</v>
      </c>
      <c r="N224" s="176">
        <f t="shared" si="15"/>
        <v>1023.2899077310196</v>
      </c>
      <c r="O224" s="188">
        <v>6967.5044210144924</v>
      </c>
      <c r="P224" s="188">
        <v>1472.113681221721</v>
      </c>
      <c r="Q224" s="176">
        <f t="shared" si="11"/>
        <v>1419.0507160787417</v>
      </c>
      <c r="R224" s="188">
        <v>8820.4369021739112</v>
      </c>
      <c r="S224" s="188">
        <v>115.80617621183073</v>
      </c>
      <c r="T224" s="176">
        <f t="shared" si="12"/>
        <v>111.63189322672167</v>
      </c>
    </row>
    <row r="225" spans="1:20" x14ac:dyDescent="0.2">
      <c r="A225" s="168">
        <v>3</v>
      </c>
      <c r="C225" s="179">
        <f>+E225-E224</f>
        <v>223.16246838565024</v>
      </c>
      <c r="D225" s="179">
        <f>+G225-G224</f>
        <v>200.9504247085203</v>
      </c>
      <c r="E225" s="187">
        <v>711.1403282511211</v>
      </c>
      <c r="G225" s="168">
        <v>651.52804260089704</v>
      </c>
      <c r="I225" s="168">
        <v>162.66</v>
      </c>
      <c r="J225" s="168">
        <v>3</v>
      </c>
      <c r="L225" s="188">
        <v>24805.341992094851</v>
      </c>
      <c r="M225" s="188">
        <v>1156.0227184873836</v>
      </c>
      <c r="N225" s="176">
        <f t="shared" si="15"/>
        <v>1100.9257916149293</v>
      </c>
      <c r="O225" s="188">
        <v>11835.432255072465</v>
      </c>
      <c r="P225" s="188">
        <v>1387.9440913118756</v>
      </c>
      <c r="Q225" s="176">
        <f t="shared" si="11"/>
        <v>1321.7936144405164</v>
      </c>
      <c r="R225" s="188">
        <v>8162.7090062111811</v>
      </c>
      <c r="S225" s="188">
        <v>122.41533537856195</v>
      </c>
      <c r="T225" s="176">
        <f t="shared" si="12"/>
        <v>116.58092687295333</v>
      </c>
    </row>
    <row r="226" spans="1:20" x14ac:dyDescent="0.2">
      <c r="A226" s="168">
        <v>4</v>
      </c>
      <c r="C226" s="179">
        <f>+E226-E225</f>
        <v>240.67364342301937</v>
      </c>
      <c r="D226" s="179">
        <f>+G226-G225</f>
        <v>222.83402473841534</v>
      </c>
      <c r="E226" s="187">
        <v>951.81397167414048</v>
      </c>
      <c r="G226" s="168">
        <v>874.36206733931238</v>
      </c>
      <c r="I226" s="168">
        <v>165.17</v>
      </c>
      <c r="J226" s="168">
        <v>4</v>
      </c>
      <c r="L226" s="188">
        <v>23357.504896820246</v>
      </c>
      <c r="M226" s="188">
        <v>1294.0004472542644</v>
      </c>
      <c r="N226" s="176">
        <f t="shared" si="15"/>
        <v>1213.6003770844584</v>
      </c>
      <c r="O226" s="188">
        <v>7240.0729996128648</v>
      </c>
      <c r="P226" s="188">
        <v>1287.0604441566998</v>
      </c>
      <c r="Q226" s="176">
        <f t="shared" si="11"/>
        <v>1207.0915768796028</v>
      </c>
      <c r="R226" s="188">
        <v>8198.4054586074526</v>
      </c>
      <c r="S226" s="188">
        <v>109.38408217060596</v>
      </c>
      <c r="T226" s="176">
        <f t="shared" si="12"/>
        <v>102.58772603283373</v>
      </c>
    </row>
    <row r="227" spans="1:20" x14ac:dyDescent="0.2">
      <c r="A227" s="168">
        <v>1</v>
      </c>
      <c r="B227" s="168">
        <v>2022</v>
      </c>
      <c r="C227" s="179">
        <f>E227</f>
        <v>258.31884641255607</v>
      </c>
      <c r="D227" s="179">
        <f>G227</f>
        <v>238.37852713004486</v>
      </c>
      <c r="E227" s="187">
        <v>258.31884641255607</v>
      </c>
      <c r="G227" s="168">
        <v>238.37852713004486</v>
      </c>
      <c r="I227" s="168">
        <v>166.57</v>
      </c>
      <c r="J227" s="168">
        <v>1</v>
      </c>
      <c r="K227" s="168">
        <v>2022</v>
      </c>
      <c r="L227" s="188">
        <v>24505.067470355731</v>
      </c>
      <c r="M227" s="188">
        <v>1376.8794156428476</v>
      </c>
      <c r="N227" s="176">
        <f t="shared" si="15"/>
        <v>1280.4763647637296</v>
      </c>
      <c r="O227" s="188">
        <v>6900.0468369565224</v>
      </c>
      <c r="P227" s="188">
        <v>1583.5781374260632</v>
      </c>
      <c r="Q227" s="176">
        <f t="shared" si="11"/>
        <v>1472.702949650765</v>
      </c>
      <c r="R227" s="188">
        <v>6778.6444332298142</v>
      </c>
      <c r="S227" s="188">
        <v>123.13727232676555</v>
      </c>
      <c r="T227" s="176">
        <f t="shared" si="12"/>
        <v>114.51574120765106</v>
      </c>
    </row>
    <row r="228" spans="1:20" x14ac:dyDescent="0.2">
      <c r="A228" s="168">
        <v>2</v>
      </c>
      <c r="C228" s="179">
        <f>+E228-E227</f>
        <v>242.59168475336321</v>
      </c>
      <c r="D228" s="179">
        <f>+G228-G227</f>
        <v>221.26676780269054</v>
      </c>
      <c r="E228" s="187">
        <v>500.91053116591928</v>
      </c>
      <c r="G228" s="168">
        <v>459.6452949327354</v>
      </c>
      <c r="I228" s="168">
        <v>169.93</v>
      </c>
      <c r="J228" s="168">
        <v>2</v>
      </c>
      <c r="L228" s="188">
        <v>18109.505441201181</v>
      </c>
      <c r="M228" s="188">
        <v>1059.8182311147266</v>
      </c>
      <c r="N228" s="176">
        <f t="shared" si="15"/>
        <v>966.12600857061454</v>
      </c>
      <c r="O228" s="188">
        <v>6398.5711338452893</v>
      </c>
      <c r="P228" s="188">
        <v>1382.5138049967145</v>
      </c>
      <c r="Q228" s="176">
        <f t="shared" si="11"/>
        <v>1260.2939872154921</v>
      </c>
      <c r="R228" s="188">
        <v>11377.755536580467</v>
      </c>
      <c r="S228" s="188">
        <v>170.80171301924597</v>
      </c>
      <c r="T228" s="176">
        <f t="shared" si="12"/>
        <v>155.70215005901753</v>
      </c>
    </row>
    <row r="229" spans="1:20" x14ac:dyDescent="0.2">
      <c r="A229" s="168">
        <v>3</v>
      </c>
      <c r="C229" s="179">
        <f>+E229-E228</f>
        <v>236.3725230941705</v>
      </c>
      <c r="D229" s="179">
        <f>+G229-G228</f>
        <v>212.27484847533628</v>
      </c>
      <c r="E229" s="187">
        <v>737.28305426008978</v>
      </c>
      <c r="G229" s="168">
        <v>671.92014340807168</v>
      </c>
      <c r="I229" s="168">
        <v>173.29</v>
      </c>
      <c r="J229" s="168">
        <v>3</v>
      </c>
      <c r="L229" s="188">
        <v>22326.885249827203</v>
      </c>
      <c r="M229" s="188">
        <v>1273.4823653547851</v>
      </c>
      <c r="N229" s="176">
        <f t="shared" si="15"/>
        <v>1138.3921144393585</v>
      </c>
      <c r="O229" s="188">
        <v>9773.5265829437976</v>
      </c>
      <c r="P229" s="188">
        <v>2006.0585934441842</v>
      </c>
      <c r="Q229" s="176">
        <f t="shared" si="11"/>
        <v>1793.2570925267182</v>
      </c>
      <c r="R229" s="188">
        <v>12116.405554623785</v>
      </c>
      <c r="S229" s="188">
        <v>170.05548935231948</v>
      </c>
      <c r="T229" s="176">
        <f t="shared" si="12"/>
        <v>152.01610431556603</v>
      </c>
    </row>
    <row r="230" spans="1:20" x14ac:dyDescent="0.2">
      <c r="C230" s="179"/>
      <c r="D230" s="171"/>
      <c r="L230" s="188"/>
      <c r="M230" s="188"/>
      <c r="N230" s="176"/>
      <c r="O230" s="188"/>
      <c r="P230" s="188"/>
      <c r="Q230" s="176"/>
      <c r="R230" s="188"/>
      <c r="S230" s="188"/>
      <c r="T230" s="176"/>
    </row>
    <row r="231" spans="1:20" x14ac:dyDescent="0.2">
      <c r="C231" s="179"/>
      <c r="E231" s="172" t="s">
        <v>110</v>
      </c>
      <c r="J231" s="190"/>
      <c r="K231" s="191" t="s">
        <v>160</v>
      </c>
      <c r="L231" s="192">
        <f>L233-L228-L227</f>
        <v>22326.885249827203</v>
      </c>
      <c r="M231" s="192">
        <f>M233-M228-M227</f>
        <v>1273.4823653547851</v>
      </c>
      <c r="N231" s="193" t="s">
        <v>174</v>
      </c>
      <c r="O231" s="192">
        <f>O233-O228-O227</f>
        <v>9773.5265829437976</v>
      </c>
      <c r="P231" s="192">
        <f>P233-P228-P227</f>
        <v>2006.0585934441842</v>
      </c>
      <c r="Q231" s="193" t="s">
        <v>174</v>
      </c>
      <c r="R231" s="192">
        <f>R233-R228-R227</f>
        <v>12116.405554623785</v>
      </c>
      <c r="S231" s="192">
        <f>S233-S228-S227</f>
        <v>170.05548935231948</v>
      </c>
      <c r="T231" s="194" t="s">
        <v>174</v>
      </c>
    </row>
    <row r="232" spans="1:20" x14ac:dyDescent="0.2">
      <c r="E232" s="187">
        <f>IF('Tab5'!E8="",'Tab5'!E7,'Tab5'!E8)/1000</f>
        <v>737.28305426008978</v>
      </c>
      <c r="G232" s="187">
        <f>IF('Tab5'!E10="",'Tab5'!E9,'Tab5'!E10)/1000</f>
        <v>671.92014340807168</v>
      </c>
      <c r="K232" s="174" t="s">
        <v>188</v>
      </c>
      <c r="L232" s="195">
        <f>SUM('Tab7'!E11,'Tab11'!E11)</f>
        <v>85619.823584600817</v>
      </c>
      <c r="M232" s="196">
        <f>SUM('Tab7'!E39,'Tab11'!E39)</f>
        <v>4956.342113151095</v>
      </c>
      <c r="N232" s="197" t="s">
        <v>173</v>
      </c>
      <c r="O232" s="195">
        <f>SUM('Tab7'!E9,'Tab11'!E9)</f>
        <v>29873.132027104872</v>
      </c>
      <c r="P232" s="196">
        <f>SUM('Tab7'!E37,'Tab11'!E37)</f>
        <v>6439.0120053201335</v>
      </c>
      <c r="Q232" s="197" t="s">
        <v>173</v>
      </c>
      <c r="R232" s="195">
        <f>SUM('Tab7'!E13,'Tab11'!E13)</f>
        <v>40589.729782642768</v>
      </c>
      <c r="S232" s="196">
        <f>SUM('Tab7'!E41,'Tab11'!E41)</f>
        <v>601.27777808729491</v>
      </c>
      <c r="T232" s="198" t="s">
        <v>173</v>
      </c>
    </row>
    <row r="233" spans="1:20" x14ac:dyDescent="0.2">
      <c r="K233" s="174" t="s">
        <v>187</v>
      </c>
      <c r="L233" s="195">
        <f>SUM('Tab7'!E12,'Tab11'!E12)</f>
        <v>64941.458161384115</v>
      </c>
      <c r="M233" s="196">
        <f>SUM('Tab7'!E40,'Tab11'!E40)</f>
        <v>3710.1800121123592</v>
      </c>
      <c r="N233" s="197" t="s">
        <v>173</v>
      </c>
      <c r="O233" s="195">
        <f>SUM('Tab7'!E10,'Tab11'!E10)</f>
        <v>23072.144553745609</v>
      </c>
      <c r="P233" s="196">
        <f>SUM('Tab7'!E38,'Tab11'!E38)</f>
        <v>4972.1505358669619</v>
      </c>
      <c r="Q233" s="197" t="s">
        <v>173</v>
      </c>
      <c r="R233" s="195">
        <f>SUM('Tab7'!E14,'Tab11'!E14)</f>
        <v>30272.805524434069</v>
      </c>
      <c r="S233" s="196">
        <f>SUM('Tab7'!E42,'Tab11'!E42)</f>
        <v>463.99447469833103</v>
      </c>
      <c r="T233" s="198" t="s">
        <v>173</v>
      </c>
    </row>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ignoredErrors>
    <ignoredError sqref="C135:D227" formula="1"/>
    <ignoredError sqref="J6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144</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v>
      </c>
      <c r="B7" s="19" t="s">
        <v>3</v>
      </c>
      <c r="C7" s="20">
        <v>2421842.5613065525</v>
      </c>
      <c r="D7" s="20">
        <v>2275081.0938493535</v>
      </c>
      <c r="E7" s="79">
        <v>2499177.1089680842</v>
      </c>
      <c r="F7" s="22" t="s">
        <v>240</v>
      </c>
      <c r="G7" s="23">
        <v>3.1932111895750523</v>
      </c>
      <c r="H7" s="24">
        <v>9.850023180473471</v>
      </c>
    </row>
    <row r="8" spans="1:8" x14ac:dyDescent="0.2">
      <c r="A8" s="206"/>
      <c r="B8" s="25" t="s">
        <v>241</v>
      </c>
      <c r="C8" s="26">
        <v>1841095.2179925563</v>
      </c>
      <c r="D8" s="26">
        <v>1682597.5964046796</v>
      </c>
      <c r="E8" s="26">
        <v>1865203.9782085943</v>
      </c>
      <c r="F8" s="27"/>
      <c r="G8" s="28">
        <v>1.3094792697536235</v>
      </c>
      <c r="H8" s="29">
        <v>10.852647251731611</v>
      </c>
    </row>
    <row r="9" spans="1:8" x14ac:dyDescent="0.2">
      <c r="A9" s="30" t="s">
        <v>4</v>
      </c>
      <c r="B9" s="31" t="s">
        <v>3</v>
      </c>
      <c r="C9" s="20">
        <v>735648.49503139011</v>
      </c>
      <c r="D9" s="20">
        <v>731632.30798953655</v>
      </c>
      <c r="E9" s="20">
        <v>786652.60402734531</v>
      </c>
      <c r="F9" s="22" t="s">
        <v>240</v>
      </c>
      <c r="G9" s="32">
        <v>6.9332173368721328</v>
      </c>
      <c r="H9" s="33">
        <v>7.5202113735244751</v>
      </c>
    </row>
    <row r="10" spans="1:8" x14ac:dyDescent="0.2">
      <c r="A10" s="34"/>
      <c r="B10" s="25" t="s">
        <v>241</v>
      </c>
      <c r="C10" s="26">
        <v>532674.99829820625</v>
      </c>
      <c r="D10" s="26">
        <v>554753.82544843049</v>
      </c>
      <c r="E10" s="26">
        <v>587239.93003587448</v>
      </c>
      <c r="F10" s="27"/>
      <c r="G10" s="28">
        <v>10.243569139154758</v>
      </c>
      <c r="H10" s="29">
        <v>5.8559496297631028</v>
      </c>
    </row>
    <row r="11" spans="1:8" x14ac:dyDescent="0.2">
      <c r="A11" s="30" t="s">
        <v>5</v>
      </c>
      <c r="B11" s="31" t="s">
        <v>3</v>
      </c>
      <c r="C11" s="20">
        <v>169895.53994618845</v>
      </c>
      <c r="D11" s="20">
        <v>220181.66368460387</v>
      </c>
      <c r="E11" s="20">
        <v>193178.83074895162</v>
      </c>
      <c r="F11" s="22" t="s">
        <v>240</v>
      </c>
      <c r="G11" s="37">
        <v>13.704474414182826</v>
      </c>
      <c r="H11" s="33">
        <v>-12.263888138447385</v>
      </c>
    </row>
    <row r="12" spans="1:8" x14ac:dyDescent="0.2">
      <c r="A12" s="34"/>
      <c r="B12" s="25" t="s">
        <v>241</v>
      </c>
      <c r="C12" s="26">
        <v>162330.78398878919</v>
      </c>
      <c r="D12" s="26">
        <v>156386.50280269061</v>
      </c>
      <c r="E12" s="26">
        <v>150043.12422421528</v>
      </c>
      <c r="F12" s="27"/>
      <c r="G12" s="28">
        <v>-7.5695191402651716</v>
      </c>
      <c r="H12" s="29">
        <v>-4.0562187048063976</v>
      </c>
    </row>
    <row r="13" spans="1:8" x14ac:dyDescent="0.2">
      <c r="A13" s="30" t="s">
        <v>6</v>
      </c>
      <c r="B13" s="31" t="s">
        <v>3</v>
      </c>
      <c r="C13" s="20">
        <v>479818.33846073353</v>
      </c>
      <c r="D13" s="20">
        <v>455343.2281054082</v>
      </c>
      <c r="E13" s="20">
        <v>398587.1334314674</v>
      </c>
      <c r="F13" s="22" t="s">
        <v>240</v>
      </c>
      <c r="G13" s="23">
        <v>-16.929574907423799</v>
      </c>
      <c r="H13" s="24">
        <v>-12.464464423922919</v>
      </c>
    </row>
    <row r="14" spans="1:8" x14ac:dyDescent="0.2">
      <c r="A14" s="34"/>
      <c r="B14" s="25" t="s">
        <v>241</v>
      </c>
      <c r="C14" s="26">
        <v>357034.97546172765</v>
      </c>
      <c r="D14" s="26">
        <v>352921.90535237797</v>
      </c>
      <c r="E14" s="26">
        <v>304705.64875623921</v>
      </c>
      <c r="F14" s="27"/>
      <c r="G14" s="38">
        <v>-14.656638789467252</v>
      </c>
      <c r="H14" s="24">
        <v>-13.662018668973474</v>
      </c>
    </row>
    <row r="15" spans="1:8" x14ac:dyDescent="0.2">
      <c r="A15" s="30" t="s">
        <v>168</v>
      </c>
      <c r="B15" s="31" t="s">
        <v>3</v>
      </c>
      <c r="C15" s="20">
        <v>45810.752901417422</v>
      </c>
      <c r="D15" s="20">
        <v>47091.596212135693</v>
      </c>
      <c r="E15" s="20">
        <v>43257.693438059599</v>
      </c>
      <c r="F15" s="22" t="s">
        <v>240</v>
      </c>
      <c r="G15" s="37">
        <v>-5.5730572008975372</v>
      </c>
      <c r="H15" s="33">
        <v>-8.1413735835271694</v>
      </c>
    </row>
    <row r="16" spans="1:8" x14ac:dyDescent="0.2">
      <c r="A16" s="34"/>
      <c r="B16" s="25" t="s">
        <v>241</v>
      </c>
      <c r="C16" s="26">
        <v>33616.30625895843</v>
      </c>
      <c r="D16" s="26">
        <v>35814.894648829431</v>
      </c>
      <c r="E16" s="26">
        <v>32504.417029049211</v>
      </c>
      <c r="F16" s="27"/>
      <c r="G16" s="28">
        <v>-3.3075889461023422</v>
      </c>
      <c r="H16" s="29">
        <v>-9.243298499800062</v>
      </c>
    </row>
    <row r="17" spans="1:8" x14ac:dyDescent="0.2">
      <c r="A17" s="30" t="s">
        <v>7</v>
      </c>
      <c r="B17" s="31" t="s">
        <v>3</v>
      </c>
      <c r="C17" s="20">
        <v>8509.779069387756</v>
      </c>
      <c r="D17" s="20">
        <v>8798.6610285714287</v>
      </c>
      <c r="E17" s="20">
        <v>8715.8690944668379</v>
      </c>
      <c r="F17" s="22" t="s">
        <v>240</v>
      </c>
      <c r="G17" s="23">
        <v>2.4218022982576599</v>
      </c>
      <c r="H17" s="24">
        <v>-0.94096060566198503</v>
      </c>
    </row>
    <row r="18" spans="1:8" x14ac:dyDescent="0.2">
      <c r="A18" s="30"/>
      <c r="B18" s="25" t="s">
        <v>241</v>
      </c>
      <c r="C18" s="26">
        <v>6161.3536816326532</v>
      </c>
      <c r="D18" s="26">
        <v>6310.199289795919</v>
      </c>
      <c r="E18" s="26">
        <v>6270.6122612244899</v>
      </c>
      <c r="F18" s="27"/>
      <c r="G18" s="38">
        <v>1.7732885537401017</v>
      </c>
      <c r="H18" s="24">
        <v>-0.6273498942488942</v>
      </c>
    </row>
    <row r="19" spans="1:8" x14ac:dyDescent="0.2">
      <c r="A19" s="39" t="s">
        <v>8</v>
      </c>
      <c r="B19" s="31" t="s">
        <v>3</v>
      </c>
      <c r="C19" s="20">
        <v>5522</v>
      </c>
      <c r="D19" s="20">
        <v>5593</v>
      </c>
      <c r="E19" s="20">
        <v>6317.8001748084698</v>
      </c>
      <c r="F19" s="22" t="s">
        <v>240</v>
      </c>
      <c r="G19" s="37">
        <v>14.411448294249723</v>
      </c>
      <c r="H19" s="33">
        <v>12.959059088297337</v>
      </c>
    </row>
    <row r="20" spans="1:8" x14ac:dyDescent="0.2">
      <c r="A20" s="34"/>
      <c r="B20" s="25" t="s">
        <v>241</v>
      </c>
      <c r="C20" s="26">
        <v>3966</v>
      </c>
      <c r="D20" s="26">
        <v>3726</v>
      </c>
      <c r="E20" s="26">
        <v>4313</v>
      </c>
      <c r="F20" s="27"/>
      <c r="G20" s="28">
        <v>8.7493696419566334</v>
      </c>
      <c r="H20" s="29">
        <v>15.754159957058505</v>
      </c>
    </row>
    <row r="21" spans="1:8" x14ac:dyDescent="0.2">
      <c r="A21" s="39" t="s">
        <v>9</v>
      </c>
      <c r="B21" s="31" t="s">
        <v>3</v>
      </c>
      <c r="C21" s="20">
        <v>27600.996666666666</v>
      </c>
      <c r="D21" s="20">
        <v>31589.073333333334</v>
      </c>
      <c r="E21" s="20">
        <v>38517.896988678702</v>
      </c>
      <c r="F21" s="22" t="s">
        <v>240</v>
      </c>
      <c r="G21" s="37">
        <v>39.552558387126027</v>
      </c>
      <c r="H21" s="33">
        <v>21.934241572176646</v>
      </c>
    </row>
    <row r="22" spans="1:8" x14ac:dyDescent="0.2">
      <c r="A22" s="34"/>
      <c r="B22" s="25" t="s">
        <v>241</v>
      </c>
      <c r="C22" s="26">
        <v>19809.1175</v>
      </c>
      <c r="D22" s="26">
        <v>22635.919999999998</v>
      </c>
      <c r="E22" s="26">
        <v>27615.32</v>
      </c>
      <c r="F22" s="27"/>
      <c r="G22" s="28">
        <v>39.407118969333169</v>
      </c>
      <c r="H22" s="29">
        <v>21.997780518750744</v>
      </c>
    </row>
    <row r="23" spans="1:8" x14ac:dyDescent="0.2">
      <c r="A23" s="39" t="s">
        <v>190</v>
      </c>
      <c r="B23" s="31" t="s">
        <v>3</v>
      </c>
      <c r="C23" s="20">
        <v>6379</v>
      </c>
      <c r="D23" s="20">
        <v>7894</v>
      </c>
      <c r="E23" s="20">
        <v>8799.4853255587932</v>
      </c>
      <c r="F23" s="22" t="s">
        <v>240</v>
      </c>
      <c r="G23" s="37">
        <v>37.944588894165122</v>
      </c>
      <c r="H23" s="33">
        <v>11.470551375206412</v>
      </c>
    </row>
    <row r="24" spans="1:8" x14ac:dyDescent="0.2">
      <c r="A24" s="34"/>
      <c r="B24" s="25" t="s">
        <v>241</v>
      </c>
      <c r="C24" s="26">
        <v>4715</v>
      </c>
      <c r="D24" s="26">
        <v>5145</v>
      </c>
      <c r="E24" s="26">
        <v>5997</v>
      </c>
      <c r="F24" s="27"/>
      <c r="G24" s="28">
        <v>27.189819724284206</v>
      </c>
      <c r="H24" s="29">
        <v>16.559766763848401</v>
      </c>
    </row>
    <row r="25" spans="1:8" x14ac:dyDescent="0.2">
      <c r="A25" s="39" t="s">
        <v>191</v>
      </c>
      <c r="B25" s="31" t="s">
        <v>3</v>
      </c>
      <c r="C25" s="20">
        <v>1472</v>
      </c>
      <c r="D25" s="20">
        <v>1922</v>
      </c>
      <c r="E25" s="20">
        <v>2007.376848625629</v>
      </c>
      <c r="F25" s="22" t="s">
        <v>240</v>
      </c>
      <c r="G25" s="37">
        <v>36.370709825110652</v>
      </c>
      <c r="H25" s="33">
        <v>4.4420836954021325</v>
      </c>
    </row>
    <row r="26" spans="1:8" x14ac:dyDescent="0.2">
      <c r="A26" s="34"/>
      <c r="B26" s="25" t="s">
        <v>241</v>
      </c>
      <c r="C26" s="26">
        <v>1127</v>
      </c>
      <c r="D26" s="26">
        <v>1435</v>
      </c>
      <c r="E26" s="26">
        <v>1501</v>
      </c>
      <c r="F26" s="27"/>
      <c r="G26" s="28">
        <v>33.185448092280382</v>
      </c>
      <c r="H26" s="29">
        <v>4.5993031358885048</v>
      </c>
    </row>
    <row r="27" spans="1:8" x14ac:dyDescent="0.2">
      <c r="A27" s="39" t="s">
        <v>192</v>
      </c>
      <c r="B27" s="31" t="s">
        <v>3</v>
      </c>
      <c r="C27" s="20">
        <v>343016</v>
      </c>
      <c r="D27" s="20">
        <v>430654</v>
      </c>
      <c r="E27" s="20">
        <v>487856.30394677079</v>
      </c>
      <c r="F27" s="22" t="s">
        <v>240</v>
      </c>
      <c r="G27" s="37">
        <v>42.225524158281473</v>
      </c>
      <c r="H27" s="33">
        <v>13.282659384742914</v>
      </c>
    </row>
    <row r="28" spans="1:8" x14ac:dyDescent="0.2">
      <c r="A28" s="34"/>
      <c r="B28" s="25" t="s">
        <v>241</v>
      </c>
      <c r="C28" s="26">
        <v>233131.40685714287</v>
      </c>
      <c r="D28" s="26">
        <v>305821</v>
      </c>
      <c r="E28" s="26">
        <v>352691.61142857146</v>
      </c>
      <c r="F28" s="27"/>
      <c r="G28" s="28">
        <v>51.28446921125996</v>
      </c>
      <c r="H28" s="29">
        <v>15.326158579224924</v>
      </c>
    </row>
    <row r="29" spans="1:8" x14ac:dyDescent="0.2">
      <c r="A29" s="30" t="s">
        <v>10</v>
      </c>
      <c r="B29" s="31" t="s">
        <v>3</v>
      </c>
      <c r="C29" s="20">
        <v>447542</v>
      </c>
      <c r="D29" s="20">
        <v>169642</v>
      </c>
      <c r="E29" s="20">
        <v>381459.77704088797</v>
      </c>
      <c r="F29" s="22" t="s">
        <v>240</v>
      </c>
      <c r="G29" s="37">
        <v>-14.7655913767003</v>
      </c>
      <c r="H29" s="33">
        <v>124.86163629342261</v>
      </c>
    </row>
    <row r="30" spans="1:8" x14ac:dyDescent="0.2">
      <c r="A30" s="30"/>
      <c r="B30" s="25" t="s">
        <v>241</v>
      </c>
      <c r="C30" s="26">
        <v>375186</v>
      </c>
      <c r="D30" s="26">
        <v>112892.84615384616</v>
      </c>
      <c r="E30" s="26">
        <v>272587</v>
      </c>
      <c r="F30" s="27"/>
      <c r="G30" s="28">
        <v>-27.346169633195274</v>
      </c>
      <c r="H30" s="29">
        <v>141.45639806842021</v>
      </c>
    </row>
    <row r="31" spans="1:8" x14ac:dyDescent="0.2">
      <c r="A31" s="39" t="s">
        <v>11</v>
      </c>
      <c r="B31" s="31" t="s">
        <v>3</v>
      </c>
      <c r="C31" s="20">
        <v>13466</v>
      </c>
      <c r="D31" s="20">
        <v>12717.945965835412</v>
      </c>
      <c r="E31" s="20">
        <v>11216.57675713897</v>
      </c>
      <c r="F31" s="22" t="s">
        <v>240</v>
      </c>
      <c r="G31" s="37">
        <v>-16.704464895745062</v>
      </c>
      <c r="H31" s="33">
        <v>-11.805123348767282</v>
      </c>
    </row>
    <row r="32" spans="1:8" x14ac:dyDescent="0.2">
      <c r="A32" s="34"/>
      <c r="B32" s="25" t="s">
        <v>241</v>
      </c>
      <c r="C32" s="26">
        <v>11333.992503086034</v>
      </c>
      <c r="D32" s="26">
        <v>10743.278054862843</v>
      </c>
      <c r="E32" s="26">
        <v>9463.556109725685</v>
      </c>
      <c r="F32" s="27"/>
      <c r="G32" s="28">
        <v>-16.50289068791129</v>
      </c>
      <c r="H32" s="29">
        <v>-11.911838626925459</v>
      </c>
    </row>
    <row r="33" spans="1:8" x14ac:dyDescent="0.2">
      <c r="A33" s="30" t="s">
        <v>12</v>
      </c>
      <c r="B33" s="31" t="s">
        <v>3</v>
      </c>
      <c r="C33" s="20">
        <v>11603.98</v>
      </c>
      <c r="D33" s="20">
        <v>11455.784425960001</v>
      </c>
      <c r="E33" s="20">
        <v>11771.430405277326</v>
      </c>
      <c r="F33" s="22" t="s">
        <v>240</v>
      </c>
      <c r="G33" s="37">
        <v>1.4430428635461681</v>
      </c>
      <c r="H33" s="33">
        <v>2.7553414727501178</v>
      </c>
    </row>
    <row r="34" spans="1:8" x14ac:dyDescent="0.2">
      <c r="A34" s="30"/>
      <c r="B34" s="25" t="s">
        <v>241</v>
      </c>
      <c r="C34" s="26">
        <v>8411.9601644300001</v>
      </c>
      <c r="D34" s="26">
        <v>8518.8459999999995</v>
      </c>
      <c r="E34" s="26">
        <v>8678.9101406499994</v>
      </c>
      <c r="F34" s="27"/>
      <c r="G34" s="28">
        <v>3.1734574463250169</v>
      </c>
      <c r="H34" s="29">
        <v>1.8789415919714827</v>
      </c>
    </row>
    <row r="35" spans="1:8" x14ac:dyDescent="0.2">
      <c r="A35" s="39" t="s">
        <v>13</v>
      </c>
      <c r="B35" s="31" t="s">
        <v>3</v>
      </c>
      <c r="C35" s="20">
        <v>50</v>
      </c>
      <c r="D35" s="20">
        <v>71</v>
      </c>
      <c r="E35" s="20">
        <v>52.515252094199461</v>
      </c>
      <c r="F35" s="22" t="s">
        <v>240</v>
      </c>
      <c r="G35" s="23">
        <v>5.0305041883989219</v>
      </c>
      <c r="H35" s="24">
        <v>-26.034856205352881</v>
      </c>
    </row>
    <row r="36" spans="1:8" x14ac:dyDescent="0.2">
      <c r="A36" s="34"/>
      <c r="B36" s="25" t="s">
        <v>241</v>
      </c>
      <c r="C36" s="26">
        <v>37</v>
      </c>
      <c r="D36" s="26">
        <v>57</v>
      </c>
      <c r="E36" s="26">
        <v>41</v>
      </c>
      <c r="F36" s="27"/>
      <c r="G36" s="28">
        <v>10.810810810810807</v>
      </c>
      <c r="H36" s="29">
        <v>-28.070175438596493</v>
      </c>
    </row>
    <row r="37" spans="1:8" x14ac:dyDescent="0.2">
      <c r="A37" s="30" t="s">
        <v>14</v>
      </c>
      <c r="B37" s="31" t="s">
        <v>3</v>
      </c>
      <c r="C37" s="40">
        <v>125507.67923076924</v>
      </c>
      <c r="D37" s="40">
        <v>140494.83310396923</v>
      </c>
      <c r="E37" s="20">
        <v>136615.04256433103</v>
      </c>
      <c r="F37" s="22" t="s">
        <v>240</v>
      </c>
      <c r="G37" s="23">
        <v>8.8499471917880186</v>
      </c>
      <c r="H37" s="24">
        <v>-2.761518309194372</v>
      </c>
    </row>
    <row r="38" spans="1:8" ht="13.5" thickBot="1" x14ac:dyDescent="0.25">
      <c r="A38" s="41"/>
      <c r="B38" s="42" t="s">
        <v>241</v>
      </c>
      <c r="C38" s="43">
        <v>91559.323278582699</v>
      </c>
      <c r="D38" s="43">
        <v>105435.37865384616</v>
      </c>
      <c r="E38" s="43">
        <v>101551.84822304423</v>
      </c>
      <c r="F38" s="44"/>
      <c r="G38" s="45">
        <v>10.913716469985047</v>
      </c>
      <c r="H38" s="46">
        <v>-3.683327627201777</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9</v>
      </c>
    </row>
    <row r="62" spans="1:8" ht="12.75" customHeight="1" x14ac:dyDescent="0.2">
      <c r="A62" s="54" t="s">
        <v>243</v>
      </c>
      <c r="G62" s="53"/>
      <c r="H62" s="201"/>
    </row>
    <row r="63" spans="1:8" x14ac:dyDescent="0.2">
      <c r="H63" s="87"/>
    </row>
    <row r="64" spans="1:8" x14ac:dyDescent="0.2">
      <c r="A64" s="207"/>
      <c r="H64" s="53"/>
    </row>
    <row r="65" spans="1:8" x14ac:dyDescent="0.2">
      <c r="A65" s="207"/>
      <c r="H65" s="53"/>
    </row>
    <row r="67" spans="1:8" ht="12.75" customHeight="1" x14ac:dyDescent="0.2"/>
    <row r="68" spans="1:8" ht="12.75" customHeight="1" x14ac:dyDescent="0.2"/>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10" ht="5.25" customHeight="1" x14ac:dyDescent="0.2"/>
    <row r="2" spans="1:10" x14ac:dyDescent="0.2">
      <c r="A2" s="92" t="s">
        <v>0</v>
      </c>
      <c r="B2" s="2"/>
      <c r="C2" s="2"/>
      <c r="D2" s="2"/>
      <c r="E2" s="2"/>
      <c r="F2" s="2"/>
      <c r="G2" s="2"/>
    </row>
    <row r="3" spans="1:10" ht="6" customHeight="1" x14ac:dyDescent="0.25">
      <c r="A3" s="3"/>
      <c r="B3" s="2"/>
      <c r="C3" s="2"/>
      <c r="D3" s="2"/>
      <c r="E3" s="2"/>
      <c r="F3" s="2"/>
      <c r="G3" s="2"/>
    </row>
    <row r="4" spans="1:10" ht="16.5" thickBot="1" x14ac:dyDescent="0.3">
      <c r="A4" s="4" t="s">
        <v>15</v>
      </c>
      <c r="B4" s="5"/>
      <c r="C4" s="5"/>
      <c r="D4" s="5"/>
      <c r="E4" s="5"/>
      <c r="F4" s="5"/>
      <c r="G4" s="5"/>
      <c r="H4" s="6"/>
    </row>
    <row r="5" spans="1:10" x14ac:dyDescent="0.2">
      <c r="A5" s="7"/>
      <c r="B5" s="8"/>
      <c r="C5" s="209" t="s">
        <v>16</v>
      </c>
      <c r="D5" s="203"/>
      <c r="E5" s="203"/>
      <c r="F5" s="210"/>
      <c r="G5" s="203" t="s">
        <v>1</v>
      </c>
      <c r="H5" s="204"/>
    </row>
    <row r="6" spans="1:10" x14ac:dyDescent="0.2">
      <c r="A6" s="12"/>
      <c r="B6" s="13"/>
      <c r="C6" s="14" t="s">
        <v>235</v>
      </c>
      <c r="D6" s="15" t="s">
        <v>236</v>
      </c>
      <c r="E6" s="15" t="s">
        <v>237</v>
      </c>
      <c r="F6" s="16"/>
      <c r="G6" s="17" t="s">
        <v>238</v>
      </c>
      <c r="H6" s="18" t="s">
        <v>239</v>
      </c>
    </row>
    <row r="7" spans="1:10" x14ac:dyDescent="0.2">
      <c r="A7" s="205" t="s">
        <v>2</v>
      </c>
      <c r="B7" s="19" t="s">
        <v>3</v>
      </c>
      <c r="C7" s="80">
        <v>43726.073478287661</v>
      </c>
      <c r="D7" s="80">
        <v>45680.704693907937</v>
      </c>
      <c r="E7" s="81">
        <v>50064.962671740519</v>
      </c>
      <c r="F7" s="22" t="s">
        <v>240</v>
      </c>
      <c r="G7" s="23">
        <v>14.496817777613757</v>
      </c>
      <c r="H7" s="24">
        <v>9.5976145885010311</v>
      </c>
    </row>
    <row r="8" spans="1:10" x14ac:dyDescent="0.2">
      <c r="A8" s="206"/>
      <c r="B8" s="25" t="s">
        <v>241</v>
      </c>
      <c r="C8" s="82">
        <v>33354.054099715941</v>
      </c>
      <c r="D8" s="82">
        <v>34088.239850789316</v>
      </c>
      <c r="E8" s="82">
        <v>37632.342937285452</v>
      </c>
      <c r="F8" s="27"/>
      <c r="G8" s="28">
        <v>12.826893021097391</v>
      </c>
      <c r="H8" s="29">
        <v>10.396849769918731</v>
      </c>
      <c r="J8" s="94"/>
    </row>
    <row r="9" spans="1:10" x14ac:dyDescent="0.2">
      <c r="A9" s="30" t="s">
        <v>4</v>
      </c>
      <c r="B9" s="31" t="s">
        <v>3</v>
      </c>
      <c r="C9" s="80">
        <v>11715.583932812993</v>
      </c>
      <c r="D9" s="80">
        <v>11385.695872801123</v>
      </c>
      <c r="E9" s="80">
        <v>12969.722875080985</v>
      </c>
      <c r="F9" s="22" t="s">
        <v>240</v>
      </c>
      <c r="G9" s="32">
        <v>10.704877788937182</v>
      </c>
      <c r="H9" s="33">
        <v>13.912430298299867</v>
      </c>
    </row>
    <row r="10" spans="1:10" x14ac:dyDescent="0.2">
      <c r="A10" s="34"/>
      <c r="B10" s="25" t="s">
        <v>241</v>
      </c>
      <c r="C10" s="82">
        <v>8542.1836320153106</v>
      </c>
      <c r="D10" s="82">
        <v>8663.6902981272669</v>
      </c>
      <c r="E10" s="82">
        <v>9727.6119919192242</v>
      </c>
      <c r="F10" s="27"/>
      <c r="G10" s="35">
        <v>13.877345781481893</v>
      </c>
      <c r="H10" s="29">
        <v>12.280236910383707</v>
      </c>
      <c r="J10" s="94"/>
    </row>
    <row r="11" spans="1:10" x14ac:dyDescent="0.2">
      <c r="A11" s="30" t="s">
        <v>5</v>
      </c>
      <c r="B11" s="31" t="s">
        <v>3</v>
      </c>
      <c r="C11" s="80">
        <v>3786.8559341359833</v>
      </c>
      <c r="D11" s="80">
        <v>5032.2747691775403</v>
      </c>
      <c r="E11" s="80">
        <v>4902.6388469711692</v>
      </c>
      <c r="F11" s="22" t="s">
        <v>240</v>
      </c>
      <c r="G11" s="37">
        <v>29.464625331456261</v>
      </c>
      <c r="H11" s="33">
        <v>-2.5760899027291799</v>
      </c>
    </row>
    <row r="12" spans="1:10" x14ac:dyDescent="0.2">
      <c r="A12" s="34"/>
      <c r="B12" s="25" t="s">
        <v>241</v>
      </c>
      <c r="C12" s="82">
        <v>3297.8428890743053</v>
      </c>
      <c r="D12" s="82">
        <v>3543.4529703809367</v>
      </c>
      <c r="E12" s="82">
        <v>3687.4835822994355</v>
      </c>
      <c r="F12" s="27"/>
      <c r="G12" s="28">
        <v>11.815016855897014</v>
      </c>
      <c r="H12" s="29">
        <v>4.0646965861385524</v>
      </c>
    </row>
    <row r="13" spans="1:10" x14ac:dyDescent="0.2">
      <c r="A13" s="30" t="s">
        <v>6</v>
      </c>
      <c r="B13" s="31" t="s">
        <v>3</v>
      </c>
      <c r="C13" s="80">
        <v>8740.3543440821522</v>
      </c>
      <c r="D13" s="80">
        <v>9329.6259879792105</v>
      </c>
      <c r="E13" s="80">
        <v>9337.7841840804176</v>
      </c>
      <c r="F13" s="22" t="s">
        <v>240</v>
      </c>
      <c r="G13" s="23">
        <v>6.8353045709499014</v>
      </c>
      <c r="H13" s="24">
        <v>8.7443978051410909E-2</v>
      </c>
    </row>
    <row r="14" spans="1:10" x14ac:dyDescent="0.2">
      <c r="A14" s="34"/>
      <c r="B14" s="25" t="s">
        <v>241</v>
      </c>
      <c r="C14" s="82">
        <v>6389.0238891145436</v>
      </c>
      <c r="D14" s="82">
        <v>7045.6600904351508</v>
      </c>
      <c r="E14" s="82">
        <v>6974.8124618342945</v>
      </c>
      <c r="F14" s="27"/>
      <c r="G14" s="38">
        <v>9.1686708781571866</v>
      </c>
      <c r="H14" s="24">
        <v>-1.0055499086172972</v>
      </c>
    </row>
    <row r="15" spans="1:10" x14ac:dyDescent="0.2">
      <c r="A15" s="30" t="s">
        <v>168</v>
      </c>
      <c r="B15" s="31" t="s">
        <v>3</v>
      </c>
      <c r="C15" s="80">
        <v>5870.5359812985025</v>
      </c>
      <c r="D15" s="80">
        <v>6062.0590272136797</v>
      </c>
      <c r="E15" s="80">
        <v>6641.0744734264672</v>
      </c>
      <c r="F15" s="22" t="s">
        <v>240</v>
      </c>
      <c r="G15" s="37">
        <v>13.125522006553297</v>
      </c>
      <c r="H15" s="33">
        <v>9.5514649991608849</v>
      </c>
    </row>
    <row r="16" spans="1:10" x14ac:dyDescent="0.2">
      <c r="A16" s="34"/>
      <c r="B16" s="25" t="s">
        <v>241</v>
      </c>
      <c r="C16" s="82">
        <v>4539.8772908809278</v>
      </c>
      <c r="D16" s="82">
        <v>4668.5546809425559</v>
      </c>
      <c r="E16" s="82">
        <v>5121.5470200401969</v>
      </c>
      <c r="F16" s="27"/>
      <c r="G16" s="28">
        <v>12.812454872461984</v>
      </c>
      <c r="H16" s="29">
        <v>9.7030530872176541</v>
      </c>
    </row>
    <row r="17" spans="1:8" x14ac:dyDescent="0.2">
      <c r="A17" s="30" t="s">
        <v>7</v>
      </c>
      <c r="B17" s="31" t="s">
        <v>3</v>
      </c>
      <c r="C17" s="80">
        <v>1776.8332046777334</v>
      </c>
      <c r="D17" s="80">
        <v>1811.9238978132253</v>
      </c>
      <c r="E17" s="80">
        <v>1906.603691097612</v>
      </c>
      <c r="F17" s="22" t="s">
        <v>240</v>
      </c>
      <c r="G17" s="23">
        <v>7.3034703582892178</v>
      </c>
      <c r="H17" s="24">
        <v>5.22537361523041</v>
      </c>
    </row>
    <row r="18" spans="1:8" x14ac:dyDescent="0.2">
      <c r="A18" s="30"/>
      <c r="B18" s="25" t="s">
        <v>241</v>
      </c>
      <c r="C18" s="82">
        <v>1346.5649977752034</v>
      </c>
      <c r="D18" s="82">
        <v>1366.2038966588648</v>
      </c>
      <c r="E18" s="82">
        <v>1440.0241776834371</v>
      </c>
      <c r="F18" s="27"/>
      <c r="G18" s="38">
        <v>6.9405621015433496</v>
      </c>
      <c r="H18" s="24">
        <v>5.4033136053193971</v>
      </c>
    </row>
    <row r="19" spans="1:8" x14ac:dyDescent="0.2">
      <c r="A19" s="39" t="s">
        <v>8</v>
      </c>
      <c r="B19" s="31" t="s">
        <v>3</v>
      </c>
      <c r="C19" s="80">
        <v>2036.0218121420889</v>
      </c>
      <c r="D19" s="80">
        <v>2387.3848808729376</v>
      </c>
      <c r="E19" s="80">
        <v>3021.3641127080809</v>
      </c>
      <c r="F19" s="22" t="s">
        <v>240</v>
      </c>
      <c r="G19" s="37">
        <v>48.395468785735545</v>
      </c>
      <c r="H19" s="33">
        <v>26.555384383741739</v>
      </c>
    </row>
    <row r="20" spans="1:8" x14ac:dyDescent="0.2">
      <c r="A20" s="34"/>
      <c r="B20" s="25" t="s">
        <v>241</v>
      </c>
      <c r="C20" s="82">
        <v>1496.9494315651552</v>
      </c>
      <c r="D20" s="82">
        <v>1784.3249974431346</v>
      </c>
      <c r="E20" s="82">
        <v>2245.7735524287959</v>
      </c>
      <c r="F20" s="27"/>
      <c r="G20" s="28">
        <v>50.023341141236642</v>
      </c>
      <c r="H20" s="29">
        <v>25.86123916029301</v>
      </c>
    </row>
    <row r="21" spans="1:8" x14ac:dyDescent="0.2">
      <c r="A21" s="39" t="s">
        <v>9</v>
      </c>
      <c r="B21" s="31" t="s">
        <v>3</v>
      </c>
      <c r="C21" s="80">
        <v>790.99551165503703</v>
      </c>
      <c r="D21" s="80">
        <v>1120.2980383203794</v>
      </c>
      <c r="E21" s="80">
        <v>764.60301332990468</v>
      </c>
      <c r="F21" s="22" t="s">
        <v>240</v>
      </c>
      <c r="G21" s="37">
        <v>-3.3366179625861747</v>
      </c>
      <c r="H21" s="33">
        <v>-31.750035510528505</v>
      </c>
    </row>
    <row r="22" spans="1:8" x14ac:dyDescent="0.2">
      <c r="A22" s="34"/>
      <c r="B22" s="25" t="s">
        <v>241</v>
      </c>
      <c r="C22" s="82">
        <v>621.67456663159805</v>
      </c>
      <c r="D22" s="82">
        <v>720.86371230413965</v>
      </c>
      <c r="E22" s="82">
        <v>523.63218490281838</v>
      </c>
      <c r="F22" s="27"/>
      <c r="G22" s="28">
        <v>-15.77069209377504</v>
      </c>
      <c r="H22" s="29">
        <v>-27.36044609193857</v>
      </c>
    </row>
    <row r="23" spans="1:8" x14ac:dyDescent="0.2">
      <c r="A23" s="39" t="s">
        <v>190</v>
      </c>
      <c r="B23" s="31" t="s">
        <v>3</v>
      </c>
      <c r="C23" s="80">
        <v>1443.9436886190492</v>
      </c>
      <c r="D23" s="80">
        <v>1934.5070014632756</v>
      </c>
      <c r="E23" s="80">
        <v>2129.7247225337128</v>
      </c>
      <c r="F23" s="22" t="s">
        <v>240</v>
      </c>
      <c r="G23" s="23">
        <v>47.4936134504336</v>
      </c>
      <c r="H23" s="24">
        <v>10.091342182932038</v>
      </c>
    </row>
    <row r="24" spans="1:8" x14ac:dyDescent="0.2">
      <c r="A24" s="34"/>
      <c r="B24" s="25" t="s">
        <v>241</v>
      </c>
      <c r="C24" s="82">
        <v>1072.5941125280385</v>
      </c>
      <c r="D24" s="82">
        <v>1422.9412700764183</v>
      </c>
      <c r="E24" s="82">
        <v>1576.6554695881948</v>
      </c>
      <c r="F24" s="27"/>
      <c r="G24" s="38">
        <v>46.994604125890135</v>
      </c>
      <c r="H24" s="24">
        <v>10.802568085155158</v>
      </c>
    </row>
    <row r="25" spans="1:8" x14ac:dyDescent="0.2">
      <c r="A25" s="39" t="s">
        <v>191</v>
      </c>
      <c r="B25" s="31" t="s">
        <v>3</v>
      </c>
      <c r="C25" s="80">
        <v>590.1806121196131</v>
      </c>
      <c r="D25" s="80">
        <v>604.64367061974212</v>
      </c>
      <c r="E25" s="80">
        <v>627.75281116831582</v>
      </c>
      <c r="F25" s="22" t="s">
        <v>240</v>
      </c>
      <c r="G25" s="37">
        <v>6.366220488633715</v>
      </c>
      <c r="H25" s="33">
        <v>3.8219436788096175</v>
      </c>
    </row>
    <row r="26" spans="1:8" x14ac:dyDescent="0.2">
      <c r="A26" s="34"/>
      <c r="B26" s="25" t="s">
        <v>241</v>
      </c>
      <c r="C26" s="82">
        <v>494.28345973779921</v>
      </c>
      <c r="D26" s="82">
        <v>480.0808958766014</v>
      </c>
      <c r="E26" s="82">
        <v>488.87138603305448</v>
      </c>
      <c r="F26" s="27"/>
      <c r="G26" s="38">
        <v>-1.0949332003979464</v>
      </c>
      <c r="H26" s="24">
        <v>1.8310435245297896</v>
      </c>
    </row>
    <row r="27" spans="1:8" x14ac:dyDescent="0.2">
      <c r="A27" s="39" t="s">
        <v>192</v>
      </c>
      <c r="B27" s="31" t="s">
        <v>3</v>
      </c>
      <c r="C27" s="80">
        <v>1456.5722955892095</v>
      </c>
      <c r="D27" s="80">
        <v>1704.7751721129091</v>
      </c>
      <c r="E27" s="80">
        <v>2019.6907182738667</v>
      </c>
      <c r="F27" s="22" t="s">
        <v>240</v>
      </c>
      <c r="G27" s="37">
        <v>38.660519933675232</v>
      </c>
      <c r="H27" s="33">
        <v>18.472555872024415</v>
      </c>
    </row>
    <row r="28" spans="1:8" x14ac:dyDescent="0.2">
      <c r="A28" s="34"/>
      <c r="B28" s="25" t="s">
        <v>241</v>
      </c>
      <c r="C28" s="82">
        <v>992.97695116972727</v>
      </c>
      <c r="D28" s="82">
        <v>1182.7403741772173</v>
      </c>
      <c r="E28" s="82">
        <v>1437.1313267940172</v>
      </c>
      <c r="F28" s="27"/>
      <c r="G28" s="38">
        <v>44.729575555714149</v>
      </c>
      <c r="H28" s="24">
        <v>21.508604776747291</v>
      </c>
    </row>
    <row r="29" spans="1:8" x14ac:dyDescent="0.2">
      <c r="A29" s="30" t="s">
        <v>10</v>
      </c>
      <c r="B29" s="31" t="s">
        <v>3</v>
      </c>
      <c r="C29" s="80">
        <v>2302.5662864483888</v>
      </c>
      <c r="D29" s="80">
        <v>773.78802688841336</v>
      </c>
      <c r="E29" s="80">
        <v>2334.3805730409304</v>
      </c>
      <c r="F29" s="22" t="s">
        <v>240</v>
      </c>
      <c r="G29" s="37">
        <v>1.3816881963304439</v>
      </c>
      <c r="H29" s="33">
        <v>201.68217805437394</v>
      </c>
    </row>
    <row r="30" spans="1:8" x14ac:dyDescent="0.2">
      <c r="A30" s="30"/>
      <c r="B30" s="25" t="s">
        <v>241</v>
      </c>
      <c r="C30" s="82">
        <v>2135.9802845817817</v>
      </c>
      <c r="D30" s="82">
        <v>459.27839719113013</v>
      </c>
      <c r="E30" s="82">
        <v>1574.598820771542</v>
      </c>
      <c r="F30" s="27"/>
      <c r="G30" s="28">
        <v>-26.282146322345696</v>
      </c>
      <c r="H30" s="29">
        <v>242.84190817628809</v>
      </c>
    </row>
    <row r="31" spans="1:8" x14ac:dyDescent="0.2">
      <c r="A31" s="39" t="s">
        <v>11</v>
      </c>
      <c r="B31" s="31" t="s">
        <v>3</v>
      </c>
      <c r="C31" s="80">
        <v>607.81922434697947</v>
      </c>
      <c r="D31" s="80">
        <v>593.00593686028049</v>
      </c>
      <c r="E31" s="80">
        <v>578.39063131374985</v>
      </c>
      <c r="F31" s="22" t="s">
        <v>240</v>
      </c>
      <c r="G31" s="23">
        <v>-4.8416686827973763</v>
      </c>
      <c r="H31" s="24">
        <v>-2.4646136974467083</v>
      </c>
    </row>
    <row r="32" spans="1:8" x14ac:dyDescent="0.2">
      <c r="A32" s="34"/>
      <c r="B32" s="25" t="s">
        <v>241</v>
      </c>
      <c r="C32" s="82">
        <v>517.48476821085421</v>
      </c>
      <c r="D32" s="82">
        <v>498.32076263552295</v>
      </c>
      <c r="E32" s="82">
        <v>488.1508327755011</v>
      </c>
      <c r="F32" s="27"/>
      <c r="G32" s="38">
        <v>-5.6685601658908524</v>
      </c>
      <c r="H32" s="24">
        <v>-2.04084008184509</v>
      </c>
    </row>
    <row r="33" spans="1:8" x14ac:dyDescent="0.2">
      <c r="A33" s="30" t="s">
        <v>12</v>
      </c>
      <c r="B33" s="31" t="s">
        <v>3</v>
      </c>
      <c r="C33" s="80">
        <v>1394.3954936555808</v>
      </c>
      <c r="D33" s="80">
        <v>1493.657688654961</v>
      </c>
      <c r="E33" s="80">
        <v>1564.1255160080605</v>
      </c>
      <c r="F33" s="22" t="s">
        <v>240</v>
      </c>
      <c r="G33" s="37">
        <v>12.17230141123818</v>
      </c>
      <c r="H33" s="33">
        <v>4.7178030072308985</v>
      </c>
    </row>
    <row r="34" spans="1:8" x14ac:dyDescent="0.2">
      <c r="A34" s="30"/>
      <c r="B34" s="25" t="s">
        <v>241</v>
      </c>
      <c r="C34" s="82">
        <v>973.3508217150146</v>
      </c>
      <c r="D34" s="82">
        <v>1164.2826107355791</v>
      </c>
      <c r="E34" s="82">
        <v>1173.5719103874221</v>
      </c>
      <c r="F34" s="27"/>
      <c r="G34" s="28">
        <v>20.570290198103905</v>
      </c>
      <c r="H34" s="29">
        <v>0.79785608461284596</v>
      </c>
    </row>
    <row r="35" spans="1:8" x14ac:dyDescent="0.2">
      <c r="A35" s="39" t="s">
        <v>13</v>
      </c>
      <c r="B35" s="31" t="s">
        <v>3</v>
      </c>
      <c r="C35" s="80">
        <v>143.74115385315406</v>
      </c>
      <c r="D35" s="80">
        <v>189.00435847148509</v>
      </c>
      <c r="E35" s="80">
        <v>125.49594058632334</v>
      </c>
      <c r="F35" s="22" t="s">
        <v>240</v>
      </c>
      <c r="G35" s="23">
        <v>-12.693103386014286</v>
      </c>
      <c r="H35" s="24">
        <v>-33.601562629966125</v>
      </c>
    </row>
    <row r="36" spans="1:8" x14ac:dyDescent="0.2">
      <c r="A36" s="34"/>
      <c r="B36" s="25" t="s">
        <v>241</v>
      </c>
      <c r="C36" s="82">
        <v>124.35932278810138</v>
      </c>
      <c r="D36" s="82">
        <v>173.79863372908108</v>
      </c>
      <c r="E36" s="82">
        <v>113.03108335052377</v>
      </c>
      <c r="F36" s="27"/>
      <c r="G36" s="28">
        <v>-9.1092804171023403</v>
      </c>
      <c r="H36" s="29">
        <v>-34.964342972501342</v>
      </c>
    </row>
    <row r="37" spans="1:8" x14ac:dyDescent="0.2">
      <c r="A37" s="30" t="s">
        <v>14</v>
      </c>
      <c r="B37" s="31" t="s">
        <v>3</v>
      </c>
      <c r="C37" s="85">
        <v>1069.6740028511836</v>
      </c>
      <c r="D37" s="85">
        <v>1258.060364658754</v>
      </c>
      <c r="E37" s="83">
        <v>1439.116422344312</v>
      </c>
      <c r="F37" s="22" t="s">
        <v>240</v>
      </c>
      <c r="G37" s="23">
        <v>34.537851579863656</v>
      </c>
      <c r="H37" s="24">
        <v>14.391682845414906</v>
      </c>
    </row>
    <row r="38" spans="1:8" ht="13.5" thickBot="1" x14ac:dyDescent="0.25">
      <c r="A38" s="41"/>
      <c r="B38" s="42" t="s">
        <v>241</v>
      </c>
      <c r="C38" s="86">
        <v>808.90768192759413</v>
      </c>
      <c r="D38" s="86">
        <v>914.0462600757055</v>
      </c>
      <c r="E38" s="86">
        <v>1059.4471364769929</v>
      </c>
      <c r="F38" s="44"/>
      <c r="G38" s="45">
        <v>30.972564625962434</v>
      </c>
      <c r="H38" s="46">
        <v>15.907387049452467</v>
      </c>
    </row>
    <row r="39" spans="1:8" x14ac:dyDescent="0.2">
      <c r="A39" s="47"/>
      <c r="B39" s="48"/>
      <c r="C39" s="49"/>
      <c r="D39" s="49"/>
      <c r="E39" s="49"/>
      <c r="F39" s="49"/>
      <c r="G39" s="50"/>
      <c r="H39" s="51"/>
    </row>
    <row r="40" spans="1:8" x14ac:dyDescent="0.2">
      <c r="A40" s="47"/>
      <c r="B40" s="48"/>
      <c r="C40" s="49"/>
      <c r="D40" s="49"/>
      <c r="E40" s="49"/>
      <c r="F40" s="49"/>
      <c r="G40" s="50"/>
      <c r="H40" s="51"/>
    </row>
    <row r="41" spans="1:8" x14ac:dyDescent="0.2">
      <c r="A41" s="47"/>
      <c r="B41" s="48"/>
      <c r="C41" s="49"/>
      <c r="D41" s="49"/>
      <c r="E41" s="49"/>
      <c r="F41" s="49"/>
      <c r="G41" s="50"/>
      <c r="H41" s="51"/>
    </row>
    <row r="42" spans="1:8" x14ac:dyDescent="0.2">
      <c r="A42" s="47"/>
      <c r="B42" s="48"/>
      <c r="C42" s="49"/>
      <c r="D42" s="49"/>
      <c r="E42" s="49"/>
      <c r="F42" s="49"/>
      <c r="G42" s="50"/>
      <c r="H42" s="51"/>
    </row>
    <row r="43" spans="1:8" x14ac:dyDescent="0.2">
      <c r="A43" s="47"/>
      <c r="B43" s="48"/>
      <c r="C43" s="49"/>
      <c r="D43" s="49"/>
      <c r="E43" s="49"/>
      <c r="F43" s="49"/>
      <c r="G43" s="50"/>
      <c r="H43" s="51"/>
    </row>
    <row r="44" spans="1:8" x14ac:dyDescent="0.2">
      <c r="A44" s="47"/>
      <c r="B44" s="48"/>
      <c r="C44" s="49"/>
      <c r="D44" s="49"/>
      <c r="E44" s="49"/>
      <c r="F44" s="49"/>
      <c r="G44" s="50"/>
      <c r="H44" s="51"/>
    </row>
    <row r="45" spans="1:8" x14ac:dyDescent="0.2">
      <c r="A45" s="47"/>
      <c r="B45" s="48"/>
      <c r="C45" s="49"/>
      <c r="D45" s="49"/>
      <c r="E45" s="49"/>
      <c r="F45" s="49"/>
      <c r="G45" s="50"/>
      <c r="H45" s="51"/>
    </row>
    <row r="46" spans="1:8" x14ac:dyDescent="0.2">
      <c r="A46" s="47"/>
      <c r="B46" s="48"/>
      <c r="C46" s="49"/>
      <c r="D46" s="49"/>
      <c r="E46" s="49"/>
      <c r="F46" s="49"/>
      <c r="G46" s="50"/>
      <c r="H46" s="51"/>
    </row>
    <row r="47" spans="1:8" x14ac:dyDescent="0.2">
      <c r="A47" s="47"/>
      <c r="B47" s="48"/>
      <c r="C47" s="49"/>
      <c r="D47" s="49"/>
      <c r="E47" s="49"/>
      <c r="F47" s="49"/>
      <c r="G47" s="50"/>
      <c r="H47" s="51"/>
    </row>
    <row r="48" spans="1:8" x14ac:dyDescent="0.2">
      <c r="A48" s="47"/>
      <c r="B48" s="48"/>
      <c r="C48" s="49"/>
      <c r="D48" s="49"/>
      <c r="E48" s="49"/>
      <c r="F48" s="49"/>
      <c r="G48" s="50"/>
      <c r="H48" s="51"/>
    </row>
    <row r="49" spans="1:8" x14ac:dyDescent="0.2">
      <c r="A49" s="47"/>
      <c r="B49" s="48"/>
      <c r="C49" s="49"/>
      <c r="D49" s="49"/>
      <c r="E49" s="97"/>
      <c r="F49" s="49"/>
      <c r="G49" s="50"/>
      <c r="H49" s="51"/>
    </row>
    <row r="50" spans="1:8" x14ac:dyDescent="0.2">
      <c r="A50" s="47"/>
      <c r="B50" s="48"/>
      <c r="C50" s="49"/>
      <c r="D50" s="49"/>
      <c r="E50" s="49"/>
      <c r="F50" s="49"/>
      <c r="G50" s="50"/>
      <c r="H50" s="51"/>
    </row>
    <row r="51" spans="1:8" x14ac:dyDescent="0.2">
      <c r="A51" s="47"/>
      <c r="B51" s="48"/>
      <c r="C51" s="49"/>
      <c r="D51" s="49"/>
      <c r="E51" s="49"/>
      <c r="F51" s="49"/>
      <c r="G51" s="50"/>
      <c r="H51" s="51"/>
    </row>
    <row r="52" spans="1:8" x14ac:dyDescent="0.2">
      <c r="A52" s="47"/>
      <c r="B52" s="48"/>
      <c r="C52" s="49"/>
      <c r="D52" s="49"/>
      <c r="E52" s="49"/>
      <c r="F52" s="49"/>
      <c r="G52" s="50"/>
      <c r="H52" s="51"/>
    </row>
    <row r="53" spans="1:8" x14ac:dyDescent="0.2">
      <c r="A53" s="47"/>
      <c r="B53" s="48"/>
      <c r="C53" s="49"/>
      <c r="D53" s="49"/>
      <c r="E53" s="49"/>
      <c r="F53" s="49"/>
      <c r="G53" s="50"/>
      <c r="H53" s="51"/>
    </row>
    <row r="54" spans="1:8" x14ac:dyDescent="0.2">
      <c r="A54" s="47"/>
      <c r="B54" s="48"/>
      <c r="C54" s="49"/>
      <c r="D54" s="49"/>
      <c r="E54" s="49"/>
      <c r="F54" s="49"/>
      <c r="G54" s="50"/>
      <c r="H54" s="51"/>
    </row>
    <row r="55" spans="1:8" x14ac:dyDescent="0.2">
      <c r="A55" s="47"/>
      <c r="B55" s="48"/>
      <c r="C55" s="49"/>
      <c r="D55" s="49"/>
      <c r="E55" s="49"/>
      <c r="F55" s="49"/>
      <c r="G55" s="50"/>
      <c r="H55" s="51"/>
    </row>
    <row r="56" spans="1:8" x14ac:dyDescent="0.2">
      <c r="A56" s="47"/>
      <c r="B56" s="48"/>
      <c r="C56" s="49"/>
      <c r="D56" s="49"/>
      <c r="E56" s="49"/>
      <c r="F56" s="49"/>
      <c r="G56" s="50"/>
      <c r="H56" s="51"/>
    </row>
    <row r="57" spans="1:8" x14ac:dyDescent="0.2">
      <c r="A57" s="47"/>
      <c r="B57" s="48"/>
      <c r="C57" s="49"/>
      <c r="D57" s="49"/>
      <c r="E57" s="49"/>
      <c r="F57" s="49"/>
      <c r="G57" s="50"/>
      <c r="H57" s="51"/>
    </row>
    <row r="58" spans="1:8" x14ac:dyDescent="0.2">
      <c r="A58" s="47"/>
      <c r="B58" s="48"/>
      <c r="C58" s="49"/>
      <c r="D58" s="49"/>
      <c r="E58" s="49"/>
      <c r="F58" s="49"/>
      <c r="G58" s="50"/>
      <c r="H58" s="51"/>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H61" s="200">
        <v>10</v>
      </c>
    </row>
    <row r="62" spans="1:8" ht="12.75" customHeight="1" x14ac:dyDescent="0.2">
      <c r="A62" s="54" t="s">
        <v>243</v>
      </c>
      <c r="H62" s="201"/>
    </row>
    <row r="67" ht="12.75" customHeight="1" x14ac:dyDescent="0.2"/>
    <row r="68" ht="12.75" customHeight="1" x14ac:dyDescent="0.2"/>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145</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26</v>
      </c>
      <c r="B7" s="19" t="s">
        <v>3</v>
      </c>
      <c r="C7" s="20">
        <v>905544.03497757844</v>
      </c>
      <c r="D7" s="20">
        <v>951813.97167414054</v>
      </c>
      <c r="E7" s="21">
        <v>978078.96970490471</v>
      </c>
      <c r="F7" s="22" t="s">
        <v>240</v>
      </c>
      <c r="G7" s="23">
        <v>8.010094697285723</v>
      </c>
      <c r="H7" s="24">
        <v>2.7594675863569051</v>
      </c>
    </row>
    <row r="8" spans="1:8" x14ac:dyDescent="0.2">
      <c r="A8" s="206"/>
      <c r="B8" s="25" t="s">
        <v>241</v>
      </c>
      <c r="C8" s="26">
        <v>695005.78228699556</v>
      </c>
      <c r="D8" s="26">
        <v>711140.3282511211</v>
      </c>
      <c r="E8" s="26">
        <v>737283.05426008976</v>
      </c>
      <c r="F8" s="27"/>
      <c r="G8" s="28">
        <v>6.0830101058981114</v>
      </c>
      <c r="H8" s="29">
        <v>3.6761698036814181</v>
      </c>
    </row>
    <row r="9" spans="1:8" x14ac:dyDescent="0.2">
      <c r="A9" s="30" t="s">
        <v>28</v>
      </c>
      <c r="B9" s="31" t="s">
        <v>3</v>
      </c>
      <c r="C9" s="20">
        <v>834648.18798206281</v>
      </c>
      <c r="D9" s="20">
        <v>874362.06733931229</v>
      </c>
      <c r="E9" s="21">
        <v>893598.41989105241</v>
      </c>
      <c r="F9" s="22" t="s">
        <v>240</v>
      </c>
      <c r="G9" s="32">
        <v>7.0628838303134813</v>
      </c>
      <c r="H9" s="33">
        <v>2.2000442688778037</v>
      </c>
    </row>
    <row r="10" spans="1:8" x14ac:dyDescent="0.2">
      <c r="A10" s="34"/>
      <c r="B10" s="25" t="s">
        <v>241</v>
      </c>
      <c r="C10" s="26">
        <v>639225.61582959641</v>
      </c>
      <c r="D10" s="26">
        <v>651528.04260089691</v>
      </c>
      <c r="E10" s="26">
        <v>671920.14340807172</v>
      </c>
      <c r="F10" s="27"/>
      <c r="G10" s="35">
        <v>5.1147086050429778</v>
      </c>
      <c r="H10" s="29">
        <v>3.1298884274834222</v>
      </c>
    </row>
    <row r="11" spans="1:8" x14ac:dyDescent="0.2">
      <c r="A11" s="30" t="s">
        <v>29</v>
      </c>
      <c r="B11" s="31" t="s">
        <v>3</v>
      </c>
      <c r="C11" s="20">
        <v>29354.423497757845</v>
      </c>
      <c r="D11" s="20">
        <v>32860.952167414056</v>
      </c>
      <c r="E11" s="21">
        <v>38178.111959015689</v>
      </c>
      <c r="F11" s="22" t="s">
        <v>240</v>
      </c>
      <c r="G11" s="37">
        <v>30.059144107980217</v>
      </c>
      <c r="H11" s="33">
        <v>16.180784307504908</v>
      </c>
    </row>
    <row r="12" spans="1:8" x14ac:dyDescent="0.2">
      <c r="A12" s="34"/>
      <c r="B12" s="25" t="s">
        <v>241</v>
      </c>
      <c r="C12" s="26">
        <v>21878.08322869955</v>
      </c>
      <c r="D12" s="26">
        <v>24289.392825112107</v>
      </c>
      <c r="E12" s="26">
        <v>28297.455426008968</v>
      </c>
      <c r="F12" s="27"/>
      <c r="G12" s="28">
        <v>29.341565850195309</v>
      </c>
      <c r="H12" s="29">
        <v>16.501287742166369</v>
      </c>
    </row>
    <row r="13" spans="1:8" x14ac:dyDescent="0.2">
      <c r="A13" s="30" t="s">
        <v>27</v>
      </c>
      <c r="B13" s="31" t="s">
        <v>3</v>
      </c>
      <c r="C13" s="20">
        <v>11188.027049327355</v>
      </c>
      <c r="D13" s="20">
        <v>11475.585650224215</v>
      </c>
      <c r="E13" s="21">
        <v>11889.908825550599</v>
      </c>
      <c r="F13" s="22" t="s">
        <v>240</v>
      </c>
      <c r="G13" s="23">
        <v>6.2735080379113413</v>
      </c>
      <c r="H13" s="24">
        <v>3.6104752119408232</v>
      </c>
    </row>
    <row r="14" spans="1:8" x14ac:dyDescent="0.2">
      <c r="A14" s="34"/>
      <c r="B14" s="25" t="s">
        <v>241</v>
      </c>
      <c r="C14" s="26">
        <v>9024.024968609865</v>
      </c>
      <c r="D14" s="26">
        <v>9546.9178475336321</v>
      </c>
      <c r="E14" s="26">
        <v>9789.0366278026904</v>
      </c>
      <c r="F14" s="27"/>
      <c r="G14" s="38">
        <v>8.4774993625784845</v>
      </c>
      <c r="H14" s="24">
        <v>2.5360936810785262</v>
      </c>
    </row>
    <row r="15" spans="1:8" x14ac:dyDescent="0.2">
      <c r="A15" s="30" t="s">
        <v>30</v>
      </c>
      <c r="B15" s="31" t="s">
        <v>3</v>
      </c>
      <c r="C15" s="20">
        <v>14655.36939910314</v>
      </c>
      <c r="D15" s="20">
        <v>14735.780866965621</v>
      </c>
      <c r="E15" s="21">
        <v>15467.004699919093</v>
      </c>
      <c r="F15" s="22" t="s">
        <v>240</v>
      </c>
      <c r="G15" s="37">
        <v>5.5381429066238468</v>
      </c>
      <c r="H15" s="33">
        <v>4.9622333526465212</v>
      </c>
    </row>
    <row r="16" spans="1:8" x14ac:dyDescent="0.2">
      <c r="A16" s="34"/>
      <c r="B16" s="25" t="s">
        <v>241</v>
      </c>
      <c r="C16" s="26">
        <v>11850.03329147982</v>
      </c>
      <c r="D16" s="26">
        <v>11458.057130044843</v>
      </c>
      <c r="E16" s="26">
        <v>12182.382170403587</v>
      </c>
      <c r="F16" s="27"/>
      <c r="G16" s="28">
        <v>2.804624010320083</v>
      </c>
      <c r="H16" s="29">
        <v>6.3215345510841274</v>
      </c>
    </row>
    <row r="17" spans="1:9" x14ac:dyDescent="0.2">
      <c r="A17" s="30" t="s">
        <v>31</v>
      </c>
      <c r="B17" s="31" t="s">
        <v>3</v>
      </c>
      <c r="C17" s="20">
        <v>15698.027049327355</v>
      </c>
      <c r="D17" s="20">
        <v>18379.585650224217</v>
      </c>
      <c r="E17" s="21">
        <v>18979.732211962208</v>
      </c>
      <c r="F17" s="22" t="s">
        <v>240</v>
      </c>
      <c r="G17" s="37">
        <v>20.905207720198632</v>
      </c>
      <c r="H17" s="33">
        <v>3.265288854488773</v>
      </c>
    </row>
    <row r="18" spans="1:9" ht="13.5" thickBot="1" x14ac:dyDescent="0.25">
      <c r="A18" s="56"/>
      <c r="B18" s="42" t="s">
        <v>241</v>
      </c>
      <c r="C18" s="43">
        <v>13028.024968609865</v>
      </c>
      <c r="D18" s="43">
        <v>14317.917847533632</v>
      </c>
      <c r="E18" s="43">
        <v>15094.03662780269</v>
      </c>
      <c r="F18" s="44"/>
      <c r="G18" s="57">
        <v>15.858210773856655</v>
      </c>
      <c r="H18" s="46">
        <v>5.4206120508140145</v>
      </c>
    </row>
    <row r="19" spans="1:9" x14ac:dyDescent="0.2">
      <c r="A19" s="58"/>
      <c r="B19" s="58"/>
      <c r="C19" s="21"/>
      <c r="D19" s="21"/>
      <c r="E19" s="21"/>
      <c r="F19" s="59"/>
      <c r="G19" s="38"/>
      <c r="H19" s="60"/>
      <c r="I19" s="61"/>
    </row>
    <row r="20" spans="1:9" x14ac:dyDescent="0.2">
      <c r="A20" s="58"/>
      <c r="B20" s="62"/>
      <c r="C20" s="21"/>
      <c r="D20" s="21"/>
      <c r="E20" s="21"/>
      <c r="F20" s="63"/>
      <c r="G20" s="38"/>
      <c r="H20" s="60"/>
      <c r="I20" s="61"/>
    </row>
    <row r="21" spans="1:9" x14ac:dyDescent="0.2">
      <c r="A21" s="58"/>
      <c r="B21" s="58"/>
      <c r="C21" s="21"/>
      <c r="D21" s="21"/>
      <c r="E21" s="21"/>
      <c r="F21" s="59"/>
      <c r="G21" s="38"/>
      <c r="H21" s="60"/>
      <c r="I21" s="61"/>
    </row>
    <row r="22" spans="1:9" x14ac:dyDescent="0.2">
      <c r="A22" s="58"/>
      <c r="B22" s="62"/>
      <c r="C22" s="21"/>
      <c r="D22" s="21"/>
      <c r="E22" s="21"/>
      <c r="F22" s="63"/>
      <c r="G22" s="38"/>
      <c r="H22" s="60"/>
      <c r="I22" s="61"/>
    </row>
    <row r="23" spans="1:9" x14ac:dyDescent="0.2">
      <c r="A23" s="58"/>
      <c r="B23" s="58"/>
      <c r="C23" s="21"/>
      <c r="D23" s="21"/>
      <c r="E23" s="21"/>
      <c r="F23" s="59"/>
      <c r="G23" s="38"/>
      <c r="H23" s="60"/>
      <c r="I23" s="61"/>
    </row>
    <row r="24" spans="1:9" x14ac:dyDescent="0.2">
      <c r="A24" s="58"/>
      <c r="B24" s="62"/>
      <c r="C24" s="21"/>
      <c r="D24" s="21"/>
      <c r="E24" s="21"/>
      <c r="F24" s="63"/>
      <c r="G24" s="38"/>
      <c r="H24" s="60"/>
      <c r="I24" s="61"/>
    </row>
    <row r="25" spans="1:9" x14ac:dyDescent="0.2">
      <c r="A25" s="58"/>
      <c r="B25" s="58"/>
      <c r="C25" s="21"/>
      <c r="D25" s="21"/>
      <c r="E25" s="21"/>
      <c r="F25" s="59"/>
      <c r="G25" s="38"/>
      <c r="H25" s="60"/>
      <c r="I25" s="61"/>
    </row>
    <row r="26" spans="1:9" x14ac:dyDescent="0.2">
      <c r="A26" s="58"/>
      <c r="B26" s="62"/>
      <c r="C26" s="21"/>
      <c r="D26" s="21"/>
      <c r="E26" s="21"/>
      <c r="F26" s="63"/>
      <c r="G26" s="38"/>
      <c r="H26" s="60"/>
      <c r="I26" s="61"/>
    </row>
    <row r="27" spans="1:9" x14ac:dyDescent="0.2">
      <c r="A27" s="58"/>
      <c r="B27" s="58"/>
      <c r="C27" s="21"/>
      <c r="D27" s="21"/>
      <c r="E27" s="21"/>
      <c r="F27" s="59"/>
      <c r="G27" s="38"/>
      <c r="H27" s="60"/>
      <c r="I27" s="61"/>
    </row>
    <row r="28" spans="1:9" x14ac:dyDescent="0.2">
      <c r="A28" s="58"/>
      <c r="B28" s="62"/>
      <c r="C28" s="21"/>
      <c r="D28" s="21"/>
      <c r="E28" s="21"/>
      <c r="F28" s="63"/>
      <c r="G28" s="38"/>
      <c r="H28" s="60"/>
      <c r="I28" s="61"/>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32</v>
      </c>
      <c r="B32" s="5"/>
      <c r="C32" s="5"/>
      <c r="D32" s="5"/>
      <c r="E32" s="5"/>
      <c r="F32" s="5"/>
      <c r="G32" s="5"/>
      <c r="H32" s="6"/>
    </row>
    <row r="33" spans="1:9" x14ac:dyDescent="0.2">
      <c r="A33" s="7"/>
      <c r="B33" s="8"/>
      <c r="C33" s="209" t="s">
        <v>16</v>
      </c>
      <c r="D33" s="203"/>
      <c r="E33" s="203"/>
      <c r="F33" s="210"/>
      <c r="G33" s="203" t="s">
        <v>1</v>
      </c>
      <c r="H33" s="204"/>
    </row>
    <row r="34" spans="1:9" x14ac:dyDescent="0.2">
      <c r="A34" s="12"/>
      <c r="B34" s="13"/>
      <c r="C34" s="14" t="s">
        <v>235</v>
      </c>
      <c r="D34" s="15" t="s">
        <v>236</v>
      </c>
      <c r="E34" s="15" t="s">
        <v>237</v>
      </c>
      <c r="F34" s="16"/>
      <c r="G34" s="17" t="s">
        <v>238</v>
      </c>
      <c r="H34" s="18" t="s">
        <v>239</v>
      </c>
    </row>
    <row r="35" spans="1:9" ht="12.75" customHeight="1" x14ac:dyDescent="0.2">
      <c r="A35" s="205" t="s">
        <v>26</v>
      </c>
      <c r="B35" s="19" t="s">
        <v>3</v>
      </c>
      <c r="C35" s="80">
        <v>15502.439866948975</v>
      </c>
      <c r="D35" s="80">
        <v>16417.970641978663</v>
      </c>
      <c r="E35" s="83">
        <v>17883.307894092693</v>
      </c>
      <c r="F35" s="22" t="s">
        <v>240</v>
      </c>
      <c r="G35" s="23">
        <v>15.358021366815322</v>
      </c>
      <c r="H35" s="24">
        <v>8.9252032670063812</v>
      </c>
    </row>
    <row r="36" spans="1:9" ht="12.75" customHeight="1" x14ac:dyDescent="0.2">
      <c r="A36" s="206"/>
      <c r="B36" s="25" t="s">
        <v>241</v>
      </c>
      <c r="C36" s="82">
        <v>11840.02652108962</v>
      </c>
      <c r="D36" s="82">
        <v>12207.143268508205</v>
      </c>
      <c r="E36" s="82">
        <v>13415.09557421866</v>
      </c>
      <c r="F36" s="27"/>
      <c r="G36" s="28">
        <v>13.302918285896624</v>
      </c>
      <c r="H36" s="29">
        <v>9.89545448218594</v>
      </c>
    </row>
    <row r="37" spans="1:9" x14ac:dyDescent="0.2">
      <c r="A37" s="30" t="s">
        <v>28</v>
      </c>
      <c r="B37" s="31" t="s">
        <v>3</v>
      </c>
      <c r="C37" s="80">
        <v>12905.803856264894</v>
      </c>
      <c r="D37" s="80">
        <v>13580.769686566022</v>
      </c>
      <c r="E37" s="83">
        <v>14780.278637879921</v>
      </c>
      <c r="F37" s="22" t="s">
        <v>240</v>
      </c>
      <c r="G37" s="32">
        <v>14.524277623397296</v>
      </c>
      <c r="H37" s="33">
        <v>8.8324077279687856</v>
      </c>
    </row>
    <row r="38" spans="1:9" x14ac:dyDescent="0.2">
      <c r="A38" s="34"/>
      <c r="B38" s="25" t="s">
        <v>241</v>
      </c>
      <c r="C38" s="82">
        <v>9879.0692940696536</v>
      </c>
      <c r="D38" s="82">
        <v>10047.276186615911</v>
      </c>
      <c r="E38" s="82">
        <v>11058.249155242527</v>
      </c>
      <c r="F38" s="27"/>
      <c r="G38" s="35">
        <v>11.936143234471785</v>
      </c>
      <c r="H38" s="29">
        <v>10.062159632611127</v>
      </c>
    </row>
    <row r="39" spans="1:9" x14ac:dyDescent="0.2">
      <c r="A39" s="30" t="s">
        <v>29</v>
      </c>
      <c r="B39" s="31" t="s">
        <v>3</v>
      </c>
      <c r="C39" s="80">
        <v>929.77291269380703</v>
      </c>
      <c r="D39" s="80">
        <v>988.33799893854564</v>
      </c>
      <c r="E39" s="83">
        <v>1143.6277475002848</v>
      </c>
      <c r="F39" s="22" t="s">
        <v>240</v>
      </c>
      <c r="G39" s="37">
        <v>23.000759850798588</v>
      </c>
      <c r="H39" s="33">
        <v>15.712210673728748</v>
      </c>
    </row>
    <row r="40" spans="1:9" x14ac:dyDescent="0.2">
      <c r="A40" s="34"/>
      <c r="B40" s="25" t="s">
        <v>241</v>
      </c>
      <c r="C40" s="82">
        <v>698.38890587286267</v>
      </c>
      <c r="D40" s="82">
        <v>730.29181867195507</v>
      </c>
      <c r="E40" s="82">
        <v>849.64820760198609</v>
      </c>
      <c r="F40" s="27"/>
      <c r="G40" s="28">
        <v>21.658319663608623</v>
      </c>
      <c r="H40" s="29">
        <v>16.34365686131909</v>
      </c>
    </row>
    <row r="41" spans="1:9" x14ac:dyDescent="0.2">
      <c r="A41" s="30" t="s">
        <v>27</v>
      </c>
      <c r="B41" s="31" t="s">
        <v>3</v>
      </c>
      <c r="C41" s="80">
        <v>326.40791946298395</v>
      </c>
      <c r="D41" s="80">
        <v>418.04889219756342</v>
      </c>
      <c r="E41" s="83">
        <v>369.90025136648637</v>
      </c>
      <c r="F41" s="22" t="s">
        <v>240</v>
      </c>
      <c r="G41" s="23">
        <v>13.32453329412391</v>
      </c>
      <c r="H41" s="24">
        <v>-11.517466432687669</v>
      </c>
    </row>
    <row r="42" spans="1:9" x14ac:dyDescent="0.2">
      <c r="A42" s="34"/>
      <c r="B42" s="25" t="s">
        <v>241</v>
      </c>
      <c r="C42" s="82">
        <v>262.37186719148417</v>
      </c>
      <c r="D42" s="82">
        <v>352.51678155335691</v>
      </c>
      <c r="E42" s="82">
        <v>306.89800882603856</v>
      </c>
      <c r="F42" s="27"/>
      <c r="G42" s="38">
        <v>16.970623455623127</v>
      </c>
      <c r="H42" s="24">
        <v>-12.940879729555093</v>
      </c>
    </row>
    <row r="43" spans="1:9" x14ac:dyDescent="0.2">
      <c r="A43" s="30" t="s">
        <v>30</v>
      </c>
      <c r="B43" s="31" t="s">
        <v>3</v>
      </c>
      <c r="C43" s="80">
        <v>791.47903614085703</v>
      </c>
      <c r="D43" s="80">
        <v>831.51656987079014</v>
      </c>
      <c r="E43" s="83">
        <v>908.97438918530838</v>
      </c>
      <c r="F43" s="22" t="s">
        <v>240</v>
      </c>
      <c r="G43" s="37">
        <v>14.845036656604634</v>
      </c>
      <c r="H43" s="33">
        <v>9.3152466374247354</v>
      </c>
    </row>
    <row r="44" spans="1:9" x14ac:dyDescent="0.2">
      <c r="A44" s="34"/>
      <c r="B44" s="25" t="s">
        <v>241</v>
      </c>
      <c r="C44" s="82">
        <v>583.21671810487555</v>
      </c>
      <c r="D44" s="82">
        <v>637.14418095396013</v>
      </c>
      <c r="E44" s="82">
        <v>687.36221655685245</v>
      </c>
      <c r="F44" s="27"/>
      <c r="G44" s="28">
        <v>17.857083862477552</v>
      </c>
      <c r="H44" s="29">
        <v>7.8817380906945971</v>
      </c>
    </row>
    <row r="45" spans="1:9" x14ac:dyDescent="0.2">
      <c r="A45" s="30" t="s">
        <v>31</v>
      </c>
      <c r="B45" s="31" t="s">
        <v>3</v>
      </c>
      <c r="C45" s="80">
        <v>548.97614238643359</v>
      </c>
      <c r="D45" s="80">
        <v>599.29749440574335</v>
      </c>
      <c r="E45" s="83">
        <v>690.95546046153663</v>
      </c>
      <c r="F45" s="22" t="s">
        <v>240</v>
      </c>
      <c r="G45" s="37">
        <v>25.862566168706365</v>
      </c>
      <c r="H45" s="33">
        <v>15.294234818498651</v>
      </c>
    </row>
    <row r="46" spans="1:9" ht="13.5" thickBot="1" x14ac:dyDescent="0.25">
      <c r="A46" s="56"/>
      <c r="B46" s="42" t="s">
        <v>241</v>
      </c>
      <c r="C46" s="86">
        <v>416.97973585074226</v>
      </c>
      <c r="D46" s="86">
        <v>439.91430071301988</v>
      </c>
      <c r="E46" s="86">
        <v>512.93798599125637</v>
      </c>
      <c r="F46" s="44"/>
      <c r="G46" s="57">
        <v>23.012689080618131</v>
      </c>
      <c r="H46" s="46">
        <v>16.599525216588447</v>
      </c>
    </row>
    <row r="47" spans="1:9" x14ac:dyDescent="0.2">
      <c r="A47" s="58"/>
      <c r="B47" s="58"/>
      <c r="C47" s="21"/>
      <c r="D47" s="21"/>
      <c r="E47" s="21"/>
      <c r="F47" s="59"/>
      <c r="G47" s="38"/>
      <c r="H47" s="60"/>
      <c r="I47" s="61"/>
    </row>
    <row r="48" spans="1:9" x14ac:dyDescent="0.2">
      <c r="A48" s="58"/>
      <c r="B48" s="62"/>
      <c r="C48" s="21"/>
      <c r="D48" s="21"/>
      <c r="E48" s="21"/>
      <c r="F48" s="63"/>
      <c r="G48" s="38"/>
      <c r="H48" s="60"/>
      <c r="I48" s="61"/>
    </row>
    <row r="49" spans="1:9" x14ac:dyDescent="0.2">
      <c r="A49" s="58"/>
      <c r="B49" s="58"/>
      <c r="C49" s="21"/>
      <c r="D49" s="21"/>
      <c r="E49" s="96"/>
      <c r="F49" s="59"/>
      <c r="G49" s="38"/>
      <c r="H49" s="60"/>
      <c r="I49" s="61"/>
    </row>
    <row r="50" spans="1:9" x14ac:dyDescent="0.2">
      <c r="A50" s="58"/>
      <c r="B50" s="62"/>
      <c r="C50" s="21"/>
      <c r="D50" s="21"/>
      <c r="E50" s="21"/>
      <c r="F50" s="63"/>
      <c r="G50" s="38"/>
      <c r="H50" s="60"/>
      <c r="I50" s="61"/>
    </row>
    <row r="51" spans="1:9" x14ac:dyDescent="0.2">
      <c r="A51" s="58"/>
      <c r="B51" s="58"/>
      <c r="C51" s="21"/>
      <c r="D51" s="21"/>
      <c r="E51" s="21"/>
      <c r="F51" s="59"/>
      <c r="G51" s="38"/>
      <c r="H51" s="60"/>
      <c r="I51" s="61"/>
    </row>
    <row r="52" spans="1:9" x14ac:dyDescent="0.2">
      <c r="A52" s="58"/>
      <c r="B52" s="62"/>
      <c r="C52" s="21"/>
      <c r="D52" s="21"/>
      <c r="E52" s="21"/>
      <c r="F52" s="63"/>
      <c r="G52" s="38"/>
      <c r="H52" s="60"/>
      <c r="I52" s="61"/>
    </row>
    <row r="53" spans="1:9" x14ac:dyDescent="0.2">
      <c r="A53" s="58"/>
      <c r="B53" s="58"/>
      <c r="C53" s="21"/>
      <c r="D53" s="21"/>
      <c r="E53" s="21"/>
      <c r="F53" s="59"/>
      <c r="G53" s="38"/>
      <c r="H53" s="60"/>
      <c r="I53" s="61"/>
    </row>
    <row r="54" spans="1:9" x14ac:dyDescent="0.2">
      <c r="A54" s="58"/>
      <c r="B54" s="62"/>
      <c r="C54" s="21"/>
      <c r="D54" s="21"/>
      <c r="E54" s="21"/>
      <c r="F54" s="63"/>
      <c r="G54" s="38"/>
      <c r="H54" s="60"/>
      <c r="I54" s="61"/>
    </row>
    <row r="55" spans="1:9" x14ac:dyDescent="0.2">
      <c r="A55" s="58"/>
      <c r="B55" s="58"/>
      <c r="C55" s="21"/>
      <c r="D55" s="21"/>
      <c r="E55" s="21"/>
      <c r="F55" s="59"/>
      <c r="G55" s="38"/>
      <c r="H55" s="60"/>
      <c r="I55" s="61"/>
    </row>
    <row r="56" spans="1:9" x14ac:dyDescent="0.2">
      <c r="A56" s="58"/>
      <c r="B56" s="62"/>
      <c r="C56" s="21"/>
      <c r="D56" s="21"/>
      <c r="E56" s="21"/>
      <c r="F56" s="63"/>
      <c r="G56" s="38"/>
      <c r="H56" s="60"/>
      <c r="I56" s="61"/>
    </row>
    <row r="57" spans="1:9" x14ac:dyDescent="0.2">
      <c r="A57" s="58"/>
      <c r="B57" s="58"/>
      <c r="C57" s="64"/>
      <c r="D57" s="64"/>
      <c r="E57" s="21"/>
      <c r="F57" s="59"/>
      <c r="G57" s="38"/>
      <c r="H57" s="60"/>
      <c r="I57" s="61"/>
    </row>
    <row r="58" spans="1:9" x14ac:dyDescent="0.2">
      <c r="A58" s="58"/>
      <c r="B58" s="58"/>
      <c r="C58" s="64"/>
      <c r="D58" s="64"/>
      <c r="E58" s="21"/>
      <c r="F58" s="59"/>
      <c r="G58" s="38"/>
      <c r="H58" s="60"/>
      <c r="I58" s="61"/>
    </row>
    <row r="59" spans="1:9" x14ac:dyDescent="0.2">
      <c r="A59" s="65"/>
      <c r="B59" s="62"/>
      <c r="C59" s="21"/>
      <c r="D59" s="21"/>
      <c r="E59" s="21"/>
      <c r="F59" s="63"/>
      <c r="G59" s="38"/>
      <c r="H59" s="60"/>
      <c r="I59" s="61"/>
    </row>
    <row r="60" spans="1:9" x14ac:dyDescent="0.2">
      <c r="A60" s="52"/>
      <c r="B60" s="52"/>
      <c r="C60" s="52"/>
      <c r="D60" s="52"/>
      <c r="E60" s="52"/>
      <c r="F60" s="52"/>
      <c r="G60" s="52"/>
      <c r="H60" s="52"/>
    </row>
    <row r="61" spans="1:9" ht="12.75" customHeight="1" x14ac:dyDescent="0.2">
      <c r="A61" s="54" t="s">
        <v>242</v>
      </c>
      <c r="G61" s="53"/>
      <c r="H61" s="208">
        <v>11</v>
      </c>
    </row>
    <row r="62" spans="1:9"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146</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ht="12.75" customHeight="1" x14ac:dyDescent="0.2">
      <c r="A7" s="205" t="s">
        <v>26</v>
      </c>
      <c r="B7" s="19" t="s">
        <v>3</v>
      </c>
      <c r="C7" s="20">
        <v>905544.03497757844</v>
      </c>
      <c r="D7" s="20">
        <v>951813.97167414054</v>
      </c>
      <c r="E7" s="21">
        <v>978078.96970490471</v>
      </c>
      <c r="F7" s="22" t="s">
        <v>240</v>
      </c>
      <c r="G7" s="23">
        <v>8.010094697285723</v>
      </c>
      <c r="H7" s="24">
        <v>2.7594675863569051</v>
      </c>
    </row>
    <row r="8" spans="1:8" ht="12.75" customHeight="1" x14ac:dyDescent="0.2">
      <c r="A8" s="206"/>
      <c r="B8" s="25" t="s">
        <v>241</v>
      </c>
      <c r="C8" s="26">
        <v>695005.78228699544</v>
      </c>
      <c r="D8" s="26">
        <v>711140.3282511211</v>
      </c>
      <c r="E8" s="26">
        <v>737283.05426008976</v>
      </c>
      <c r="F8" s="27"/>
      <c r="G8" s="28">
        <v>6.0830101058981398</v>
      </c>
      <c r="H8" s="29">
        <v>3.6761698036814181</v>
      </c>
    </row>
    <row r="9" spans="1:8" x14ac:dyDescent="0.2">
      <c r="A9" s="30" t="s">
        <v>34</v>
      </c>
      <c r="B9" s="31" t="s">
        <v>3</v>
      </c>
      <c r="C9" s="20">
        <v>9026.7504000000008</v>
      </c>
      <c r="D9" s="20">
        <v>9110.9700000000012</v>
      </c>
      <c r="E9" s="21">
        <v>9975.8493299265829</v>
      </c>
      <c r="F9" s="22" t="s">
        <v>240</v>
      </c>
      <c r="G9" s="32">
        <v>10.514292385071172</v>
      </c>
      <c r="H9" s="33">
        <v>9.4927250328623813</v>
      </c>
    </row>
    <row r="10" spans="1:8" x14ac:dyDescent="0.2">
      <c r="A10" s="34"/>
      <c r="B10" s="25" t="s">
        <v>241</v>
      </c>
      <c r="C10" s="26">
        <v>6709.7821000000004</v>
      </c>
      <c r="D10" s="26">
        <v>6634.6460000000006</v>
      </c>
      <c r="E10" s="26">
        <v>7314.0396000000001</v>
      </c>
      <c r="F10" s="27"/>
      <c r="G10" s="35">
        <v>9.0056203166418669</v>
      </c>
      <c r="H10" s="29">
        <v>10.240088167477197</v>
      </c>
    </row>
    <row r="11" spans="1:8" x14ac:dyDescent="0.2">
      <c r="A11" s="30" t="s">
        <v>35</v>
      </c>
      <c r="B11" s="31" t="s">
        <v>3</v>
      </c>
      <c r="C11" s="20">
        <v>3099.940032</v>
      </c>
      <c r="D11" s="20">
        <v>3013.5176000000001</v>
      </c>
      <c r="E11" s="21">
        <v>3126.3364892213617</v>
      </c>
      <c r="F11" s="22" t="s">
        <v>240</v>
      </c>
      <c r="G11" s="37">
        <v>0.85151509219136301</v>
      </c>
      <c r="H11" s="33">
        <v>3.7437607539229703</v>
      </c>
    </row>
    <row r="12" spans="1:8" x14ac:dyDescent="0.2">
      <c r="A12" s="34"/>
      <c r="B12" s="25" t="s">
        <v>241</v>
      </c>
      <c r="C12" s="26">
        <v>2291.7025680000002</v>
      </c>
      <c r="D12" s="26">
        <v>2236.13168</v>
      </c>
      <c r="E12" s="26">
        <v>2316.9631679999998</v>
      </c>
      <c r="F12" s="27"/>
      <c r="G12" s="28">
        <v>1.1022634591732867</v>
      </c>
      <c r="H12" s="29">
        <v>3.6147910573853181</v>
      </c>
    </row>
    <row r="13" spans="1:8" x14ac:dyDescent="0.2">
      <c r="A13" s="30" t="s">
        <v>36</v>
      </c>
      <c r="B13" s="31" t="s">
        <v>3</v>
      </c>
      <c r="C13" s="20">
        <v>144885.03456</v>
      </c>
      <c r="D13" s="20">
        <v>148326.84133333334</v>
      </c>
      <c r="E13" s="21">
        <v>159582.73021474978</v>
      </c>
      <c r="F13" s="22" t="s">
        <v>240</v>
      </c>
      <c r="G13" s="23">
        <v>10.144384959692417</v>
      </c>
      <c r="H13" s="24">
        <v>7.5885718189880436</v>
      </c>
    </row>
    <row r="14" spans="1:8" x14ac:dyDescent="0.2">
      <c r="A14" s="34"/>
      <c r="B14" s="25" t="s">
        <v>241</v>
      </c>
      <c r="C14" s="26">
        <v>110904.59844</v>
      </c>
      <c r="D14" s="26">
        <v>109205.7144</v>
      </c>
      <c r="E14" s="26">
        <v>119006.92144000001</v>
      </c>
      <c r="F14" s="27"/>
      <c r="G14" s="38">
        <v>7.3056691191965513</v>
      </c>
      <c r="H14" s="24">
        <v>8.9749946638323621</v>
      </c>
    </row>
    <row r="15" spans="1:8" x14ac:dyDescent="0.2">
      <c r="A15" s="30" t="s">
        <v>18</v>
      </c>
      <c r="B15" s="31" t="s">
        <v>3</v>
      </c>
      <c r="C15" s="20">
        <v>4883.2428799999998</v>
      </c>
      <c r="D15" s="20">
        <v>3335.0839999999998</v>
      </c>
      <c r="E15" s="21">
        <v>3063.6088994556185</v>
      </c>
      <c r="F15" s="22" t="s">
        <v>240</v>
      </c>
      <c r="G15" s="37">
        <v>-37.262819508670056</v>
      </c>
      <c r="H15" s="33">
        <v>-8.1399778999383869</v>
      </c>
    </row>
    <row r="16" spans="1:8" x14ac:dyDescent="0.2">
      <c r="A16" s="34"/>
      <c r="B16" s="25" t="s">
        <v>241</v>
      </c>
      <c r="C16" s="26">
        <v>4075.21612</v>
      </c>
      <c r="D16" s="26">
        <v>2613.4512</v>
      </c>
      <c r="E16" s="26">
        <v>2450.5451199999998</v>
      </c>
      <c r="F16" s="27"/>
      <c r="G16" s="28">
        <v>-39.867112618311893</v>
      </c>
      <c r="H16" s="29">
        <v>-6.2333698827053041</v>
      </c>
    </row>
    <row r="17" spans="1:9" x14ac:dyDescent="0.2">
      <c r="A17" s="30" t="s">
        <v>37</v>
      </c>
      <c r="B17" s="31" t="s">
        <v>3</v>
      </c>
      <c r="C17" s="20">
        <v>2548.4100480000002</v>
      </c>
      <c r="D17" s="20">
        <v>1804.2764</v>
      </c>
      <c r="E17" s="21">
        <v>2353.5494649088714</v>
      </c>
      <c r="F17" s="22" t="s">
        <v>240</v>
      </c>
      <c r="G17" s="37">
        <v>-7.6463590796173548</v>
      </c>
      <c r="H17" s="33">
        <v>30.442844838455528</v>
      </c>
    </row>
    <row r="18" spans="1:9" x14ac:dyDescent="0.2">
      <c r="A18" s="34"/>
      <c r="B18" s="25" t="s">
        <v>241</v>
      </c>
      <c r="C18" s="26">
        <v>1961.053852</v>
      </c>
      <c r="D18" s="26">
        <v>1337.6975200000002</v>
      </c>
      <c r="E18" s="26">
        <v>1766.4447520000001</v>
      </c>
      <c r="F18" s="27"/>
      <c r="G18" s="28">
        <v>-9.9236999433506554</v>
      </c>
      <c r="H18" s="29">
        <v>32.051134549460784</v>
      </c>
    </row>
    <row r="19" spans="1:9" x14ac:dyDescent="0.2">
      <c r="A19" s="30" t="s">
        <v>38</v>
      </c>
      <c r="B19" s="31" t="s">
        <v>3</v>
      </c>
      <c r="C19" s="20">
        <v>5079.5667199999998</v>
      </c>
      <c r="D19" s="20">
        <v>4491.8626666666669</v>
      </c>
      <c r="E19" s="21">
        <v>4905.2392120531495</v>
      </c>
      <c r="F19" s="22" t="s">
        <v>240</v>
      </c>
      <c r="G19" s="23">
        <v>-3.4319365716855827</v>
      </c>
      <c r="H19" s="24">
        <v>9.2027868183521804</v>
      </c>
    </row>
    <row r="20" spans="1:9" x14ac:dyDescent="0.2">
      <c r="A20" s="30"/>
      <c r="B20" s="25" t="s">
        <v>241</v>
      </c>
      <c r="C20" s="26">
        <v>3855.5042800000001</v>
      </c>
      <c r="D20" s="26">
        <v>3348.5527999999999</v>
      </c>
      <c r="E20" s="26">
        <v>3678.6052800000002</v>
      </c>
      <c r="F20" s="27"/>
      <c r="G20" s="38">
        <v>-4.5882195207937855</v>
      </c>
      <c r="H20" s="24">
        <v>9.8565708744386598</v>
      </c>
    </row>
    <row r="21" spans="1:9" x14ac:dyDescent="0.2">
      <c r="A21" s="39" t="s">
        <v>39</v>
      </c>
      <c r="B21" s="31" t="s">
        <v>3</v>
      </c>
      <c r="C21" s="20">
        <v>260980.90111999999</v>
      </c>
      <c r="D21" s="20">
        <v>249931.11600000001</v>
      </c>
      <c r="E21" s="21">
        <v>271921.09782876511</v>
      </c>
      <c r="F21" s="22" t="s">
        <v>240</v>
      </c>
      <c r="G21" s="37">
        <v>4.1919529980221739</v>
      </c>
      <c r="H21" s="33">
        <v>8.7984170121359</v>
      </c>
    </row>
    <row r="22" spans="1:9" x14ac:dyDescent="0.2">
      <c r="A22" s="34"/>
      <c r="B22" s="25" t="s">
        <v>241</v>
      </c>
      <c r="C22" s="26">
        <v>206899.58988000001</v>
      </c>
      <c r="D22" s="26">
        <v>196801.10879999999</v>
      </c>
      <c r="E22" s="26">
        <v>214599.71088</v>
      </c>
      <c r="F22" s="27"/>
      <c r="G22" s="28">
        <v>3.7216704994272902</v>
      </c>
      <c r="H22" s="29">
        <v>9.0439541669899484</v>
      </c>
    </row>
    <row r="23" spans="1:9" x14ac:dyDescent="0.2">
      <c r="A23" s="39" t="s">
        <v>40</v>
      </c>
      <c r="B23" s="31" t="s">
        <v>3</v>
      </c>
      <c r="C23" s="20">
        <v>208428.00160000002</v>
      </c>
      <c r="D23" s="20">
        <v>251652.88</v>
      </c>
      <c r="E23" s="21">
        <v>252191.24197541646</v>
      </c>
      <c r="F23" s="22" t="s">
        <v>240</v>
      </c>
      <c r="G23" s="23">
        <v>20.996814266541634</v>
      </c>
      <c r="H23" s="24">
        <v>0.21393038514658258</v>
      </c>
    </row>
    <row r="24" spans="1:9" x14ac:dyDescent="0.2">
      <c r="A24" s="34"/>
      <c r="B24" s="25" t="s">
        <v>241</v>
      </c>
      <c r="C24" s="26">
        <v>157609.12839999999</v>
      </c>
      <c r="D24" s="26">
        <v>184412.584</v>
      </c>
      <c r="E24" s="26">
        <v>186731.15839999999</v>
      </c>
      <c r="F24" s="27"/>
      <c r="G24" s="38">
        <v>18.477375197514263</v>
      </c>
      <c r="H24" s="24">
        <v>1.2572755880911046</v>
      </c>
    </row>
    <row r="25" spans="1:9" x14ac:dyDescent="0.2">
      <c r="A25" s="30" t="s">
        <v>41</v>
      </c>
      <c r="B25" s="31" t="s">
        <v>3</v>
      </c>
      <c r="C25" s="20">
        <v>312814.12640000001</v>
      </c>
      <c r="D25" s="20">
        <v>315189.89500000002</v>
      </c>
      <c r="E25" s="21">
        <v>339234.20238926704</v>
      </c>
      <c r="F25" s="22" t="s">
        <v>240</v>
      </c>
      <c r="G25" s="37">
        <v>8.4459344254432125</v>
      </c>
      <c r="H25" s="33">
        <v>7.6285146734374365</v>
      </c>
    </row>
    <row r="26" spans="1:9" x14ac:dyDescent="0.2">
      <c r="A26" s="34"/>
      <c r="B26" s="25" t="s">
        <v>241</v>
      </c>
      <c r="C26" s="26">
        <v>238611.73735000001</v>
      </c>
      <c r="D26" s="26">
        <v>237455.011</v>
      </c>
      <c r="E26" s="26">
        <v>256625.63860000001</v>
      </c>
      <c r="F26" s="27"/>
      <c r="G26" s="28">
        <v>7.5494615017939566</v>
      </c>
      <c r="H26" s="29">
        <v>8.0733725177103253</v>
      </c>
    </row>
    <row r="27" spans="1:9" x14ac:dyDescent="0.2">
      <c r="A27" s="30" t="s">
        <v>24</v>
      </c>
      <c r="B27" s="31" t="s">
        <v>3</v>
      </c>
      <c r="C27" s="20">
        <v>180300.33439999999</v>
      </c>
      <c r="D27" s="20">
        <v>190521.25333333333</v>
      </c>
      <c r="E27" s="21">
        <v>204296.72085987814</v>
      </c>
      <c r="F27" s="22" t="s">
        <v>240</v>
      </c>
      <c r="G27" s="23">
        <v>13.309119220290341</v>
      </c>
      <c r="H27" s="24">
        <v>7.2304098810663504</v>
      </c>
    </row>
    <row r="28" spans="1:9" ht="13.5" thickBot="1" x14ac:dyDescent="0.25">
      <c r="A28" s="56"/>
      <c r="B28" s="42" t="s">
        <v>241</v>
      </c>
      <c r="C28" s="43">
        <v>134393.08559999999</v>
      </c>
      <c r="D28" s="43">
        <v>134644.05599999998</v>
      </c>
      <c r="E28" s="43">
        <v>146920.10560000001</v>
      </c>
      <c r="F28" s="44"/>
      <c r="G28" s="57">
        <v>9.3211789461287822</v>
      </c>
      <c r="H28" s="46">
        <v>9.1174092378797837</v>
      </c>
    </row>
    <row r="29" spans="1:9" x14ac:dyDescent="0.2">
      <c r="A29" s="58"/>
      <c r="B29" s="58"/>
      <c r="C29" s="64"/>
      <c r="D29" s="64"/>
      <c r="E29" s="21"/>
      <c r="F29" s="59"/>
      <c r="G29" s="38"/>
      <c r="H29" s="60"/>
      <c r="I29" s="61"/>
    </row>
    <row r="30" spans="1:9" x14ac:dyDescent="0.2">
      <c r="A30" s="65"/>
      <c r="B30" s="62"/>
      <c r="C30" s="21"/>
      <c r="D30" s="21"/>
      <c r="E30" s="21"/>
      <c r="F30" s="63"/>
      <c r="G30" s="38"/>
      <c r="H30" s="60"/>
      <c r="I30" s="61"/>
    </row>
    <row r="31" spans="1:9" x14ac:dyDescent="0.2">
      <c r="A31" s="47"/>
      <c r="B31" s="48"/>
      <c r="C31" s="49"/>
      <c r="D31" s="55"/>
      <c r="E31" s="49"/>
      <c r="F31" s="49"/>
      <c r="G31" s="50"/>
      <c r="H31" s="51"/>
      <c r="I31" s="61"/>
    </row>
    <row r="32" spans="1:9" ht="16.5" thickBot="1" x14ac:dyDescent="0.3">
      <c r="A32" s="4" t="s">
        <v>33</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ht="12.75" customHeight="1" x14ac:dyDescent="0.2">
      <c r="A35" s="205" t="s">
        <v>26</v>
      </c>
      <c r="B35" s="19" t="s">
        <v>3</v>
      </c>
      <c r="C35" s="80">
        <v>15502.439866948975</v>
      </c>
      <c r="D35" s="80">
        <v>16417.970641978663</v>
      </c>
      <c r="E35" s="83">
        <v>17883.307894092693</v>
      </c>
      <c r="F35" s="22" t="s">
        <v>240</v>
      </c>
      <c r="G35" s="23">
        <v>15.358021366815322</v>
      </c>
      <c r="H35" s="24">
        <v>8.9252032670063812</v>
      </c>
    </row>
    <row r="36" spans="1:8" ht="12.75" customHeight="1" x14ac:dyDescent="0.2">
      <c r="A36" s="206"/>
      <c r="B36" s="25" t="s">
        <v>241</v>
      </c>
      <c r="C36" s="82">
        <v>11840.02652108962</v>
      </c>
      <c r="D36" s="82">
        <v>12207.143268508205</v>
      </c>
      <c r="E36" s="82">
        <v>13415.09557421866</v>
      </c>
      <c r="F36" s="27"/>
      <c r="G36" s="28">
        <v>13.302918285896624</v>
      </c>
      <c r="H36" s="29">
        <v>9.89545448218594</v>
      </c>
    </row>
    <row r="37" spans="1:8" x14ac:dyDescent="0.2">
      <c r="A37" s="30" t="s">
        <v>34</v>
      </c>
      <c r="B37" s="31" t="s">
        <v>3</v>
      </c>
      <c r="C37" s="84">
        <v>1173.4909154312004</v>
      </c>
      <c r="D37" s="84">
        <v>1215.8517696644103</v>
      </c>
      <c r="E37" s="83">
        <v>1425.8197264308083</v>
      </c>
      <c r="F37" s="22" t="s">
        <v>240</v>
      </c>
      <c r="G37" s="32">
        <v>21.502408555663123</v>
      </c>
      <c r="H37" s="33">
        <v>17.269206823160005</v>
      </c>
    </row>
    <row r="38" spans="1:8" x14ac:dyDescent="0.2">
      <c r="A38" s="34"/>
      <c r="B38" s="25" t="s">
        <v>241</v>
      </c>
      <c r="C38" s="82">
        <v>929.74079289935105</v>
      </c>
      <c r="D38" s="82">
        <v>927.63393187073848</v>
      </c>
      <c r="E38" s="82">
        <v>1101.4233074041033</v>
      </c>
      <c r="F38" s="27"/>
      <c r="G38" s="35">
        <v>18.465632121977649</v>
      </c>
      <c r="H38" s="29">
        <v>18.734693671984132</v>
      </c>
    </row>
    <row r="39" spans="1:8" x14ac:dyDescent="0.2">
      <c r="A39" s="30" t="s">
        <v>35</v>
      </c>
      <c r="B39" s="31" t="s">
        <v>3</v>
      </c>
      <c r="C39" s="84">
        <v>55.412940768714734</v>
      </c>
      <c r="D39" s="84">
        <v>58.943539796359211</v>
      </c>
      <c r="E39" s="83">
        <v>52.536321868467681</v>
      </c>
      <c r="F39" s="22" t="s">
        <v>240</v>
      </c>
      <c r="G39" s="37">
        <v>-5.1912402777062994</v>
      </c>
      <c r="H39" s="33">
        <v>-10.870093567552047</v>
      </c>
    </row>
    <row r="40" spans="1:8" x14ac:dyDescent="0.2">
      <c r="A40" s="34"/>
      <c r="B40" s="25" t="s">
        <v>241</v>
      </c>
      <c r="C40" s="82">
        <v>42.905083470166666</v>
      </c>
      <c r="D40" s="82">
        <v>41.616451642889963</v>
      </c>
      <c r="E40" s="82">
        <v>38.215389174797146</v>
      </c>
      <c r="F40" s="27"/>
      <c r="G40" s="28">
        <v>-10.930393128428292</v>
      </c>
      <c r="H40" s="29">
        <v>-8.1723989764367104</v>
      </c>
    </row>
    <row r="41" spans="1:8" x14ac:dyDescent="0.2">
      <c r="A41" s="30" t="s">
        <v>36</v>
      </c>
      <c r="B41" s="31" t="s">
        <v>3</v>
      </c>
      <c r="C41" s="84">
        <v>2649.306420258567</v>
      </c>
      <c r="D41" s="84">
        <v>2896.8526582126124</v>
      </c>
      <c r="E41" s="83">
        <v>3042.6879842472736</v>
      </c>
      <c r="F41" s="22" t="s">
        <v>240</v>
      </c>
      <c r="G41" s="23">
        <v>14.848473584656659</v>
      </c>
      <c r="H41" s="24">
        <v>5.0342679880944701</v>
      </c>
    </row>
    <row r="42" spans="1:8" x14ac:dyDescent="0.2">
      <c r="A42" s="34"/>
      <c r="B42" s="25" t="s">
        <v>241</v>
      </c>
      <c r="C42" s="82">
        <v>1935.3896861964781</v>
      </c>
      <c r="D42" s="82">
        <v>2087.4555882222503</v>
      </c>
      <c r="E42" s="82">
        <v>2202.5259060582171</v>
      </c>
      <c r="F42" s="27"/>
      <c r="G42" s="38">
        <v>13.802709695468508</v>
      </c>
      <c r="H42" s="24">
        <v>5.5124678333379364</v>
      </c>
    </row>
    <row r="43" spans="1:8" x14ac:dyDescent="0.2">
      <c r="A43" s="30" t="s">
        <v>18</v>
      </c>
      <c r="B43" s="31" t="s">
        <v>3</v>
      </c>
      <c r="C43" s="84">
        <v>400.10805758700963</v>
      </c>
      <c r="D43" s="84">
        <v>275.64287647593477</v>
      </c>
      <c r="E43" s="83">
        <v>269.70342331037017</v>
      </c>
      <c r="F43" s="22" t="s">
        <v>240</v>
      </c>
      <c r="G43" s="37">
        <v>-32.592353941355199</v>
      </c>
      <c r="H43" s="33">
        <v>-2.1547638892395469</v>
      </c>
    </row>
    <row r="44" spans="1:8" x14ac:dyDescent="0.2">
      <c r="A44" s="34"/>
      <c r="B44" s="25" t="s">
        <v>241</v>
      </c>
      <c r="C44" s="82">
        <v>332.71894143146432</v>
      </c>
      <c r="D44" s="82">
        <v>218.66279462913718</v>
      </c>
      <c r="E44" s="82">
        <v>217.28610661049527</v>
      </c>
      <c r="F44" s="27"/>
      <c r="G44" s="28">
        <v>-34.693797210444259</v>
      </c>
      <c r="H44" s="29">
        <v>-0.62959408388466898</v>
      </c>
    </row>
    <row r="45" spans="1:8" x14ac:dyDescent="0.2">
      <c r="A45" s="30" t="s">
        <v>37</v>
      </c>
      <c r="B45" s="31" t="s">
        <v>3</v>
      </c>
      <c r="C45" s="84">
        <v>104.28416813535031</v>
      </c>
      <c r="D45" s="84">
        <v>68.836603252269086</v>
      </c>
      <c r="E45" s="83">
        <v>112.72801202741577</v>
      </c>
      <c r="F45" s="22" t="s">
        <v>240</v>
      </c>
      <c r="G45" s="37">
        <v>8.0969566551139422</v>
      </c>
      <c r="H45" s="33">
        <v>63.761729518081466</v>
      </c>
    </row>
    <row r="46" spans="1:8" x14ac:dyDescent="0.2">
      <c r="A46" s="34"/>
      <c r="B46" s="25" t="s">
        <v>241</v>
      </c>
      <c r="C46" s="82">
        <v>80.500931638824937</v>
      </c>
      <c r="D46" s="82">
        <v>50.983239766928314</v>
      </c>
      <c r="E46" s="82">
        <v>84.634821093932047</v>
      </c>
      <c r="F46" s="27"/>
      <c r="G46" s="28">
        <v>5.1352069733232355</v>
      </c>
      <c r="H46" s="29">
        <v>66.005184215132516</v>
      </c>
    </row>
    <row r="47" spans="1:8" x14ac:dyDescent="0.2">
      <c r="A47" s="30" t="s">
        <v>38</v>
      </c>
      <c r="B47" s="31" t="s">
        <v>3</v>
      </c>
      <c r="C47" s="84">
        <v>105.82605388393574</v>
      </c>
      <c r="D47" s="84">
        <v>86.835306075921949</v>
      </c>
      <c r="E47" s="83">
        <v>113.95228018072201</v>
      </c>
      <c r="F47" s="22" t="s">
        <v>240</v>
      </c>
      <c r="G47" s="23">
        <v>7.6788522282978278</v>
      </c>
      <c r="H47" s="24">
        <v>31.228051503717978</v>
      </c>
    </row>
    <row r="48" spans="1:8" x14ac:dyDescent="0.2">
      <c r="A48" s="30"/>
      <c r="B48" s="25" t="s">
        <v>241</v>
      </c>
      <c r="C48" s="82">
        <v>77.910908817601452</v>
      </c>
      <c r="D48" s="82">
        <v>63.384525772090349</v>
      </c>
      <c r="E48" s="82">
        <v>83.415350401811011</v>
      </c>
      <c r="F48" s="27"/>
      <c r="G48" s="38">
        <v>7.0650460477827295</v>
      </c>
      <c r="H48" s="24">
        <v>31.602073827521934</v>
      </c>
    </row>
    <row r="49" spans="1:9" x14ac:dyDescent="0.2">
      <c r="A49" s="39" t="s">
        <v>39</v>
      </c>
      <c r="B49" s="31" t="s">
        <v>3</v>
      </c>
      <c r="C49" s="84">
        <v>1683.7532472702133</v>
      </c>
      <c r="D49" s="84">
        <v>1589.0848721890409</v>
      </c>
      <c r="E49" s="83">
        <v>1690.7862562996581</v>
      </c>
      <c r="F49" s="22" t="s">
        <v>240</v>
      </c>
      <c r="G49" s="37">
        <v>0.41769832015749842</v>
      </c>
      <c r="H49" s="33">
        <v>6.3999969976756859</v>
      </c>
    </row>
    <row r="50" spans="1:9" x14ac:dyDescent="0.2">
      <c r="A50" s="34"/>
      <c r="B50" s="25" t="s">
        <v>241</v>
      </c>
      <c r="C50" s="82">
        <v>1318.6882112382614</v>
      </c>
      <c r="D50" s="82">
        <v>1263.6718574092993</v>
      </c>
      <c r="E50" s="82">
        <v>1337.6941831651163</v>
      </c>
      <c r="F50" s="27"/>
      <c r="G50" s="28">
        <v>1.4412786710975638</v>
      </c>
      <c r="H50" s="29">
        <v>5.8577173592813097</v>
      </c>
    </row>
    <row r="51" spans="1:9" x14ac:dyDescent="0.2">
      <c r="A51" s="39" t="s">
        <v>40</v>
      </c>
      <c r="B51" s="31" t="s">
        <v>3</v>
      </c>
      <c r="C51" s="84">
        <v>850.75359543371451</v>
      </c>
      <c r="D51" s="84">
        <v>1149.7553216366809</v>
      </c>
      <c r="E51" s="83">
        <v>917.08375500685497</v>
      </c>
      <c r="F51" s="22" t="s">
        <v>240</v>
      </c>
      <c r="G51" s="23">
        <v>7.7966358213655553</v>
      </c>
      <c r="H51" s="24">
        <v>-20.236615760874855</v>
      </c>
    </row>
    <row r="52" spans="1:9" x14ac:dyDescent="0.2">
      <c r="A52" s="34"/>
      <c r="B52" s="25" t="s">
        <v>241</v>
      </c>
      <c r="C52" s="82">
        <v>770.8229449101168</v>
      </c>
      <c r="D52" s="82">
        <v>889.56949294235801</v>
      </c>
      <c r="E52" s="82">
        <v>745.86630797012992</v>
      </c>
      <c r="F52" s="27"/>
      <c r="G52" s="38">
        <v>-3.2376613987401441</v>
      </c>
      <c r="H52" s="24">
        <v>-16.154239338504354</v>
      </c>
    </row>
    <row r="53" spans="1:9" x14ac:dyDescent="0.2">
      <c r="A53" s="30" t="s">
        <v>41</v>
      </c>
      <c r="B53" s="31" t="s">
        <v>3</v>
      </c>
      <c r="C53" s="84">
        <v>7376.5297567928401</v>
      </c>
      <c r="D53" s="84">
        <v>7809.7645151006627</v>
      </c>
      <c r="E53" s="83">
        <v>8881.9185407549248</v>
      </c>
      <c r="F53" s="22" t="s">
        <v>240</v>
      </c>
      <c r="G53" s="37">
        <v>20.407818223410729</v>
      </c>
      <c r="H53" s="33">
        <v>13.728378411169587</v>
      </c>
    </row>
    <row r="54" spans="1:9" x14ac:dyDescent="0.2">
      <c r="A54" s="34"/>
      <c r="B54" s="25" t="s">
        <v>241</v>
      </c>
      <c r="C54" s="82">
        <v>5550.1468235705379</v>
      </c>
      <c r="D54" s="82">
        <v>5757.0030703059901</v>
      </c>
      <c r="E54" s="82">
        <v>6591.8866966376954</v>
      </c>
      <c r="F54" s="27"/>
      <c r="G54" s="28">
        <v>18.769591259154879</v>
      </c>
      <c r="H54" s="29">
        <v>14.50205282394144</v>
      </c>
    </row>
    <row r="55" spans="1:9" x14ac:dyDescent="0.2">
      <c r="A55" s="30" t="s">
        <v>24</v>
      </c>
      <c r="B55" s="31" t="s">
        <v>3</v>
      </c>
      <c r="C55" s="84">
        <v>1102.9747113874296</v>
      </c>
      <c r="D55" s="84">
        <v>1266.4031795747712</v>
      </c>
      <c r="E55" s="83">
        <v>1406.4328547066252</v>
      </c>
      <c r="F55" s="22" t="s">
        <v>240</v>
      </c>
      <c r="G55" s="23">
        <v>27.512701804148904</v>
      </c>
      <c r="H55" s="24">
        <v>11.057274443899672</v>
      </c>
    </row>
    <row r="56" spans="1:9" ht="13.5" thickBot="1" x14ac:dyDescent="0.25">
      <c r="A56" s="56"/>
      <c r="B56" s="42" t="s">
        <v>241</v>
      </c>
      <c r="C56" s="86">
        <v>801.20219691681461</v>
      </c>
      <c r="D56" s="86">
        <v>907.16231594652209</v>
      </c>
      <c r="E56" s="86">
        <v>1012.1475057023621</v>
      </c>
      <c r="F56" s="44"/>
      <c r="G56" s="57">
        <v>26.328598398420141</v>
      </c>
      <c r="H56" s="46">
        <v>11.572922277563947</v>
      </c>
    </row>
    <row r="57" spans="1:9" x14ac:dyDescent="0.2">
      <c r="A57" s="58"/>
      <c r="B57" s="58"/>
      <c r="C57" s="64"/>
      <c r="D57" s="64"/>
      <c r="E57" s="21"/>
      <c r="F57" s="59"/>
      <c r="G57" s="38"/>
      <c r="H57" s="60"/>
      <c r="I57" s="61"/>
    </row>
    <row r="58" spans="1:9" x14ac:dyDescent="0.2">
      <c r="A58" s="65"/>
      <c r="B58" s="62"/>
      <c r="C58" s="21"/>
      <c r="D58" s="21"/>
      <c r="E58" s="21"/>
      <c r="F58" s="63"/>
      <c r="G58" s="38"/>
      <c r="H58" s="60"/>
      <c r="I58" s="61"/>
    </row>
    <row r="59" spans="1:9" x14ac:dyDescent="0.2">
      <c r="A59" s="47"/>
      <c r="B59" s="48"/>
      <c r="C59" s="49"/>
      <c r="D59" s="49"/>
      <c r="E59" s="49"/>
      <c r="F59" s="49"/>
      <c r="G59" s="50"/>
      <c r="H59" s="51"/>
      <c r="I59" s="61"/>
    </row>
    <row r="60" spans="1:9" x14ac:dyDescent="0.2">
      <c r="A60" s="52"/>
      <c r="B60" s="52"/>
      <c r="C60" s="52"/>
      <c r="D60" s="52"/>
      <c r="E60" s="52"/>
      <c r="F60" s="52"/>
      <c r="G60" s="52"/>
      <c r="H60" s="52"/>
    </row>
    <row r="61" spans="1:9" ht="12.75" customHeight="1" x14ac:dyDescent="0.2">
      <c r="A61" s="54" t="s">
        <v>242</v>
      </c>
      <c r="H61" s="200">
        <v>12</v>
      </c>
    </row>
    <row r="62" spans="1:9" ht="12.75" customHeight="1" x14ac:dyDescent="0.2">
      <c r="A62" s="54" t="s">
        <v>243</v>
      </c>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Normal="100" workbookViewId="0"/>
  </sheetViews>
  <sheetFormatPr defaultColWidth="11.42578125" defaultRowHeight="12.75" x14ac:dyDescent="0.2"/>
  <cols>
    <col min="1" max="1" width="26.42578125" style="1" customWidth="1"/>
    <col min="2" max="2" width="8.140625" style="1" customWidth="1"/>
    <col min="3" max="4" width="10.42578125" style="1" customWidth="1"/>
    <col min="5" max="5" width="9.85546875" style="1" customWidth="1"/>
    <col min="6" max="6" width="1.5703125" style="1" customWidth="1"/>
    <col min="7" max="7" width="7.5703125" style="1" customWidth="1"/>
    <col min="8" max="8" width="8.85546875" style="1" customWidth="1"/>
    <col min="9" max="16384" width="11.42578125" style="1"/>
  </cols>
  <sheetData>
    <row r="1" spans="1:8" ht="5.25" customHeight="1" x14ac:dyDescent="0.2"/>
    <row r="2" spans="1:8" x14ac:dyDescent="0.2">
      <c r="A2" s="92" t="s">
        <v>0</v>
      </c>
      <c r="B2" s="2"/>
      <c r="C2" s="2"/>
      <c r="D2" s="2"/>
      <c r="E2" s="2"/>
      <c r="F2" s="2"/>
      <c r="G2" s="2"/>
    </row>
    <row r="3" spans="1:8" ht="6" customHeight="1" x14ac:dyDescent="0.25">
      <c r="A3" s="3"/>
      <c r="B3" s="2"/>
      <c r="C3" s="2"/>
      <c r="D3" s="2"/>
      <c r="E3" s="2"/>
      <c r="F3" s="2"/>
      <c r="G3" s="2"/>
    </row>
    <row r="4" spans="1:8" ht="16.5" thickBot="1" x14ac:dyDescent="0.3">
      <c r="A4" s="4" t="s">
        <v>147</v>
      </c>
      <c r="B4" s="5"/>
      <c r="C4" s="5"/>
      <c r="D4" s="5"/>
      <c r="E4" s="5"/>
      <c r="F4" s="5"/>
      <c r="G4" s="5"/>
      <c r="H4" s="6"/>
    </row>
    <row r="5" spans="1:8" x14ac:dyDescent="0.2">
      <c r="A5" s="7"/>
      <c r="B5" s="8"/>
      <c r="C5" s="9"/>
      <c r="D5" s="8"/>
      <c r="E5" s="10"/>
      <c r="F5" s="11"/>
      <c r="G5" s="203" t="s">
        <v>1</v>
      </c>
      <c r="H5" s="204"/>
    </row>
    <row r="6" spans="1:8" x14ac:dyDescent="0.2">
      <c r="A6" s="12"/>
      <c r="B6" s="13"/>
      <c r="C6" s="14" t="s">
        <v>235</v>
      </c>
      <c r="D6" s="15" t="s">
        <v>236</v>
      </c>
      <c r="E6" s="15" t="s">
        <v>237</v>
      </c>
      <c r="F6" s="16"/>
      <c r="G6" s="17" t="s">
        <v>238</v>
      </c>
      <c r="H6" s="18" t="s">
        <v>239</v>
      </c>
    </row>
    <row r="7" spans="1:8" x14ac:dyDescent="0.2">
      <c r="A7" s="205" t="s">
        <v>17</v>
      </c>
      <c r="B7" s="19" t="s">
        <v>3</v>
      </c>
      <c r="C7" s="20">
        <v>479818.33846073353</v>
      </c>
      <c r="D7" s="20">
        <v>455343.2281054082</v>
      </c>
      <c r="E7" s="21">
        <v>398587.1334314674</v>
      </c>
      <c r="F7" s="22" t="s">
        <v>240</v>
      </c>
      <c r="G7" s="23">
        <v>-16.929574907423799</v>
      </c>
      <c r="H7" s="24">
        <v>-12.464464423922919</v>
      </c>
    </row>
    <row r="8" spans="1:8" x14ac:dyDescent="0.2">
      <c r="A8" s="206"/>
      <c r="B8" s="25" t="s">
        <v>241</v>
      </c>
      <c r="C8" s="26">
        <v>357034.97546172759</v>
      </c>
      <c r="D8" s="26">
        <v>352921.90535237797</v>
      </c>
      <c r="E8" s="26">
        <v>304705.64875623921</v>
      </c>
      <c r="F8" s="27"/>
      <c r="G8" s="28">
        <v>-14.656638789467237</v>
      </c>
      <c r="H8" s="29">
        <v>-13.662018668973474</v>
      </c>
    </row>
    <row r="9" spans="1:8" x14ac:dyDescent="0.2">
      <c r="A9" s="30" t="s">
        <v>18</v>
      </c>
      <c r="B9" s="31" t="s">
        <v>3</v>
      </c>
      <c r="C9" s="20">
        <v>27408.687252173913</v>
      </c>
      <c r="D9" s="20">
        <v>29627.100888004174</v>
      </c>
      <c r="E9" s="21">
        <v>25627.853863941433</v>
      </c>
      <c r="F9" s="22" t="s">
        <v>240</v>
      </c>
      <c r="G9" s="32">
        <v>-6.4973319292817848</v>
      </c>
      <c r="H9" s="33">
        <v>-13.498610745548888</v>
      </c>
    </row>
    <row r="10" spans="1:8" x14ac:dyDescent="0.2">
      <c r="A10" s="34"/>
      <c r="B10" s="25" t="s">
        <v>241</v>
      </c>
      <c r="C10" s="26">
        <v>20548.03852173913</v>
      </c>
      <c r="D10" s="26">
        <v>23528.212069565219</v>
      </c>
      <c r="E10" s="26">
        <v>19957.753760574957</v>
      </c>
      <c r="F10" s="27"/>
      <c r="G10" s="35">
        <v>-2.8727061249163626</v>
      </c>
      <c r="H10" s="29">
        <v>-15.175221552889724</v>
      </c>
    </row>
    <row r="11" spans="1:8" x14ac:dyDescent="0.2">
      <c r="A11" s="30" t="s">
        <v>19</v>
      </c>
      <c r="B11" s="31" t="s">
        <v>3</v>
      </c>
      <c r="C11" s="20">
        <v>69574.624173913035</v>
      </c>
      <c r="D11" s="20">
        <v>78453.00296001391</v>
      </c>
      <c r="E11" s="21">
        <v>64771.488708802688</v>
      </c>
      <c r="F11" s="22" t="s">
        <v>240</v>
      </c>
      <c r="G11" s="37">
        <v>-6.9035737125997798</v>
      </c>
      <c r="H11" s="33">
        <v>-17.43912117447492</v>
      </c>
    </row>
    <row r="12" spans="1:8" x14ac:dyDescent="0.2">
      <c r="A12" s="34"/>
      <c r="B12" s="25" t="s">
        <v>241</v>
      </c>
      <c r="C12" s="26">
        <v>50741.461739130435</v>
      </c>
      <c r="D12" s="26">
        <v>61140.873565217393</v>
      </c>
      <c r="E12" s="26">
        <v>49350.179201916522</v>
      </c>
      <c r="F12" s="27"/>
      <c r="G12" s="28">
        <v>-2.7419047255018114</v>
      </c>
      <c r="H12" s="29">
        <v>-19.284471542141176</v>
      </c>
    </row>
    <row r="13" spans="1:8" x14ac:dyDescent="0.2">
      <c r="A13" s="30" t="s">
        <v>20</v>
      </c>
      <c r="B13" s="31" t="s">
        <v>3</v>
      </c>
      <c r="C13" s="20">
        <v>36547.916273291921</v>
      </c>
      <c r="D13" s="20">
        <v>28999.858552387577</v>
      </c>
      <c r="E13" s="21">
        <v>37910.877635438126</v>
      </c>
      <c r="F13" s="22" t="s">
        <v>240</v>
      </c>
      <c r="G13" s="23">
        <v>3.729245059976833</v>
      </c>
      <c r="H13" s="24">
        <v>30.727801885491942</v>
      </c>
    </row>
    <row r="14" spans="1:8" x14ac:dyDescent="0.2">
      <c r="A14" s="34"/>
      <c r="B14" s="25" t="s">
        <v>241</v>
      </c>
      <c r="C14" s="26">
        <v>27812.077018633539</v>
      </c>
      <c r="D14" s="26">
        <v>21373.463602484473</v>
      </c>
      <c r="E14" s="26">
        <v>28237.371048531677</v>
      </c>
      <c r="F14" s="27"/>
      <c r="G14" s="38">
        <v>1.5291703299009214</v>
      </c>
      <c r="H14" s="24">
        <v>32.114156010022356</v>
      </c>
    </row>
    <row r="15" spans="1:8" x14ac:dyDescent="0.2">
      <c r="A15" s="30" t="s">
        <v>21</v>
      </c>
      <c r="B15" s="31" t="s">
        <v>3</v>
      </c>
      <c r="C15" s="20">
        <v>6986.5589130434782</v>
      </c>
      <c r="D15" s="20">
        <v>7879.9170777797099</v>
      </c>
      <c r="E15" s="21">
        <v>7649.941885333953</v>
      </c>
      <c r="F15" s="22" t="s">
        <v>240</v>
      </c>
      <c r="G15" s="37">
        <v>9.4951317314734069</v>
      </c>
      <c r="H15" s="33">
        <v>-2.9184976209236453</v>
      </c>
    </row>
    <row r="16" spans="1:8" x14ac:dyDescent="0.2">
      <c r="A16" s="34"/>
      <c r="B16" s="25" t="s">
        <v>241</v>
      </c>
      <c r="C16" s="26">
        <v>5300.3141304347828</v>
      </c>
      <c r="D16" s="26">
        <v>6257.1352173913046</v>
      </c>
      <c r="E16" s="26">
        <v>5981.4415558217388</v>
      </c>
      <c r="F16" s="27"/>
      <c r="G16" s="28">
        <v>12.850699196786721</v>
      </c>
      <c r="H16" s="29">
        <v>-4.4060684640998744</v>
      </c>
    </row>
    <row r="17" spans="1:8" x14ac:dyDescent="0.2">
      <c r="A17" s="30" t="s">
        <v>22</v>
      </c>
      <c r="B17" s="31" t="s">
        <v>3</v>
      </c>
      <c r="C17" s="20">
        <v>6720.5589130434782</v>
      </c>
      <c r="D17" s="20">
        <v>7994.9170777797099</v>
      </c>
      <c r="E17" s="21">
        <v>9083.537689407558</v>
      </c>
      <c r="F17" s="22" t="s">
        <v>240</v>
      </c>
      <c r="G17" s="37">
        <v>35.160450297934801</v>
      </c>
      <c r="H17" s="33">
        <v>13.616409038856119</v>
      </c>
    </row>
    <row r="18" spans="1:8" x14ac:dyDescent="0.2">
      <c r="A18" s="34"/>
      <c r="B18" s="25" t="s">
        <v>241</v>
      </c>
      <c r="C18" s="26">
        <v>5088.3141304347828</v>
      </c>
      <c r="D18" s="26">
        <v>5843.1352173913037</v>
      </c>
      <c r="E18" s="26">
        <v>6716.4415558217388</v>
      </c>
      <c r="F18" s="27"/>
      <c r="G18" s="28">
        <v>31.997384274068736</v>
      </c>
      <c r="H18" s="29">
        <v>14.945851943168392</v>
      </c>
    </row>
    <row r="19" spans="1:8" x14ac:dyDescent="0.2">
      <c r="A19" s="30" t="s">
        <v>189</v>
      </c>
      <c r="B19" s="31" t="s">
        <v>3</v>
      </c>
      <c r="C19" s="20">
        <v>287166.7906832298</v>
      </c>
      <c r="D19" s="20">
        <v>258952.14638096894</v>
      </c>
      <c r="E19" s="21">
        <v>220531.03704297598</v>
      </c>
      <c r="F19" s="22" t="s">
        <v>240</v>
      </c>
      <c r="G19" s="23">
        <v>-23.204547253431855</v>
      </c>
      <c r="H19" s="24">
        <v>-14.837146505620396</v>
      </c>
    </row>
    <row r="20" spans="1:8" x14ac:dyDescent="0.2">
      <c r="A20" s="30"/>
      <c r="B20" s="25" t="s">
        <v>241</v>
      </c>
      <c r="C20" s="26">
        <v>215962.69254658386</v>
      </c>
      <c r="D20" s="26">
        <v>202680.15900621121</v>
      </c>
      <c r="E20" s="26">
        <v>170294.9276213292</v>
      </c>
      <c r="F20" s="27"/>
      <c r="G20" s="38">
        <v>-21.146136115803415</v>
      </c>
      <c r="H20" s="24">
        <v>-15.978491206872178</v>
      </c>
    </row>
    <row r="21" spans="1:8" x14ac:dyDescent="0.2">
      <c r="A21" s="39" t="s">
        <v>12</v>
      </c>
      <c r="B21" s="31" t="s">
        <v>3</v>
      </c>
      <c r="C21" s="20">
        <v>2391.1353478260871</v>
      </c>
      <c r="D21" s="20">
        <v>2548.7502466678261</v>
      </c>
      <c r="E21" s="21">
        <v>2528.2119601790873</v>
      </c>
      <c r="F21" s="22" t="s">
        <v>240</v>
      </c>
      <c r="G21" s="37">
        <v>5.7326998439307886</v>
      </c>
      <c r="H21" s="33">
        <v>-0.80581793039901584</v>
      </c>
    </row>
    <row r="22" spans="1:8" x14ac:dyDescent="0.2">
      <c r="A22" s="34"/>
      <c r="B22" s="25" t="s">
        <v>241</v>
      </c>
      <c r="C22" s="26">
        <v>1800.7884782608696</v>
      </c>
      <c r="D22" s="26">
        <v>1973.2811304347827</v>
      </c>
      <c r="E22" s="26">
        <v>1939.2649334930434</v>
      </c>
      <c r="F22" s="27"/>
      <c r="G22" s="28">
        <v>7.6897679490879938</v>
      </c>
      <c r="H22" s="29">
        <v>-1.7238393666818439</v>
      </c>
    </row>
    <row r="23" spans="1:8" x14ac:dyDescent="0.2">
      <c r="A23" s="39" t="s">
        <v>23</v>
      </c>
      <c r="B23" s="31" t="s">
        <v>3</v>
      </c>
      <c r="C23" s="20">
        <v>13589.558913043478</v>
      </c>
      <c r="D23" s="20">
        <v>13380.91707777971</v>
      </c>
      <c r="E23" s="21">
        <v>12357.579338184032</v>
      </c>
      <c r="F23" s="22" t="s">
        <v>240</v>
      </c>
      <c r="G23" s="23">
        <v>-9.0656332758303932</v>
      </c>
      <c r="H23" s="24">
        <v>-7.6477399392529577</v>
      </c>
    </row>
    <row r="24" spans="1:8" x14ac:dyDescent="0.2">
      <c r="A24" s="34"/>
      <c r="B24" s="25" t="s">
        <v>241</v>
      </c>
      <c r="C24" s="26">
        <v>9962.3141304347828</v>
      </c>
      <c r="D24" s="26">
        <v>9973.1352173913037</v>
      </c>
      <c r="E24" s="26">
        <v>9159.4415558217388</v>
      </c>
      <c r="F24" s="27"/>
      <c r="G24" s="28">
        <v>-8.0590971545484109</v>
      </c>
      <c r="H24" s="29">
        <v>-8.1588552028316315</v>
      </c>
    </row>
    <row r="25" spans="1:8" x14ac:dyDescent="0.2">
      <c r="A25" s="30" t="s">
        <v>24</v>
      </c>
      <c r="B25" s="31" t="s">
        <v>3</v>
      </c>
      <c r="C25" s="20">
        <v>41764.117826086956</v>
      </c>
      <c r="D25" s="20">
        <v>40776.834155559423</v>
      </c>
      <c r="E25" s="21">
        <v>33815.886378883057</v>
      </c>
      <c r="F25" s="22" t="s">
        <v>240</v>
      </c>
      <c r="G25" s="23">
        <v>-19.031244668693148</v>
      </c>
      <c r="H25" s="24">
        <v>-17.070839168438297</v>
      </c>
    </row>
    <row r="26" spans="1:8" ht="13.5" thickBot="1" x14ac:dyDescent="0.25">
      <c r="A26" s="41"/>
      <c r="B26" s="42" t="s">
        <v>241</v>
      </c>
      <c r="C26" s="43">
        <v>29489.628260869566</v>
      </c>
      <c r="D26" s="43">
        <v>30964.770434782607</v>
      </c>
      <c r="E26" s="43">
        <v>25048.883111643478</v>
      </c>
      <c r="F26" s="44"/>
      <c r="G26" s="45">
        <v>-15.058667779541352</v>
      </c>
      <c r="H26" s="46">
        <v>-19.105219383424966</v>
      </c>
    </row>
    <row r="31" spans="1:8" x14ac:dyDescent="0.2">
      <c r="A31" s="47"/>
      <c r="B31" s="48"/>
      <c r="C31" s="49"/>
      <c r="D31" s="55"/>
      <c r="E31" s="49"/>
      <c r="F31" s="49"/>
      <c r="G31" s="50"/>
      <c r="H31" s="51"/>
    </row>
    <row r="32" spans="1:8" ht="16.5" thickBot="1" x14ac:dyDescent="0.3">
      <c r="A32" s="4" t="s">
        <v>25</v>
      </c>
      <c r="B32" s="5"/>
      <c r="C32" s="5"/>
      <c r="D32" s="5"/>
      <c r="E32" s="5"/>
      <c r="F32" s="5"/>
      <c r="G32" s="5"/>
      <c r="H32" s="6"/>
    </row>
    <row r="33" spans="1:8" x14ac:dyDescent="0.2">
      <c r="A33" s="7"/>
      <c r="B33" s="8"/>
      <c r="C33" s="209" t="s">
        <v>16</v>
      </c>
      <c r="D33" s="203"/>
      <c r="E33" s="203"/>
      <c r="F33" s="210"/>
      <c r="G33" s="203" t="s">
        <v>1</v>
      </c>
      <c r="H33" s="204"/>
    </row>
    <row r="34" spans="1:8" x14ac:dyDescent="0.2">
      <c r="A34" s="12"/>
      <c r="B34" s="13"/>
      <c r="C34" s="14" t="s">
        <v>235</v>
      </c>
      <c r="D34" s="15" t="s">
        <v>236</v>
      </c>
      <c r="E34" s="15" t="s">
        <v>237</v>
      </c>
      <c r="F34" s="16"/>
      <c r="G34" s="17" t="s">
        <v>238</v>
      </c>
      <c r="H34" s="18" t="s">
        <v>239</v>
      </c>
    </row>
    <row r="35" spans="1:8" x14ac:dyDescent="0.2">
      <c r="A35" s="205" t="s">
        <v>17</v>
      </c>
      <c r="B35" s="19" t="s">
        <v>3</v>
      </c>
      <c r="C35" s="80">
        <v>8740.3543440821541</v>
      </c>
      <c r="D35" s="80">
        <v>9329.6259879792087</v>
      </c>
      <c r="E35" s="83">
        <v>9337.7841840804176</v>
      </c>
      <c r="F35" s="22" t="s">
        <v>240</v>
      </c>
      <c r="G35" s="23">
        <v>6.835304570949873</v>
      </c>
      <c r="H35" s="24">
        <v>8.744397805142512E-2</v>
      </c>
    </row>
    <row r="36" spans="1:8" x14ac:dyDescent="0.2">
      <c r="A36" s="206"/>
      <c r="B36" s="25" t="s">
        <v>241</v>
      </c>
      <c r="C36" s="82">
        <v>6389.0238891145436</v>
      </c>
      <c r="D36" s="82">
        <v>7045.6600904351517</v>
      </c>
      <c r="E36" s="82">
        <v>6974.8124618342945</v>
      </c>
      <c r="F36" s="27"/>
      <c r="G36" s="28">
        <v>9.1686708781571866</v>
      </c>
      <c r="H36" s="29">
        <v>-1.0055499086173114</v>
      </c>
    </row>
    <row r="37" spans="1:8" x14ac:dyDescent="0.2">
      <c r="A37" s="30" t="s">
        <v>18</v>
      </c>
      <c r="B37" s="31" t="s">
        <v>3</v>
      </c>
      <c r="C37" s="80">
        <v>2536.4597419802944</v>
      </c>
      <c r="D37" s="80">
        <v>2849.0976717462167</v>
      </c>
      <c r="E37" s="83">
        <v>3060.4837787890992</v>
      </c>
      <c r="F37" s="22" t="s">
        <v>240</v>
      </c>
      <c r="G37" s="32">
        <v>20.65966307825893</v>
      </c>
      <c r="H37" s="33">
        <v>7.4194054187452139</v>
      </c>
    </row>
    <row r="38" spans="1:8" x14ac:dyDescent="0.2">
      <c r="A38" s="34"/>
      <c r="B38" s="25" t="s">
        <v>241</v>
      </c>
      <c r="C38" s="82">
        <v>1878.6873574212204</v>
      </c>
      <c r="D38" s="82">
        <v>2117.7336697104215</v>
      </c>
      <c r="E38" s="82">
        <v>2272.1708947638431</v>
      </c>
      <c r="F38" s="27"/>
      <c r="G38" s="35">
        <v>20.944599205837932</v>
      </c>
      <c r="H38" s="29">
        <v>7.2925706977374034</v>
      </c>
    </row>
    <row r="39" spans="1:8" x14ac:dyDescent="0.2">
      <c r="A39" s="30" t="s">
        <v>19</v>
      </c>
      <c r="B39" s="31" t="s">
        <v>3</v>
      </c>
      <c r="C39" s="80">
        <v>2983.9453053103275</v>
      </c>
      <c r="D39" s="80">
        <v>3386.5920524151952</v>
      </c>
      <c r="E39" s="83">
        <v>3171.8732679093519</v>
      </c>
      <c r="F39" s="22" t="s">
        <v>240</v>
      </c>
      <c r="G39" s="37">
        <v>6.2979694119922982</v>
      </c>
      <c r="H39" s="33">
        <v>-6.340261276899696</v>
      </c>
    </row>
    <row r="40" spans="1:8" x14ac:dyDescent="0.2">
      <c r="A40" s="34"/>
      <c r="B40" s="25" t="s">
        <v>241</v>
      </c>
      <c r="C40" s="82">
        <v>2163.5966278691285</v>
      </c>
      <c r="D40" s="82">
        <v>2584.6100669802022</v>
      </c>
      <c r="E40" s="82">
        <v>2379.0582285982714</v>
      </c>
      <c r="F40" s="27"/>
      <c r="G40" s="28">
        <v>9.9584921678004861</v>
      </c>
      <c r="H40" s="29">
        <v>-7.9529148712978923</v>
      </c>
    </row>
    <row r="41" spans="1:8" x14ac:dyDescent="0.2">
      <c r="A41" s="30" t="s">
        <v>20</v>
      </c>
      <c r="B41" s="31" t="s">
        <v>3</v>
      </c>
      <c r="C41" s="80">
        <v>402.88467715266023</v>
      </c>
      <c r="D41" s="80">
        <v>336.74564946206686</v>
      </c>
      <c r="E41" s="83">
        <v>455.02929115904965</v>
      </c>
      <c r="F41" s="22" t="s">
        <v>240</v>
      </c>
      <c r="G41" s="23">
        <v>12.942813902706689</v>
      </c>
      <c r="H41" s="24">
        <v>35.125514430827707</v>
      </c>
    </row>
    <row r="42" spans="1:8" x14ac:dyDescent="0.2">
      <c r="A42" s="34"/>
      <c r="B42" s="25" t="s">
        <v>241</v>
      </c>
      <c r="C42" s="82">
        <v>312.89926467412641</v>
      </c>
      <c r="D42" s="82">
        <v>256.63046104402662</v>
      </c>
      <c r="E42" s="82">
        <v>348.9534675060313</v>
      </c>
      <c r="F42" s="27"/>
      <c r="G42" s="38">
        <v>11.522623061915496</v>
      </c>
      <c r="H42" s="24">
        <v>35.975077193258841</v>
      </c>
    </row>
    <row r="43" spans="1:8" x14ac:dyDescent="0.2">
      <c r="A43" s="30" t="s">
        <v>21</v>
      </c>
      <c r="B43" s="31" t="s">
        <v>3</v>
      </c>
      <c r="C43" s="80">
        <v>67.030808103509287</v>
      </c>
      <c r="D43" s="80">
        <v>76.292620688562749</v>
      </c>
      <c r="E43" s="83">
        <v>85.078924063712307</v>
      </c>
      <c r="F43" s="22" t="s">
        <v>240</v>
      </c>
      <c r="G43" s="37">
        <v>26.925105739935333</v>
      </c>
      <c r="H43" s="33">
        <v>11.516583512075812</v>
      </c>
    </row>
    <row r="44" spans="1:8" x14ac:dyDescent="0.2">
      <c r="A44" s="34"/>
      <c r="B44" s="25" t="s">
        <v>241</v>
      </c>
      <c r="C44" s="82">
        <v>50.453574984669061</v>
      </c>
      <c r="D44" s="82">
        <v>57.104198563409412</v>
      </c>
      <c r="E44" s="82">
        <v>63.799407398622982</v>
      </c>
      <c r="F44" s="27"/>
      <c r="G44" s="28">
        <v>26.451708165396042</v>
      </c>
      <c r="H44" s="29">
        <v>11.724547412707494</v>
      </c>
    </row>
    <row r="45" spans="1:8" x14ac:dyDescent="0.2">
      <c r="A45" s="30" t="s">
        <v>22</v>
      </c>
      <c r="B45" s="31" t="s">
        <v>3</v>
      </c>
      <c r="C45" s="80">
        <v>33.438433235771839</v>
      </c>
      <c r="D45" s="80">
        <v>39.469825771610353</v>
      </c>
      <c r="E45" s="83">
        <v>48.840540862316551</v>
      </c>
      <c r="F45" s="22" t="s">
        <v>240</v>
      </c>
      <c r="G45" s="37">
        <v>46.061092390141681</v>
      </c>
      <c r="H45" s="33">
        <v>23.741465556319525</v>
      </c>
    </row>
    <row r="46" spans="1:8" x14ac:dyDescent="0.2">
      <c r="A46" s="34"/>
      <c r="B46" s="25" t="s">
        <v>241</v>
      </c>
      <c r="C46" s="82">
        <v>25.067530039626355</v>
      </c>
      <c r="D46" s="82">
        <v>28.817090745997007</v>
      </c>
      <c r="E46" s="82">
        <v>35.97150985437338</v>
      </c>
      <c r="F46" s="27"/>
      <c r="G46" s="28">
        <v>43.498421254547964</v>
      </c>
      <c r="H46" s="29">
        <v>24.826999961369097</v>
      </c>
    </row>
    <row r="47" spans="1:8" x14ac:dyDescent="0.2">
      <c r="A47" s="30" t="s">
        <v>189</v>
      </c>
      <c r="B47" s="31" t="s">
        <v>3</v>
      </c>
      <c r="C47" s="80">
        <v>1488.2956952963566</v>
      </c>
      <c r="D47" s="80">
        <v>1408.6781784667885</v>
      </c>
      <c r="E47" s="83">
        <v>1296.0644824912049</v>
      </c>
      <c r="F47" s="22" t="s">
        <v>240</v>
      </c>
      <c r="G47" s="23">
        <v>-12.916197595187811</v>
      </c>
      <c r="H47" s="24">
        <v>-7.9942812841860729</v>
      </c>
    </row>
    <row r="48" spans="1:8" x14ac:dyDescent="0.2">
      <c r="A48" s="30"/>
      <c r="B48" s="25" t="s">
        <v>241</v>
      </c>
      <c r="C48" s="82">
        <v>1095.245982272384</v>
      </c>
      <c r="D48" s="82">
        <v>1101.5480372870493</v>
      </c>
      <c r="E48" s="82">
        <v>992.77183615141234</v>
      </c>
      <c r="F48" s="27"/>
      <c r="G48" s="38">
        <v>-9.3562677042066156</v>
      </c>
      <c r="H48" s="24">
        <v>-9.8748486179083699</v>
      </c>
    </row>
    <row r="49" spans="1:8" x14ac:dyDescent="0.2">
      <c r="A49" s="39" t="s">
        <v>12</v>
      </c>
      <c r="B49" s="31" t="s">
        <v>3</v>
      </c>
      <c r="C49" s="80">
        <v>25.39066965769738</v>
      </c>
      <c r="D49" s="80">
        <v>31.571571064705406</v>
      </c>
      <c r="E49" s="83">
        <v>27.007114979418301</v>
      </c>
      <c r="F49" s="22" t="s">
        <v>240</v>
      </c>
      <c r="G49" s="37">
        <v>6.3662965314145765</v>
      </c>
      <c r="H49" s="33">
        <v>-14.457487959444052</v>
      </c>
    </row>
    <row r="50" spans="1:8" x14ac:dyDescent="0.2">
      <c r="A50" s="34"/>
      <c r="B50" s="25" t="s">
        <v>241</v>
      </c>
      <c r="C50" s="82">
        <v>21.166765403201023</v>
      </c>
      <c r="D50" s="82">
        <v>27.295429845626831</v>
      </c>
      <c r="E50" s="82">
        <v>23.064103048558252</v>
      </c>
      <c r="F50" s="27"/>
      <c r="G50" s="28">
        <v>8.9637580859203752</v>
      </c>
      <c r="H50" s="29">
        <v>-15.501960661544615</v>
      </c>
    </row>
    <row r="51" spans="1:8" x14ac:dyDescent="0.2">
      <c r="A51" s="39" t="s">
        <v>23</v>
      </c>
      <c r="B51" s="31" t="s">
        <v>3</v>
      </c>
      <c r="C51" s="80">
        <v>346.31066871556163</v>
      </c>
      <c r="D51" s="80">
        <v>368.32905341325869</v>
      </c>
      <c r="E51" s="83">
        <v>387.488388835357</v>
      </c>
      <c r="F51" s="22" t="s">
        <v>240</v>
      </c>
      <c r="G51" s="23">
        <v>11.890398950895815</v>
      </c>
      <c r="H51" s="24">
        <v>5.2016899683994922</v>
      </c>
    </row>
    <row r="52" spans="1:8" x14ac:dyDescent="0.2">
      <c r="A52" s="34"/>
      <c r="B52" s="25" t="s">
        <v>241</v>
      </c>
      <c r="C52" s="82">
        <v>229.33817757244498</v>
      </c>
      <c r="D52" s="82">
        <v>253.59040687606731</v>
      </c>
      <c r="E52" s="82">
        <v>263.30159242169481</v>
      </c>
      <c r="F52" s="27"/>
      <c r="G52" s="28">
        <v>14.809315748801225</v>
      </c>
      <c r="H52" s="29">
        <v>3.8294767003443724</v>
      </c>
    </row>
    <row r="53" spans="1:8" x14ac:dyDescent="0.2">
      <c r="A53" s="30" t="s">
        <v>24</v>
      </c>
      <c r="B53" s="31" t="s">
        <v>3</v>
      </c>
      <c r="C53" s="80">
        <v>856.59834462997514</v>
      </c>
      <c r="D53" s="80">
        <v>832.84936495080433</v>
      </c>
      <c r="E53" s="83">
        <v>812.61068649012884</v>
      </c>
      <c r="F53" s="22" t="s">
        <v>240</v>
      </c>
      <c r="G53" s="23">
        <v>-5.1351556322289724</v>
      </c>
      <c r="H53" s="24">
        <v>-2.4300526976893337</v>
      </c>
    </row>
    <row r="54" spans="1:8" ht="13.5" thickBot="1" x14ac:dyDescent="0.25">
      <c r="A54" s="41"/>
      <c r="B54" s="42" t="s">
        <v>241</v>
      </c>
      <c r="C54" s="86">
        <v>612.56860887774303</v>
      </c>
      <c r="D54" s="86">
        <v>618.33072938235102</v>
      </c>
      <c r="E54" s="86">
        <v>595.72142209148649</v>
      </c>
      <c r="F54" s="44"/>
      <c r="G54" s="45">
        <v>-2.7502530397568847</v>
      </c>
      <c r="H54" s="46">
        <v>-3.6565071435878451</v>
      </c>
    </row>
    <row r="59" spans="1:8" x14ac:dyDescent="0.2">
      <c r="A59" s="47"/>
      <c r="B59" s="48"/>
      <c r="C59" s="49"/>
      <c r="D59" s="49"/>
      <c r="E59" s="49"/>
      <c r="F59" s="49"/>
      <c r="G59" s="50"/>
      <c r="H59" s="51"/>
    </row>
    <row r="60" spans="1:8" x14ac:dyDescent="0.2">
      <c r="A60" s="52"/>
      <c r="B60" s="52"/>
      <c r="C60" s="52"/>
      <c r="D60" s="52"/>
      <c r="E60" s="52"/>
      <c r="F60" s="52"/>
      <c r="G60" s="52"/>
      <c r="H60" s="52"/>
    </row>
    <row r="61" spans="1:8" ht="12.75" customHeight="1" x14ac:dyDescent="0.2">
      <c r="A61" s="54" t="s">
        <v>242</v>
      </c>
      <c r="G61" s="53"/>
      <c r="H61" s="208">
        <v>13</v>
      </c>
    </row>
    <row r="62" spans="1:8" ht="12.75" customHeight="1" x14ac:dyDescent="0.2">
      <c r="A62" s="54" t="s">
        <v>243</v>
      </c>
      <c r="G62" s="53"/>
      <c r="H62" s="201"/>
    </row>
    <row r="67" ht="12.75" customHeight="1" x14ac:dyDescent="0.2"/>
    <row r="68" ht="12.75" customHeight="1" x14ac:dyDescent="0.2"/>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istikk" ma:contentTypeID="0x0101000C511E5DF31BAD48807550FE88829D9D0038FF55C83469DE4F9B7DCA1B89E318DA" ma:contentTypeVersion="4" ma:contentTypeDescription="" ma:contentTypeScope="" ma:versionID="ca25aed54c960d52022b61f452b943cb">
  <xsd:schema xmlns:xsd="http://www.w3.org/2001/XMLSchema" xmlns:xs="http://www.w3.org/2001/XMLSchema" xmlns:p="http://schemas.microsoft.com/office/2006/metadata/properties" xmlns:ns2="6edf9311-6556-4af2-85ff-d57844cfe120" xmlns:ns3="d35b3e2b-d440-44dd-b9dd-e54a3943adc2" targetNamespace="http://schemas.microsoft.com/office/2006/metadata/properties" ma:root="true" ma:fieldsID="6aaeb2f404abc7033daa625e0dd95337" ns2:_="" ns3:_="">
    <xsd:import namespace="6edf9311-6556-4af2-85ff-d57844cfe120"/>
    <xsd:import namespace="d35b3e2b-d440-44dd-b9dd-e54a3943adc2"/>
    <xsd:element name="properties">
      <xsd:complexType>
        <xsd:sequence>
          <xsd:element name="documentManagement">
            <xsd:complexType>
              <xsd:all>
                <xsd:element ref="ns2:a0e180d50ff4423da66c611fe0af74a4" minOccurs="0"/>
                <xsd:element ref="ns2:TaxCatchAll"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f9311-6556-4af2-85ff-d57844cfe120" elementFormDefault="qualified">
    <xsd:import namespace="http://schemas.microsoft.com/office/2006/documentManagement/types"/>
    <xsd:import namespace="http://schemas.microsoft.com/office/infopath/2007/PartnerControls"/>
    <xsd:element name="a0e180d50ff4423da66c611fe0af74a4" ma:index="8" ma:taxonomy="true" ma:internalName="a0e180d50ff4423da66c611fe0af74a4" ma:taxonomyFieldName="Statistikk" ma:displayName="Statistikk" ma:indexed="true" ma:default="" ma:fieldId="{a0e180d5-0ff4-423d-a66c-611fe0af74a4}" ma:sspId="dab2b8ef-c951-45bf-a0d0-9b3f2fbb5ccb" ma:termSetId="11bf6401-ff6f-43ab-90c7-9959af6e779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0ebe59-b68a-4ac7-afab-48fa3cf54c5c}" ma:internalName="TaxCatchAll" ma:showField="CatchAllData"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0ebe59-b68a-4ac7-afab-48fa3cf54c5c}" ma:internalName="TaxCatchAllLabel" ma:readOnly="true" ma:showField="CatchAllDataLabel"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kument-ID-verdi" ma:description="Verdien for dokument-IDen som er tilordnet elementet." ma:internalName="_dlc_DocId" ma:readOnly="true">
      <xsd:simpleType>
        <xsd:restriction base="dms:Text"/>
      </xsd:simpleType>
    </xsd:element>
    <xsd:element name="_dlc_DocIdUrl" ma:index="1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5b3e2b-d440-44dd-b9dd-e54a3943adc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0e180d50ff4423da66c611fe0af74a4 xmlns="6edf9311-6556-4af2-85ff-d57844cfe120">
      <Terms xmlns="http://schemas.microsoft.com/office/infopath/2007/PartnerControls"/>
    </a0e180d50ff4423da66c611fe0af74a4>
    <TaxCatchAll xmlns="6edf9311-6556-4af2-85ff-d57844cfe120" xsi:nil="true"/>
    <_dlc_DocId xmlns="6edf9311-6556-4af2-85ff-d57844cfe120">2020-123998358-269</_dlc_DocId>
    <_dlc_DocIdUrl xmlns="6edf9311-6556-4af2-85ff-d57844cfe120">
      <Url>https://finansnorge.sharepoint.com/sites/intranett/arkiv/_layouts/15/DocIdRedir.aspx?ID=2020-123998358-269</Url>
      <Description>2020-123998358-269</Description>
    </_dlc_DocIdUrl>
  </documentManagement>
</p:properties>
</file>

<file path=customXml/itemProps1.xml><?xml version="1.0" encoding="utf-8"?>
<ds:datastoreItem xmlns:ds="http://schemas.openxmlformats.org/officeDocument/2006/customXml" ds:itemID="{18641B4D-08AC-48F1-8E6C-372024AFEDCD}"/>
</file>

<file path=customXml/itemProps2.xml><?xml version="1.0" encoding="utf-8"?>
<ds:datastoreItem xmlns:ds="http://schemas.openxmlformats.org/officeDocument/2006/customXml" ds:itemID="{3EF7E440-68C4-4741-813D-774CF40F5E02}"/>
</file>

<file path=customXml/itemProps3.xml><?xml version="1.0" encoding="utf-8"?>
<ds:datastoreItem xmlns:ds="http://schemas.openxmlformats.org/officeDocument/2006/customXml" ds:itemID="{F04ED6D0-DE77-44FA-8096-9722F14F802A}"/>
</file>

<file path=customXml/itemProps4.xml><?xml version="1.0" encoding="utf-8"?>
<ds:datastoreItem xmlns:ds="http://schemas.openxmlformats.org/officeDocument/2006/customXml" ds:itemID="{CD53A3C4-80D1-41A8-84D9-4282FD0DC2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Stein Erik Petersbakken</cp:lastModifiedBy>
  <cp:lastPrinted>2014-09-12T11:46:46Z</cp:lastPrinted>
  <dcterms:created xsi:type="dcterms:W3CDTF">2002-02-09T09:48:14Z</dcterms:created>
  <dcterms:modified xsi:type="dcterms:W3CDTF">2022-11-14T13:50:25Z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0x0101000C511E5DF31BAD48807550FE88829D9D0038FF55C83469DE4F9B7DCA1B89E318DA</vt:lpwstr>
  </property>
  <property fmtid="{D5CDD505-2E9C-101B-9397-08002B2CF9AE}" pid="3" name="_dlc_DocIdItemGuid">
    <vt:lpwstr>62885dc8-7c9e-4dfd-a00f-eccbb1a32bdd</vt:lpwstr>
  </property>
</Properties>
</file>