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AAEE5973-FAF8-46FF-AD2F-A364D67E5875}" xr6:coauthVersionLast="46" xr6:coauthVersionMax="46" xr10:uidLastSave="{00000000-0000-0000-0000-000000000000}"/>
  <bookViews>
    <workbookView xWindow="-289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5" i="19" l="1"/>
  <c r="Q225" i="19"/>
  <c r="N225" i="19"/>
  <c r="T224" i="19"/>
  <c r="T223" i="19"/>
  <c r="T222" i="19"/>
  <c r="T221" i="19"/>
  <c r="T220" i="19"/>
  <c r="T219" i="19"/>
  <c r="T218" i="19"/>
  <c r="T217" i="19"/>
  <c r="T216" i="19"/>
  <c r="T215" i="19"/>
  <c r="Q224" i="19"/>
  <c r="Q223" i="19"/>
  <c r="Q222" i="19"/>
  <c r="Q221" i="19"/>
  <c r="Q220" i="19"/>
  <c r="Q219" i="19"/>
  <c r="Q218" i="19"/>
  <c r="Q217" i="19"/>
  <c r="Q216" i="19"/>
  <c r="Q215" i="19"/>
  <c r="N224" i="19"/>
  <c r="N223" i="19"/>
  <c r="N222" i="19"/>
  <c r="N221" i="19"/>
  <c r="N220" i="19"/>
  <c r="N219" i="19"/>
  <c r="N218" i="19"/>
  <c r="N217" i="19"/>
  <c r="N216" i="19"/>
  <c r="N215" i="19"/>
  <c r="D225" i="19" l="1"/>
  <c r="C225" i="19"/>
  <c r="D224" i="19"/>
  <c r="C224" i="19"/>
  <c r="D223" i="19"/>
  <c r="C223" i="19"/>
  <c r="D222" i="19"/>
  <c r="C222" i="19"/>
  <c r="D221" i="19"/>
  <c r="C221" i="19"/>
  <c r="D220" i="19"/>
  <c r="C220" i="19"/>
  <c r="D219" i="19"/>
  <c r="C219" i="19"/>
  <c r="D218" i="19"/>
  <c r="C218" i="19"/>
  <c r="D217" i="19"/>
  <c r="C217" i="19"/>
  <c r="D216" i="19"/>
  <c r="C216" i="19"/>
  <c r="D215" i="19"/>
  <c r="C215" i="19"/>
  <c r="B124" i="21" l="1"/>
  <c r="Y103" i="19"/>
  <c r="R228" i="19"/>
  <c r="Z76" i="19"/>
  <c r="X76" i="19"/>
  <c r="Y122" i="19"/>
  <c r="W129" i="19"/>
  <c r="Y82" i="19"/>
  <c r="Y100" i="19" s="1"/>
  <c r="Y111" i="19" s="1"/>
  <c r="X82" i="19"/>
  <c r="X100" i="19" s="1"/>
  <c r="X111" i="19" s="1"/>
  <c r="P229" i="19"/>
  <c r="P227" i="19" s="1"/>
  <c r="O229" i="19"/>
  <c r="O227" i="19" s="1"/>
  <c r="M229" i="19"/>
  <c r="M227" i="19" s="1"/>
  <c r="L229" i="19"/>
  <c r="L227" i="19" s="1"/>
  <c r="G228" i="19"/>
  <c r="E228"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W130" i="19"/>
  <c r="T130" i="19"/>
  <c r="Q130" i="19"/>
  <c r="N130"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Y123" i="19"/>
  <c r="X123" i="19"/>
  <c r="W123" i="19"/>
  <c r="T123" i="19"/>
  <c r="Q123" i="19"/>
  <c r="N123" i="19"/>
  <c r="T122" i="19"/>
  <c r="Q122" i="19"/>
  <c r="N122" i="19"/>
  <c r="Y121" i="19"/>
  <c r="X121" i="19"/>
  <c r="W121" i="19"/>
  <c r="T121" i="19"/>
  <c r="Q121" i="19"/>
  <c r="N121" i="19"/>
  <c r="D121" i="19"/>
  <c r="D122" i="19" s="1"/>
  <c r="T120" i="19"/>
  <c r="Q120" i="19"/>
  <c r="N120" i="19"/>
  <c r="D120" i="19"/>
  <c r="C120" i="19"/>
  <c r="T119" i="19"/>
  <c r="Q119" i="19"/>
  <c r="N119" i="19"/>
  <c r="T118" i="19"/>
  <c r="Q118" i="19"/>
  <c r="N118" i="19"/>
  <c r="Y117" i="19"/>
  <c r="X117" i="19"/>
  <c r="W117" i="19"/>
  <c r="T117" i="19"/>
  <c r="Q117" i="19"/>
  <c r="N117" i="19"/>
  <c r="C117" i="19"/>
  <c r="C118" i="19" s="1"/>
  <c r="T116" i="19"/>
  <c r="Q116" i="19"/>
  <c r="N116" i="19"/>
  <c r="D116" i="19"/>
  <c r="C116" i="19"/>
  <c r="T115" i="19"/>
  <c r="Q115" i="19"/>
  <c r="N115"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X103" i="19"/>
  <c r="W103" i="19"/>
  <c r="T103" i="19"/>
  <c r="Q103" i="19"/>
  <c r="N103" i="19"/>
  <c r="Y102" i="19"/>
  <c r="X102" i="19"/>
  <c r="N102" i="19"/>
  <c r="Y101" i="19"/>
  <c r="X101" i="19"/>
  <c r="W101" i="19"/>
  <c r="N101" i="19"/>
  <c r="N100" i="19"/>
  <c r="N99" i="19"/>
  <c r="N98" i="19"/>
  <c r="N97" i="19"/>
  <c r="N96" i="19"/>
  <c r="N95" i="19"/>
  <c r="N94" i="19"/>
  <c r="N93" i="19"/>
  <c r="Y92" i="19"/>
  <c r="X92" i="19"/>
  <c r="W92" i="19"/>
  <c r="N92" i="19"/>
  <c r="Y91" i="19"/>
  <c r="X91" i="19"/>
  <c r="W91" i="19"/>
  <c r="N91" i="19"/>
  <c r="Y90" i="19"/>
  <c r="X90" i="19"/>
  <c r="W90" i="19"/>
  <c r="N90" i="19"/>
  <c r="Y89" i="19"/>
  <c r="X89" i="19"/>
  <c r="W89" i="19"/>
  <c r="N89" i="19"/>
  <c r="X88" i="19"/>
  <c r="W88" i="19"/>
  <c r="N88" i="19"/>
  <c r="Y87" i="19"/>
  <c r="X87" i="19"/>
  <c r="W87" i="19"/>
  <c r="N87" i="19"/>
  <c r="X86" i="19"/>
  <c r="W86" i="19"/>
  <c r="N86" i="19"/>
  <c r="Y85" i="19"/>
  <c r="X85" i="19"/>
  <c r="W85" i="19"/>
  <c r="N85" i="19"/>
  <c r="Y84" i="19"/>
  <c r="X84" i="19"/>
  <c r="W84" i="19"/>
  <c r="N84" i="19"/>
  <c r="Y83" i="19"/>
  <c r="X83" i="19"/>
  <c r="W83" i="19"/>
  <c r="N83" i="19"/>
  <c r="N82" i="19"/>
  <c r="N81" i="19"/>
  <c r="N80" i="19"/>
  <c r="N79" i="19"/>
  <c r="N78" i="19"/>
  <c r="Z77" i="19"/>
  <c r="Y77" i="19"/>
  <c r="X77" i="19"/>
  <c r="N77" i="19"/>
  <c r="Y76" i="19"/>
  <c r="N76" i="19"/>
  <c r="Z75" i="19"/>
  <c r="Y75" i="19"/>
  <c r="X75" i="19"/>
  <c r="N75" i="19"/>
  <c r="Z74" i="19"/>
  <c r="Y74" i="19"/>
  <c r="N74" i="19"/>
  <c r="N73" i="19"/>
  <c r="Z72" i="19"/>
  <c r="Y72" i="19"/>
  <c r="X72" i="19"/>
  <c r="N72" i="19"/>
  <c r="N71" i="19"/>
  <c r="Z70" i="19"/>
  <c r="Y70" i="19"/>
  <c r="X70" i="19"/>
  <c r="AD62" i="19"/>
  <c r="W62" i="19"/>
  <c r="P62" i="19"/>
  <c r="A62" i="19"/>
  <c r="AD61" i="19"/>
  <c r="I61" i="19"/>
  <c r="A61" i="19"/>
  <c r="AD32" i="19"/>
  <c r="B20" i="21" s="1"/>
  <c r="W32" i="19"/>
  <c r="P32" i="19"/>
  <c r="B16" i="21" s="1"/>
  <c r="I32" i="19"/>
  <c r="A32" i="19"/>
  <c r="B12" i="21" s="1"/>
  <c r="AD6" i="19"/>
  <c r="W6" i="19"/>
  <c r="B17" i="21" s="1"/>
  <c r="I6" i="19"/>
  <c r="B13" i="21" s="1"/>
  <c r="A6" i="19"/>
  <c r="B11" i="21" s="1"/>
  <c r="A51" i="23"/>
  <c r="B123" i="21"/>
  <c r="P61" i="19" s="1"/>
  <c r="B62" i="21"/>
  <c r="B61" i="21"/>
  <c r="H24" i="21"/>
  <c r="H26" i="21" s="1"/>
  <c r="B19" i="21"/>
  <c r="B18" i="21"/>
  <c r="B15" i="21"/>
  <c r="B14" i="21"/>
  <c r="X104" i="19" l="1"/>
  <c r="W115" i="19"/>
  <c r="X93" i="19"/>
  <c r="X95" i="19" s="1"/>
  <c r="W93" i="19"/>
  <c r="W95" i="19" s="1"/>
  <c r="Z78" i="19"/>
  <c r="X115" i="19"/>
  <c r="H28" i="21"/>
  <c r="H29" i="21" s="1"/>
  <c r="H31" i="21" s="1"/>
  <c r="H27" i="21"/>
  <c r="X122" i="19"/>
  <c r="X129" i="19"/>
  <c r="Y104" i="19"/>
  <c r="Y114" i="19"/>
  <c r="Y115" i="19" s="1"/>
  <c r="S229" i="19"/>
  <c r="S227" i="19" s="1"/>
  <c r="Y78" i="19"/>
  <c r="D130" i="19"/>
  <c r="W122" i="19"/>
  <c r="C122" i="19"/>
  <c r="C121" i="19"/>
  <c r="Y88" i="19"/>
  <c r="Y86" i="19"/>
  <c r="W102" i="19"/>
  <c r="W104" i="19" s="1"/>
  <c r="D117" i="19"/>
  <c r="D118" i="19" s="1"/>
  <c r="R229" i="19"/>
  <c r="R227" i="19" s="1"/>
  <c r="W82" i="19"/>
  <c r="W100" i="19" s="1"/>
  <c r="W111" i="19" s="1"/>
  <c r="P228" i="19"/>
  <c r="H52" i="24"/>
  <c r="A52" i="24"/>
  <c r="W61" i="19"/>
  <c r="Y129" i="19"/>
  <c r="H53" i="24"/>
  <c r="A53" i="24"/>
  <c r="X74" i="19"/>
  <c r="X78" i="19" s="1"/>
  <c r="C125" i="19"/>
  <c r="C126" i="19" s="1"/>
  <c r="C129" i="19"/>
  <c r="C130" i="19" s="1"/>
  <c r="D125" i="19"/>
  <c r="D126" i="19" s="1"/>
  <c r="D129" i="19"/>
  <c r="A52" i="23"/>
  <c r="I62" i="19"/>
  <c r="O228" i="19" l="1"/>
  <c r="L228" i="19"/>
  <c r="Y93" i="19"/>
  <c r="Y95" i="19" s="1"/>
  <c r="S228" i="19"/>
  <c r="M228" i="19"/>
  <c r="H33" i="21"/>
  <c r="H34" i="21" s="1"/>
  <c r="H35" i="21" s="1"/>
  <c r="H36" i="21" s="1"/>
  <c r="H37" i="21" s="1"/>
  <c r="H38" i="21" s="1"/>
  <c r="H40" i="21" s="1"/>
  <c r="H32" i="21"/>
  <c r="H43" i="21" l="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<sst xmlns="http://schemas.openxmlformats.org/spreadsheetml/2006/main" count="1536" uniqueCount="244">
  <si>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</si>
  <si>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</si>
  <si>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</si>
  <si>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</si>
  <si>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</si>
  <si>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</si>
  <si>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</si>
  <si>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</si>
  <si>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</si>
  <si>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</si>
  <si>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</si>
  <si>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</si>
  <si>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</si>
  <si>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</si>
  <si>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</si>
  <si>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</si>
  <si>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</si>
  <si>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</si>
  <si>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</si>
  <si>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</si>
  <si>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</si>
  <si>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</si>
  <si>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</si>
  <si>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</si>
  <si>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</si>
  <si>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</si>
  <si>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</si>
  <si>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</si>
  <si>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</si>
  <si>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</si>
  <si>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</si>
  <si>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</si>
  <si>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</si>
  <si>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</si>
  <si>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</si>
  <si>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</si>
  <si>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</si>
  <si>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</si>
  <si>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</si>
  <si>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</si>
  <si>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</si>
  <si>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</si>
  <si>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</si>
  <si>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</si>
  <si>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</si>
  <si>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</si>
  <si>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</si>
  <si>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</si>
  <si>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</si>
  <si>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</si>
  <si>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</si>
  <si>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</si>
  <si>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</si>
  <si>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</si>
  <si>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</si>
  <si>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</si>
  <si>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</si>
  <si>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</si>
  <si>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</si>
  <si>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</si>
  <si>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</si>
  <si>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</si>
  <si>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</si>
  <si>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</si>
  <si>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</si>
  <si>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</si>
  <si>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</si>
  <si>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</si>
  <si>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</si>
  <si>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</si>
  <si>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</si>
  <si>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</si>
  <si>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</si>
  <si>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</si>
  <si>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</si>
  <si>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</si>
  <si>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</si>
  <si>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</si>
  <si>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</si>
  <si>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</si>
  <si>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</si>
  <si>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</si>
  <si>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</si>
  <si>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</si>
  <si>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</si>
  <si>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</si>
  <si>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</si>
  <si>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</si>
  <si>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</si>
  <si>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</si>
  <si>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</si>
  <si>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</si>
  <si>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</si>
  <si>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</si>
  <si>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</si>
  <si>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</si>
  <si>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</si>
  <si>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</si>
  <si>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</si>
  <si>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</si>
  <si>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</si>
  <si>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</si>
  <si>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</si>
  <si>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</si>
  <si>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</si>
  <si>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</si>
  <si>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</si>
  <si>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</si>
  <si>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</si>
  <si>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</si>
  <si>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</si>
  <si>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</si>
  <si>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</si>
  <si>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</si>
  <si>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</si>
  <si>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</si>
  <si>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</si>
  <si>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</si>
  <si>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</si>
  <si>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</si>
  <si>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</si>
  <si>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</si>
  <si>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</si>
  <si>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</si>
  <si>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</si>
  <si>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</si>
  <si>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</si>
  <si>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</si>
  <si>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</si>
  <si>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</si>
  <si>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</si>
  <si>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</si>
  <si>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</si>
  <si>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</si>
  <si>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</si>
  <si>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</si>
  <si>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</si>
  <si>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</si>
  <si>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</si>
  <si>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</si>
  <si>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</si>
  <si>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</si>
  <si>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</si>
  <si>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</si>
  <si>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</si>
  <si>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</si>
  <si>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</si>
  <si>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</si>
  <si>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</si>
  <si>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</si>
  <si>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</si>
  <si>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</si>
  <si>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</si>
  <si>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</si>
  <si>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</si>
  <si>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</si>
  <si>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</si>
  <si>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</si>
  <si>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</si>
  <si>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</si>
  <si>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</si>
  <si>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</si>
  <si>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</si>
  <si>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</si>
  <si>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</si>
  <si>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</si>
  <si>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</si>
  <si>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</si>
  <si>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</si>
  <si>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</si>
  <si>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</si>
  <si>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</si>
  <si>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</si>
  <si>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</si>
  <si>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</si>
  <si>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</si>
  <si>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</si>
  <si>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</si>
  <si>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</si>
  <si>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</si>
  <si>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</si>
  <si>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</si>
  <si>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</si>
  <si>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</si>
  <si>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</si>
  <si>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</si>
  <si>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</si>
  <si>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</si>
  <si>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</si>
  <si>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</si>
  <si>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</si>
  <si>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</si>
  <si>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</si>
  <si>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</si>
  <si>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</si>
  <si>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</si>
  <si>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</si>
  <si>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</si>
  <si>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</si>
  <si>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</si>
  <si>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</si>
  <si>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</si>
  <si>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</si>
  <si>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</si>
  <si>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</si>
  <si>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</si>
  <si>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</si>
  <si>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</si>
  <si>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</si>
  <si>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</si>
  <si>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</si>
  <si>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</si>
  <si>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</si>
  <si>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</si>
  <si>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</si>
  <si>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</si>
  <si>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</si>
  <si>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</si>
  <si>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</si>
  <si>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</si>
  <si>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</si>
  <si>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</si>
  <si>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</si>
  <si>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</si>
  <si>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</si>
  <si>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</si>
  <si>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</si>
  <si>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</si>
  <si>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</si>
  <si>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</si>
  <si>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</si>
  <si>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</si>
  <si>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</si>
  <si>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</si>
  <si>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(2020)</t>
  </si>
  <si>
    <t>2019</t>
  </si>
  <si>
    <t>2020</t>
  </si>
  <si>
    <t>2021</t>
  </si>
  <si>
    <t>19-21</t>
  </si>
  <si>
    <t>20-21</t>
  </si>
  <si>
    <t>*</t>
  </si>
  <si>
    <t>Hittil i år</t>
  </si>
  <si>
    <t>Finans Norge / Skadeforsikringsstatistikk</t>
  </si>
  <si>
    <t>Skadestatistikk for landbasert forsikring 3. kvartal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</si>
</sst>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1">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0" fontId="11" fillId="0" borderId="0" xfId="0" applyFont="1"/>
    <xf numFmtId="0" fontId="11" fillId="0" borderId="6" xfId="0" applyFont="1" applyBorder="1"/>
    <xf numFmtId="0" fontId="8" fillId="0" borderId="6" xfId="0" applyFont="1" applyBorder="1"/>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'Tab2'!$B$71:$B$225</c:f>
              <c:numCache>
                <c:formatCode>General</c:formatCode>
                <c:ptCount val="15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'Tab2'!$C$71:$C$225</c:f>
              <c:numCache>
                <c:formatCode>General</c:formatCode>
                <c:ptCount val="155"/>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'Tab2'!$B$71:$B$225</c:f>
              <c:numCache>
                <c:formatCode>General</c:formatCode>
                <c:ptCount val="15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'Tab2'!$D$71:$D$225</c:f>
              <c:numCache>
                <c:formatCode>General</c:formatCode>
                <c:ptCount val="155"/>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200.95042470852019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'Tab2'!$K$103:$K$225</c:f>
              <c:numCache>
                <c:formatCode>General</c:formatCode>
                <c:ptCount val="12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'Tab2'!$T$103:$T$225</c:f>
              <c:numCache>
                <c:formatCode>#\ ##0.0</c:formatCode>
                <c:ptCount val="123"/>
                <c:pt idx="0">
                  <c:v>255.88609941520471</c:v>
                </c:pt>
                <c:pt idx="1">
                  <c:v>318.36807736720556</c:v>
                </c:pt>
                <c:pt idx="2">
                  <c:v>370.01485565819871</c:v>
                </c:pt>
                <c:pt idx="3">
                  <c:v>331.40005727376865</c:v>
                </c:pt>
                <c:pt idx="4">
                  <c:v>322.59991428571431</c:v>
                </c:pt>
                <c:pt idx="5">
                  <c:v>294.76630925507908</c:v>
                </c:pt>
                <c:pt idx="6">
                  <c:v>386.29034385569338</c:v>
                </c:pt>
                <c:pt idx="7">
                  <c:v>191.58475923852183</c:v>
                </c:pt>
                <c:pt idx="8">
                  <c:v>305.62992761692658</c:v>
                </c:pt>
                <c:pt idx="9">
                  <c:v>329.30409691629967</c:v>
                </c:pt>
                <c:pt idx="10">
                  <c:v>374.39190397350995</c:v>
                </c:pt>
                <c:pt idx="11">
                  <c:v>282.69596153846157</c:v>
                </c:pt>
                <c:pt idx="12">
                  <c:v>277.88411538461543</c:v>
                </c:pt>
                <c:pt idx="13">
                  <c:v>334.59909487459112</c:v>
                </c:pt>
                <c:pt idx="14">
                  <c:v>373.21849077090138</c:v>
                </c:pt>
                <c:pt idx="15">
                  <c:v>362.08362850971923</c:v>
                </c:pt>
                <c:pt idx="16">
                  <c:v>306.57487687366171</c:v>
                </c:pt>
                <c:pt idx="17">
                  <c:v>354.64993623804469</c:v>
                </c:pt>
                <c:pt idx="18">
                  <c:v>372.43229011689681</c:v>
                </c:pt>
                <c:pt idx="19">
                  <c:v>341.03832452431323</c:v>
                </c:pt>
                <c:pt idx="20">
                  <c:v>329.70340764331218</c:v>
                </c:pt>
                <c:pt idx="21">
                  <c:v>361.9383648790747</c:v>
                </c:pt>
                <c:pt idx="22">
                  <c:v>381.87415706806286</c:v>
                </c:pt>
                <c:pt idx="23">
                  <c:v>305.29989615784029</c:v>
                </c:pt>
                <c:pt idx="24">
                  <c:v>301.8407297019528</c:v>
                </c:pt>
                <c:pt idx="25">
                  <c:v>359.50942681678606</c:v>
                </c:pt>
                <c:pt idx="26">
                  <c:v>318.21226202661222</c:v>
                </c:pt>
                <c:pt idx="27">
                  <c:v>294.17544207317059</c:v>
                </c:pt>
                <c:pt idx="28">
                  <c:v>291.98166163142002</c:v>
                </c:pt>
                <c:pt idx="29">
                  <c:v>320.29906720160483</c:v>
                </c:pt>
                <c:pt idx="30">
                  <c:v>328.43983967935878</c:v>
                </c:pt>
                <c:pt idx="31">
                  <c:v>319.60310824230385</c:v>
                </c:pt>
                <c:pt idx="32">
                  <c:v>251.0796646942801</c:v>
                </c:pt>
                <c:pt idx="33">
                  <c:v>304.66001467710373</c:v>
                </c:pt>
                <c:pt idx="34">
                  <c:v>350.13632743362848</c:v>
                </c:pt>
                <c:pt idx="35">
                  <c:v>290.40770048309173</c:v>
                </c:pt>
                <c:pt idx="36">
                  <c:v>296.02514340344175</c:v>
                </c:pt>
                <c:pt idx="37">
                  <c:v>274.52932921027599</c:v>
                </c:pt>
                <c:pt idx="38">
                  <c:v>287.96820037986703</c:v>
                </c:pt>
                <c:pt idx="39">
                  <c:v>314.81999063670418</c:v>
                </c:pt>
                <c:pt idx="40">
                  <c:v>236.74149907749077</c:v>
                </c:pt>
                <c:pt idx="41">
                  <c:v>271.5334443430657</c:v>
                </c:pt>
                <c:pt idx="42">
                  <c:v>229.29715541165589</c:v>
                </c:pt>
                <c:pt idx="43">
                  <c:v>371.8999310027599</c:v>
                </c:pt>
                <c:pt idx="44">
                  <c:v>283.15271271729188</c:v>
                </c:pt>
                <c:pt idx="45">
                  <c:v>331.96270454545459</c:v>
                </c:pt>
                <c:pt idx="46">
                  <c:v>263.25759580291975</c:v>
                </c:pt>
                <c:pt idx="47">
                  <c:v>273.32153153153172</c:v>
                </c:pt>
                <c:pt idx="48">
                  <c:v>249.72473821989533</c:v>
                </c:pt>
                <c:pt idx="49">
                  <c:v>282.96911843276939</c:v>
                </c:pt>
                <c:pt idx="50">
                  <c:v>263.85601429848083</c:v>
                </c:pt>
                <c:pt idx="51">
                  <c:v>306.79792628774442</c:v>
                </c:pt>
                <c:pt idx="52">
                  <c:v>248.4660435168739</c:v>
                </c:pt>
                <c:pt idx="53">
                  <c:v>314.97649029982369</c:v>
                </c:pt>
                <c:pt idx="54">
                  <c:v>222.53723893805298</c:v>
                </c:pt>
                <c:pt idx="55">
                  <c:v>223.46593421052646</c:v>
                </c:pt>
                <c:pt idx="56">
                  <c:v>219.65421723834655</c:v>
                </c:pt>
                <c:pt idx="57">
                  <c:v>207.02007378472234</c:v>
                </c:pt>
                <c:pt idx="58">
                  <c:v>207.87927888792348</c:v>
                </c:pt>
                <c:pt idx="59">
                  <c:v>191.43681034482771</c:v>
                </c:pt>
                <c:pt idx="60">
                  <c:v>201.98611492281304</c:v>
                </c:pt>
                <c:pt idx="61">
                  <c:v>233.5826844783715</c:v>
                </c:pt>
                <c:pt idx="62">
                  <c:v>222.77863171355506</c:v>
                </c:pt>
                <c:pt idx="63">
                  <c:v>189.3704075630252</c:v>
                </c:pt>
                <c:pt idx="64">
                  <c:v>222.79871489361705</c:v>
                </c:pt>
                <c:pt idx="65">
                  <c:v>212.83165680473374</c:v>
                </c:pt>
                <c:pt idx="66">
                  <c:v>202.98188879456706</c:v>
                </c:pt>
                <c:pt idx="67">
                  <c:v>184.86571192052992</c:v>
                </c:pt>
                <c:pt idx="68">
                  <c:v>205.3916201804758</c:v>
                </c:pt>
                <c:pt idx="69">
                  <c:v>241.4994590163935</c:v>
                </c:pt>
                <c:pt idx="70">
                  <c:v>236.67364337936635</c:v>
                </c:pt>
                <c:pt idx="71">
                  <c:v>338.10261427425843</c:v>
                </c:pt>
                <c:pt idx="72">
                  <c:v>266.73025600000005</c:v>
                </c:pt>
                <c:pt idx="73">
                  <c:v>292.73978122513927</c:v>
                </c:pt>
                <c:pt idx="74">
                  <c:v>289.07530303030296</c:v>
                </c:pt>
                <c:pt idx="75">
                  <c:v>341.42823064770948</c:v>
                </c:pt>
                <c:pt idx="76">
                  <c:v>295.39388888888897</c:v>
                </c:pt>
                <c:pt idx="77">
                  <c:v>244.58662529092325</c:v>
                </c:pt>
                <c:pt idx="78">
                  <c:v>245.59052816901402</c:v>
                </c:pt>
                <c:pt idx="79">
                  <c:v>248.51879844961243</c:v>
                </c:pt>
                <c:pt idx="80">
                  <c:v>187.97428955453154</c:v>
                </c:pt>
                <c:pt idx="81">
                  <c:v>236.12941221374041</c:v>
                </c:pt>
                <c:pt idx="82">
                  <c:v>202.18864374033998</c:v>
                </c:pt>
                <c:pt idx="83">
                  <c:v>217.02577273845125</c:v>
                </c:pt>
                <c:pt idx="84">
                  <c:v>208.67681112544903</c:v>
                </c:pt>
                <c:pt idx="85">
                  <c:v>218.7341017117871</c:v>
                </c:pt>
                <c:pt idx="86">
                  <c:v>228.59709009617217</c:v>
                </c:pt>
                <c:pt idx="87">
                  <c:v>225.59404042907033</c:v>
                </c:pt>
                <c:pt idx="88">
                  <c:v>197.35998537984355</c:v>
                </c:pt>
                <c:pt idx="89">
                  <c:v>205.13719994109528</c:v>
                </c:pt>
                <c:pt idx="90">
                  <c:v>200.92095930112913</c:v>
                </c:pt>
                <c:pt idx="91">
                  <c:v>208.16701099188924</c:v>
                </c:pt>
                <c:pt idx="92">
                  <c:v>190.19851709043829</c:v>
                </c:pt>
                <c:pt idx="93">
                  <c:v>191.41550134876107</c:v>
                </c:pt>
                <c:pt idx="94">
                  <c:v>202.08120260534042</c:v>
                </c:pt>
                <c:pt idx="95">
                  <c:v>198.93557432120915</c:v>
                </c:pt>
                <c:pt idx="96">
                  <c:v>175.55992521922258</c:v>
                </c:pt>
                <c:pt idx="97">
                  <c:v>189.15501482091034</c:v>
                </c:pt>
                <c:pt idx="98">
                  <c:v>146.82863762900573</c:v>
                </c:pt>
                <c:pt idx="99">
                  <c:v>174.99053719349592</c:v>
                </c:pt>
                <c:pt idx="100">
                  <c:v>140.92508548473768</c:v>
                </c:pt>
                <c:pt idx="101">
                  <c:v>165.39607097776255</c:v>
                </c:pt>
                <c:pt idx="102">
                  <c:v>160.53075092891066</c:v>
                </c:pt>
                <c:pt idx="103">
                  <c:v>157.62658677916238</c:v>
                </c:pt>
                <c:pt idx="104">
                  <c:v>150.77656403037184</c:v>
                </c:pt>
                <c:pt idx="105">
                  <c:v>127.2576754945279</c:v>
                </c:pt>
                <c:pt idx="106">
                  <c:v>135.89463679565512</c:v>
                </c:pt>
                <c:pt idx="107">
                  <c:v>130.67210242587603</c:v>
                </c:pt>
                <c:pt idx="108">
                  <c:v>121.1800935203741</c:v>
                </c:pt>
                <c:pt idx="109">
                  <c:v>140.64047600999402</c:v>
                </c:pt>
                <c:pt idx="110">
                  <c:v>154.30187916138175</c:v>
                </c:pt>
                <c:pt idx="111">
                  <c:v>118.64501282119105</c:v>
                </c:pt>
                <c:pt idx="112">
                  <c:v>124.25469262926967</c:v>
                </c:pt>
                <c:pt idx="113">
                  <c:v>143.16970382418373</c:v>
                </c:pt>
                <c:pt idx="114">
                  <c:v>146.36378579740693</c:v>
                </c:pt>
                <c:pt idx="115">
                  <c:v>133.44338209652892</c:v>
                </c:pt>
                <c:pt idx="116">
                  <c:v>146.64900846924428</c:v>
                </c:pt>
                <c:pt idx="117">
                  <c:v>125.51254594874635</c:v>
                </c:pt>
                <c:pt idx="118">
                  <c:v>158.09775421538563</c:v>
                </c:pt>
                <c:pt idx="119">
                  <c:v>113.0152480686935</c:v>
                </c:pt>
                <c:pt idx="120">
                  <c:v>113.51563921852136</c:v>
                </c:pt>
                <c:pt idx="121">
                  <c:v>112.69663265020007</c:v>
                </c:pt>
                <c:pt idx="122">
                  <c:v>117.66393499186488</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'Tab2'!$K$103:$K$225</c:f>
              <c:numCache>
                <c:formatCode>General</c:formatCode>
                <c:ptCount val="12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'Tab2'!$R$103:$R$225</c:f>
              <c:numCache>
                <c:formatCode>#,##0</c:formatCode>
                <c:ptCount val="123"/>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114.36776553901865</c:v>
                </c:pt>
                <c:pt idx="1">
                  <c:v>1263.6718574092993</c:v>
                </c:pt>
                <c:pt idx="2">
                  <c:v>218.66279462913724</c:v>
                </c:pt>
                <c:pt idx="3">
                  <c:v>969.25038351362844</c:v>
                </c:pt>
                <c:pt idx="4" formatCode="0.000">
                  <c:v>9641.1904674171219</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6540.8636296685318</c:v>
                </c:pt>
                <c:pt idx="1">
                  <c:v>4767.1996395704155</c:v>
                </c:pt>
                <c:pt idx="2">
                  <c:v>1538.0958501144171</c:v>
                </c:pt>
                <c:pt idx="3">
                  <c:v>1281.1842179109667</c:v>
                </c:pt>
                <c:pt idx="4">
                  <c:v>567.3578591433693</c:v>
                </c:pt>
                <c:pt idx="5">
                  <c:v>1851.682857968809</c:v>
                </c:pt>
                <c:pt idx="6">
                  <c:v>434.7220534550143</c:v>
                </c:pt>
                <c:pt idx="7">
                  <c:v>893.73782567895341</c:v>
                </c:pt>
                <c:pt idx="8">
                  <c:v>247.17795775804598</c:v>
                </c:pt>
                <c:pt idx="9">
                  <c:v>765.39587172795655</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6389.0238891145436</c:v>
                </c:pt>
                <c:pt idx="1">
                  <c:v>4539.8772908809278</c:v>
                </c:pt>
                <c:pt idx="2">
                  <c:v>1346.5649977752034</c:v>
                </c:pt>
                <c:pt idx="3">
                  <c:v>1496.9494315651552</c:v>
                </c:pt>
                <c:pt idx="4">
                  <c:v>621.67456663159805</c:v>
                </c:pt>
                <c:pt idx="5">
                  <c:v>2135.9802845817817</c:v>
                </c:pt>
                <c:pt idx="6">
                  <c:v>517.48476821085421</c:v>
                </c:pt>
                <c:pt idx="7">
                  <c:v>973.3508217150146</c:v>
                </c:pt>
                <c:pt idx="8">
                  <c:v>124.35932278810138</c:v>
                </c:pt>
                <c:pt idx="9">
                  <c:v>808.90768192759413</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2021</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7045.6600904351508</c:v>
                </c:pt>
                <c:pt idx="1">
                  <c:v>4668.5546809425559</c:v>
                </c:pt>
                <c:pt idx="2">
                  <c:v>1366.2038966588648</c:v>
                </c:pt>
                <c:pt idx="3">
                  <c:v>1784.3249974431346</c:v>
                </c:pt>
                <c:pt idx="4">
                  <c:v>720.86371230413965</c:v>
                </c:pt>
                <c:pt idx="5">
                  <c:v>459.27839719113013</c:v>
                </c:pt>
                <c:pt idx="6">
                  <c:v>498.32076263552295</c:v>
                </c:pt>
                <c:pt idx="7">
                  <c:v>1164.2826107355791</c:v>
                </c:pt>
                <c:pt idx="8">
                  <c:v>173.79863372908108</c:v>
                </c:pt>
                <c:pt idx="9">
                  <c:v>914.0462600757055</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28972.99261304348</c:v>
                </c:pt>
                <c:pt idx="1">
                  <c:v>69652.369592885385</c:v>
                </c:pt>
                <c:pt idx="2">
                  <c:v>28235.610242236024</c:v>
                </c:pt>
                <c:pt idx="3" formatCode="_ * #\ ##0_ ;_ * \-#\ ##0_ ;_ * &quot;-&quot;??_ ;_ @_ ">
                  <c:v>238829.96703379403</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23897.272434782608</c:v>
                </c:pt>
                <c:pt idx="1">
                  <c:v>65851.136363636368</c:v>
                </c:pt>
                <c:pt idx="2">
                  <c:v>30032.017366459626</c:v>
                </c:pt>
                <c:pt idx="3" formatCode="_ * #\ ##0_ ;_ * \-#\ ##0_ ;_ * &quot;-&quot;??_ ;_ @_ ">
                  <c:v>270870.85555580747</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2021</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26988.17717826087</c:v>
                </c:pt>
                <c:pt idx="1">
                  <c:v>80225.350284584973</c:v>
                </c:pt>
                <c:pt idx="2">
                  <c:v>23104.742667701863</c:v>
                </c:pt>
                <c:pt idx="3" formatCode="_ * #\ ##0_ ;_ * \-#\ ##0_ ;_ * &quot;-&quot;??_ ;_ @_ ">
                  <c:v>258418.52987065964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4258.1897042762521</c:v>
                </c:pt>
                <c:pt idx="1">
                  <c:v>3602.198749331425</c:v>
                </c:pt>
                <c:pt idx="2">
                  <c:v>418.02544216273839</c:v>
                </c:pt>
                <c:pt idx="3">
                  <c:v>3029.6493734685337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4013.5679997518241</c:v>
                </c:pt>
                <c:pt idx="1">
                  <c:v>3380.6634540400155</c:v>
                </c:pt>
                <c:pt idx="2">
                  <c:v>430.46547927356073</c:v>
                </c:pt>
                <c:pt idx="3">
                  <c:v>3104.2042469300732</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2021</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4324.2553642740986</c:v>
                </c:pt>
                <c:pt idx="1">
                  <c:v>4041.1009142627208</c:v>
                </c:pt>
                <c:pt idx="2">
                  <c:v>351.09475325986273</c:v>
                </c:pt>
                <c:pt idx="3">
                  <c:v>2997.7637395810289</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271454.89423076925</c:v>
                </c:pt>
                <c:pt idx="1">
                  <c:v>100639.43441636582</c:v>
                </c:pt>
                <c:pt idx="2">
                  <c:v>163732.57076335477</c:v>
                </c:pt>
                <c:pt idx="3">
                  <c:v>35803.787386526514</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2020</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375186</c:v>
                </c:pt>
                <c:pt idx="1">
                  <c:v>102401.97556636843</c:v>
                </c:pt>
                <c:pt idx="2">
                  <c:v>173987.3295662638</c:v>
                </c:pt>
                <c:pt idx="3">
                  <c:v>33616.30625895843</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2021</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112892.84615384616</c:v>
                </c:pt>
                <c:pt idx="1">
                  <c:v>112820.34615183383</c:v>
                </c:pt>
                <c:pt idx="2">
                  <c:v>188188.28956731022</c:v>
                </c:pt>
                <c:pt idx="3">
                  <c:v>35814.894648829431</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8920.4557356608475</c:v>
                </c:pt>
                <c:pt idx="1">
                  <c:v>7645.16</c:v>
                </c:pt>
                <c:pt idx="2">
                  <c:v>7040.4526530612247</c:v>
                </c:pt>
                <c:pt idx="3">
                  <c:v>13638.057761732853</c:v>
                </c:pt>
                <c:pt idx="4">
                  <c:v>19854.9175</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2020</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11333.992503086034</c:v>
                </c:pt>
                <c:pt idx="1">
                  <c:v>8411.9601644300001</c:v>
                </c:pt>
                <c:pt idx="2">
                  <c:v>6161.3536816326532</c:v>
                </c:pt>
                <c:pt idx="3">
                  <c:v>15370.772092293204</c:v>
                </c:pt>
                <c:pt idx="4">
                  <c:v>19809.1175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2021</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10743.278054862843</c:v>
                </c:pt>
                <c:pt idx="1">
                  <c:v>8518.8459999999995</c:v>
                </c:pt>
                <c:pt idx="2">
                  <c:v>6310.199289795919</c:v>
                </c:pt>
                <c:pt idx="3">
                  <c:v>17809.5</c:v>
                </c:pt>
                <c:pt idx="4">
                  <c:v>22635.919999999998</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'Tab2'!$K$71:$K$225</c:f>
              <c:numCache>
                <c:formatCode>General</c:formatCode>
                <c:ptCount val="15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'Tab2'!$N$71:$N$225</c:f>
              <c:numCache>
                <c:formatCode>#\ ##0.0</c:formatCode>
                <c:ptCount val="155"/>
                <c:pt idx="0">
                  <c:v>235.15885687732347</c:v>
                </c:pt>
                <c:pt idx="1">
                  <c:v>196.98220292504575</c:v>
                </c:pt>
                <c:pt idx="2">
                  <c:v>180.13968354430384</c:v>
                </c:pt>
                <c:pt idx="3">
                  <c:v>220.664243772242</c:v>
                </c:pt>
                <c:pt idx="4">
                  <c:v>236.6244240837697</c:v>
                </c:pt>
                <c:pt idx="5">
                  <c:v>223.82939003436425</c:v>
                </c:pt>
                <c:pt idx="6">
                  <c:v>221.92283645655877</c:v>
                </c:pt>
                <c:pt idx="7">
                  <c:v>248.22182885906039</c:v>
                </c:pt>
                <c:pt idx="8">
                  <c:v>268.23652317880794</c:v>
                </c:pt>
                <c:pt idx="9">
                  <c:v>293.19008943089432</c:v>
                </c:pt>
                <c:pt idx="10">
                  <c:v>259.80088709677426</c:v>
                </c:pt>
                <c:pt idx="11">
                  <c:v>294.64919841269847</c:v>
                </c:pt>
                <c:pt idx="12">
                  <c:v>273.18504687500001</c:v>
                </c:pt>
                <c:pt idx="13">
                  <c:v>292.31965384615387</c:v>
                </c:pt>
                <c:pt idx="14">
                  <c:v>235.27773134328362</c:v>
                </c:pt>
                <c:pt idx="15">
                  <c:v>275.32891970802922</c:v>
                </c:pt>
                <c:pt idx="16">
                  <c:v>300.79157446808512</c:v>
                </c:pt>
                <c:pt idx="17">
                  <c:v>296.82571927374306</c:v>
                </c:pt>
                <c:pt idx="18">
                  <c:v>242.90505532503462</c:v>
                </c:pt>
                <c:pt idx="19">
                  <c:v>285.78508831521742</c:v>
                </c:pt>
                <c:pt idx="20">
                  <c:v>272.01007978723408</c:v>
                </c:pt>
                <c:pt idx="21">
                  <c:v>193.90108865710562</c:v>
                </c:pt>
                <c:pt idx="22">
                  <c:v>302.00583766233768</c:v>
                </c:pt>
                <c:pt idx="23">
                  <c:v>400.0732778489118</c:v>
                </c:pt>
                <c:pt idx="24">
                  <c:v>282.64259822560206</c:v>
                </c:pt>
                <c:pt idx="25">
                  <c:v>228.44284557907849</c:v>
                </c:pt>
                <c:pt idx="26">
                  <c:v>201.01099255583128</c:v>
                </c:pt>
                <c:pt idx="27">
                  <c:v>253.5972972972973</c:v>
                </c:pt>
                <c:pt idx="28">
                  <c:v>271.53604495747271</c:v>
                </c:pt>
                <c:pt idx="29">
                  <c:v>218.45146882494006</c:v>
                </c:pt>
                <c:pt idx="30">
                  <c:v>189.45566308243733</c:v>
                </c:pt>
                <c:pt idx="31">
                  <c:v>220.5193889541716</c:v>
                </c:pt>
                <c:pt idx="32">
                  <c:v>237.96126900584801</c:v>
                </c:pt>
                <c:pt idx="33">
                  <c:v>228.79883949191679</c:v>
                </c:pt>
                <c:pt idx="34">
                  <c:v>239.45324480369521</c:v>
                </c:pt>
                <c:pt idx="35">
                  <c:v>247.56479954180998</c:v>
                </c:pt>
                <c:pt idx="36">
                  <c:v>231.27107428571432</c:v>
                </c:pt>
                <c:pt idx="37">
                  <c:v>199.2761455981942</c:v>
                </c:pt>
                <c:pt idx="38">
                  <c:v>230.25795941375418</c:v>
                </c:pt>
                <c:pt idx="39">
                  <c:v>190.00865061590159</c:v>
                </c:pt>
                <c:pt idx="40">
                  <c:v>238.40875835189308</c:v>
                </c:pt>
                <c:pt idx="41">
                  <c:v>198.40916299559478</c:v>
                </c:pt>
                <c:pt idx="42">
                  <c:v>229.22657836644592</c:v>
                </c:pt>
                <c:pt idx="43">
                  <c:v>271.18190109890105</c:v>
                </c:pt>
                <c:pt idx="44">
                  <c:v>324.79961538461544</c:v>
                </c:pt>
                <c:pt idx="45">
                  <c:v>283.94877317339154</c:v>
                </c:pt>
                <c:pt idx="46">
                  <c:v>288.4887242128122</c:v>
                </c:pt>
                <c:pt idx="47">
                  <c:v>237.78626349892022</c:v>
                </c:pt>
                <c:pt idx="48">
                  <c:v>286.48258565310493</c:v>
                </c:pt>
                <c:pt idx="49">
                  <c:v>246.46010095642944</c:v>
                </c:pt>
                <c:pt idx="50">
                  <c:v>299.47478214665244</c:v>
                </c:pt>
                <c:pt idx="51">
                  <c:v>284.33636363636379</c:v>
                </c:pt>
                <c:pt idx="52">
                  <c:v>623.5478343949045</c:v>
                </c:pt>
                <c:pt idx="53">
                  <c:v>386.1114405888539</c:v>
                </c:pt>
                <c:pt idx="54">
                  <c:v>393.00942408376989</c:v>
                </c:pt>
                <c:pt idx="55">
                  <c:v>379.02657320872294</c:v>
                </c:pt>
                <c:pt idx="56">
                  <c:v>410.32980986639262</c:v>
                </c:pt>
                <c:pt idx="57">
                  <c:v>450.26714943705235</c:v>
                </c:pt>
                <c:pt idx="58">
                  <c:v>476.83819344933471</c:v>
                </c:pt>
                <c:pt idx="59">
                  <c:v>425.44984247967488</c:v>
                </c:pt>
                <c:pt idx="60">
                  <c:v>448.83912386706953</c:v>
                </c:pt>
                <c:pt idx="61">
                  <c:v>397.6288615847543</c:v>
                </c:pt>
                <c:pt idx="62">
                  <c:v>404.12516533066133</c:v>
                </c:pt>
                <c:pt idx="63">
                  <c:v>464.49606256206562</c:v>
                </c:pt>
                <c:pt idx="64">
                  <c:v>506.63187869822497</c:v>
                </c:pt>
                <c:pt idx="65">
                  <c:v>509.09285225048927</c:v>
                </c:pt>
                <c:pt idx="66">
                  <c:v>685.04933628318588</c:v>
                </c:pt>
                <c:pt idx="67">
                  <c:v>620.40271497584502</c:v>
                </c:pt>
                <c:pt idx="68">
                  <c:v>517.14695506692169</c:v>
                </c:pt>
                <c:pt idx="69">
                  <c:v>375.56207421503336</c:v>
                </c:pt>
                <c:pt idx="70">
                  <c:v>465.59066951566956</c:v>
                </c:pt>
                <c:pt idx="71">
                  <c:v>709.88247191011237</c:v>
                </c:pt>
                <c:pt idx="72">
                  <c:v>974.2323846863469</c:v>
                </c:pt>
                <c:pt idx="73">
                  <c:v>644.9454379562045</c:v>
                </c:pt>
                <c:pt idx="74">
                  <c:v>579.24656799259969</c:v>
                </c:pt>
                <c:pt idx="75">
                  <c:v>732.86586016559318</c:v>
                </c:pt>
                <c:pt idx="76">
                  <c:v>667.46205397987194</c:v>
                </c:pt>
                <c:pt idx="77">
                  <c:v>580.75702272727278</c:v>
                </c:pt>
                <c:pt idx="78">
                  <c:v>717.71583029197086</c:v>
                </c:pt>
                <c:pt idx="79">
                  <c:v>653.9992522522524</c:v>
                </c:pt>
                <c:pt idx="80">
                  <c:v>855.34134380453759</c:v>
                </c:pt>
                <c:pt idx="81">
                  <c:v>565.52046749777412</c:v>
                </c:pt>
                <c:pt idx="82">
                  <c:v>601.64202412868633</c:v>
                </c:pt>
                <c:pt idx="83">
                  <c:v>655.40036856127881</c:v>
                </c:pt>
                <c:pt idx="84">
                  <c:v>719.00989786856132</c:v>
                </c:pt>
                <c:pt idx="85">
                  <c:v>475.36075396825396</c:v>
                </c:pt>
                <c:pt idx="86">
                  <c:v>628.44626991150437</c:v>
                </c:pt>
                <c:pt idx="87">
                  <c:v>587.40400877193031</c:v>
                </c:pt>
                <c:pt idx="88">
                  <c:v>574.92462620932281</c:v>
                </c:pt>
                <c:pt idx="89">
                  <c:v>438.74680555555562</c:v>
                </c:pt>
                <c:pt idx="90">
                  <c:v>609.09987402258901</c:v>
                </c:pt>
                <c:pt idx="91">
                  <c:v>645.49256896551731</c:v>
                </c:pt>
                <c:pt idx="92">
                  <c:v>784.60741852487149</c:v>
                </c:pt>
                <c:pt idx="93">
                  <c:v>575.4012977099236</c:v>
                </c:pt>
                <c:pt idx="94">
                  <c:v>662.06982949701614</c:v>
                </c:pt>
                <c:pt idx="95">
                  <c:v>690.72231932773138</c:v>
                </c:pt>
                <c:pt idx="96">
                  <c:v>864.57613617021286</c:v>
                </c:pt>
                <c:pt idx="97">
                  <c:v>679.73936601859691</c:v>
                </c:pt>
                <c:pt idx="98">
                  <c:v>868.48104414261513</c:v>
                </c:pt>
                <c:pt idx="99">
                  <c:v>734.28453642384068</c:v>
                </c:pt>
                <c:pt idx="100">
                  <c:v>759.34603363412634</c:v>
                </c:pt>
                <c:pt idx="101">
                  <c:v>702.9633934426231</c:v>
                </c:pt>
                <c:pt idx="102">
                  <c:v>918.11080016247013</c:v>
                </c:pt>
                <c:pt idx="103">
                  <c:v>881.75054931836439</c:v>
                </c:pt>
                <c:pt idx="104">
                  <c:v>925.298768</c:v>
                </c:pt>
                <c:pt idx="105">
                  <c:v>751.19540970564856</c:v>
                </c:pt>
                <c:pt idx="106">
                  <c:v>992.30896730462507</c:v>
                </c:pt>
                <c:pt idx="107">
                  <c:v>937.93941943128004</c:v>
                </c:pt>
                <c:pt idx="108">
                  <c:v>2057.4592816697445</c:v>
                </c:pt>
                <c:pt idx="109">
                  <c:v>1049.4064243011774</c:v>
                </c:pt>
                <c:pt idx="110">
                  <c:v>1054.4548218895704</c:v>
                </c:pt>
                <c:pt idx="111">
                  <c:v>1078.7521542462487</c:v>
                </c:pt>
                <c:pt idx="112">
                  <c:v>1274.8872161327517</c:v>
                </c:pt>
                <c:pt idx="113">
                  <c:v>927.06829197214904</c:v>
                </c:pt>
                <c:pt idx="114">
                  <c:v>1105.3865833390562</c:v>
                </c:pt>
                <c:pt idx="115">
                  <c:v>931.58028892414688</c:v>
                </c:pt>
                <c:pt idx="116">
                  <c:v>1032.0633628555886</c:v>
                </c:pt>
                <c:pt idx="117">
                  <c:v>754.53271741770538</c:v>
                </c:pt>
                <c:pt idx="118">
                  <c:v>1040.2894665826284</c:v>
                </c:pt>
                <c:pt idx="119">
                  <c:v>979.53104559960457</c:v>
                </c:pt>
                <c:pt idx="120">
                  <c:v>1202.9665823687071</c:v>
                </c:pt>
                <c:pt idx="121">
                  <c:v>1177.9313650956178</c:v>
                </c:pt>
                <c:pt idx="122">
                  <c:v>857.11715115918253</c:v>
                </c:pt>
                <c:pt idx="123">
                  <c:v>1035.2974861508544</c:v>
                </c:pt>
                <c:pt idx="124">
                  <c:v>1021.081744432644</c:v>
                </c:pt>
                <c:pt idx="125">
                  <c:v>838.50967969717544</c:v>
                </c:pt>
                <c:pt idx="126">
                  <c:v>1233.4921894769541</c:v>
                </c:pt>
                <c:pt idx="127">
                  <c:v>986.25097752695069</c:v>
                </c:pt>
                <c:pt idx="128">
                  <c:v>1082.0454495588449</c:v>
                </c:pt>
                <c:pt idx="129">
                  <c:v>828.65658939066475</c:v>
                </c:pt>
                <c:pt idx="130">
                  <c:v>1096.905499730299</c:v>
                </c:pt>
                <c:pt idx="131">
                  <c:v>973.92637856958356</c:v>
                </c:pt>
                <c:pt idx="132">
                  <c:v>1119.6048537294707</c:v>
                </c:pt>
                <c:pt idx="133">
                  <c:v>861.80156314949977</c:v>
                </c:pt>
                <c:pt idx="134">
                  <c:v>1511.4466531689902</c:v>
                </c:pt>
                <c:pt idx="135">
                  <c:v>1025.5171852801182</c:v>
                </c:pt>
                <c:pt idx="136">
                  <c:v>1099.3400824693192</c:v>
                </c:pt>
                <c:pt idx="137">
                  <c:v>815.35337485308526</c:v>
                </c:pt>
                <c:pt idx="138">
                  <c:v>962.94090291921259</c:v>
                </c:pt>
                <c:pt idx="139">
                  <c:v>1202.3941037735849</c:v>
                </c:pt>
                <c:pt idx="140">
                  <c:v>1227.4707748830997</c:v>
                </c:pt>
                <c:pt idx="141">
                  <c:v>1116.6713976089763</c:v>
                </c:pt>
                <c:pt idx="142">
                  <c:v>1244.7018011074917</c:v>
                </c:pt>
                <c:pt idx="143">
                  <c:v>1098.1913735594512</c:v>
                </c:pt>
                <c:pt idx="144">
                  <c:v>1168.1826153555151</c:v>
                </c:pt>
                <c:pt idx="145">
                  <c:v>1018.5707897094017</c:v>
                </c:pt>
                <c:pt idx="146">
                  <c:v>1417.6227369074836</c:v>
                </c:pt>
                <c:pt idx="147">
                  <c:v>1320.2031421915767</c:v>
                </c:pt>
                <c:pt idx="148">
                  <c:v>1193.6087572945899</c:v>
                </c:pt>
                <c:pt idx="149">
                  <c:v>1002.6286202227799</c:v>
                </c:pt>
                <c:pt idx="150">
                  <c:v>1183.3670773091433</c:v>
                </c:pt>
                <c:pt idx="151">
                  <c:v>1243.8469699510392</c:v>
                </c:pt>
                <c:pt idx="152">
                  <c:v>1833.9023750822118</c:v>
                </c:pt>
                <c:pt idx="153">
                  <c:v>1033.049995774998</c:v>
                </c:pt>
                <c:pt idx="154">
                  <c:v>1111.1531212701261</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'Tab2'!$K$71:$K$225</c:f>
              <c:numCache>
                <c:formatCode>General</c:formatCode>
                <c:ptCount val="15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'Tab2'!$L$71:$L$225</c:f>
              <c:numCache>
                <c:formatCode>#,##0</c:formatCode>
                <c:ptCount val="155"/>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'Tab2'!$K$103:$K$225</c:f>
              <c:numCache>
                <c:formatCode>General</c:formatCode>
                <c:ptCount val="12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'Tab2'!$Q$103:$Q$225</c:f>
              <c:numCache>
                <c:formatCode>#\ ##0.0</c:formatCode>
                <c:ptCount val="123"/>
                <c:pt idx="0">
                  <c:v>689.37434502923975</c:v>
                </c:pt>
                <c:pt idx="1">
                  <c:v>666.89353926096999</c:v>
                </c:pt>
                <c:pt idx="2">
                  <c:v>778.13275404157048</c:v>
                </c:pt>
                <c:pt idx="3">
                  <c:v>764.90715922107734</c:v>
                </c:pt>
                <c:pt idx="4">
                  <c:v>731.8818</c:v>
                </c:pt>
                <c:pt idx="5">
                  <c:v>727.207900677201</c:v>
                </c:pt>
                <c:pt idx="6">
                  <c:v>776.45945885005665</c:v>
                </c:pt>
                <c:pt idx="7">
                  <c:v>745.32425531914885</c:v>
                </c:pt>
                <c:pt idx="8">
                  <c:v>782.62159242761697</c:v>
                </c:pt>
                <c:pt idx="9">
                  <c:v>607.80029185022033</c:v>
                </c:pt>
                <c:pt idx="10">
                  <c:v>670.59130794702037</c:v>
                </c:pt>
                <c:pt idx="11">
                  <c:v>802.5471978021975</c:v>
                </c:pt>
                <c:pt idx="12">
                  <c:v>734.83764835164845</c:v>
                </c:pt>
                <c:pt idx="13">
                  <c:v>842.97824972737203</c:v>
                </c:pt>
                <c:pt idx="14">
                  <c:v>722.49530401737263</c:v>
                </c:pt>
                <c:pt idx="15">
                  <c:v>659.65422246220305</c:v>
                </c:pt>
                <c:pt idx="16">
                  <c:v>909.17617773019288</c:v>
                </c:pt>
                <c:pt idx="17">
                  <c:v>768.46359192348598</c:v>
                </c:pt>
                <c:pt idx="18">
                  <c:v>810.84209883103074</c:v>
                </c:pt>
                <c:pt idx="19">
                  <c:v>611.48849365750516</c:v>
                </c:pt>
                <c:pt idx="20">
                  <c:v>796.70022823779198</c:v>
                </c:pt>
                <c:pt idx="21">
                  <c:v>962.48307570977943</c:v>
                </c:pt>
                <c:pt idx="22">
                  <c:v>952.8840994764397</c:v>
                </c:pt>
                <c:pt idx="23">
                  <c:v>1081.2163343717555</c:v>
                </c:pt>
                <c:pt idx="24">
                  <c:v>1005.6535919835562</c:v>
                </c:pt>
                <c:pt idx="25">
                  <c:v>1063.4820266120776</c:v>
                </c:pt>
                <c:pt idx="26">
                  <c:v>1152.9592169907885</c:v>
                </c:pt>
                <c:pt idx="27">
                  <c:v>896.35304878048782</c:v>
                </c:pt>
                <c:pt idx="28">
                  <c:v>944.29452165156113</c:v>
                </c:pt>
                <c:pt idx="29">
                  <c:v>904.89976429287867</c:v>
                </c:pt>
                <c:pt idx="30">
                  <c:v>678.19066132264572</c:v>
                </c:pt>
                <c:pt idx="31">
                  <c:v>1147.0303972194629</c:v>
                </c:pt>
                <c:pt idx="32">
                  <c:v>1062.7702514792902</c:v>
                </c:pt>
                <c:pt idx="33">
                  <c:v>1338.3005968688847</c:v>
                </c:pt>
                <c:pt idx="34">
                  <c:v>871.88097345132712</c:v>
                </c:pt>
                <c:pt idx="35">
                  <c:v>1413.5088647342998</c:v>
                </c:pt>
                <c:pt idx="36">
                  <c:v>1225.8132074569792</c:v>
                </c:pt>
                <c:pt idx="37">
                  <c:v>1003.1852235965748</c:v>
                </c:pt>
                <c:pt idx="38">
                  <c:v>1048.8042450142455</c:v>
                </c:pt>
                <c:pt idx="39">
                  <c:v>1082.3950561797751</c:v>
                </c:pt>
                <c:pt idx="40">
                  <c:v>1265.2181273062731</c:v>
                </c:pt>
                <c:pt idx="41">
                  <c:v>1317.0014142335767</c:v>
                </c:pt>
                <c:pt idx="42">
                  <c:v>1695.7862812210917</c:v>
                </c:pt>
                <c:pt idx="43">
                  <c:v>1155.6952207911688</c:v>
                </c:pt>
                <c:pt idx="44">
                  <c:v>1173.817511436414</c:v>
                </c:pt>
                <c:pt idx="45">
                  <c:v>979.68094090909085</c:v>
                </c:pt>
                <c:pt idx="46">
                  <c:v>1278.3332253649637</c:v>
                </c:pt>
                <c:pt idx="47">
                  <c:v>1322.2281306306309</c:v>
                </c:pt>
                <c:pt idx="48">
                  <c:v>1483.6105759162308</c:v>
                </c:pt>
                <c:pt idx="49">
                  <c:v>1138.8392965271596</c:v>
                </c:pt>
                <c:pt idx="50">
                  <c:v>1202.1660142984806</c:v>
                </c:pt>
                <c:pt idx="51">
                  <c:v>1058.7236722912971</c:v>
                </c:pt>
                <c:pt idx="52">
                  <c:v>1021.0857193605686</c:v>
                </c:pt>
                <c:pt idx="53">
                  <c:v>976.78567460317458</c:v>
                </c:pt>
                <c:pt idx="54">
                  <c:v>903.29636725663704</c:v>
                </c:pt>
                <c:pt idx="55">
                  <c:v>973.15367543859736</c:v>
                </c:pt>
                <c:pt idx="56">
                  <c:v>983.69878627968353</c:v>
                </c:pt>
                <c:pt idx="57">
                  <c:v>1012.0227213541667</c:v>
                </c:pt>
                <c:pt idx="58">
                  <c:v>1130.564365768897</c:v>
                </c:pt>
                <c:pt idx="59">
                  <c:v>1072.8550258620687</c:v>
                </c:pt>
                <c:pt idx="60">
                  <c:v>1270.3934133790742</c:v>
                </c:pt>
                <c:pt idx="61">
                  <c:v>1075.9924681933844</c:v>
                </c:pt>
                <c:pt idx="62">
                  <c:v>1141.0905498721231</c:v>
                </c:pt>
                <c:pt idx="63">
                  <c:v>1085.4958823529414</c:v>
                </c:pt>
                <c:pt idx="64">
                  <c:v>1453.6484851063831</c:v>
                </c:pt>
                <c:pt idx="65">
                  <c:v>1377.0604775993238</c:v>
                </c:pt>
                <c:pt idx="66">
                  <c:v>902.20073005093434</c:v>
                </c:pt>
                <c:pt idx="67">
                  <c:v>1180.2665935430464</c:v>
                </c:pt>
                <c:pt idx="68">
                  <c:v>1236.1984085315835</c:v>
                </c:pt>
                <c:pt idx="69">
                  <c:v>1478.991909836066</c:v>
                </c:pt>
                <c:pt idx="70">
                  <c:v>1888.4346263200646</c:v>
                </c:pt>
                <c:pt idx="71">
                  <c:v>1454.7441860465119</c:v>
                </c:pt>
                <c:pt idx="72">
                  <c:v>1313.5088920000003</c:v>
                </c:pt>
                <c:pt idx="73">
                  <c:v>1341.0293675417663</c:v>
                </c:pt>
                <c:pt idx="74">
                  <c:v>1593.9048524720893</c:v>
                </c:pt>
                <c:pt idx="75">
                  <c:v>1472.6871800947874</c:v>
                </c:pt>
                <c:pt idx="76">
                  <c:v>2003.113228438229</c:v>
                </c:pt>
                <c:pt idx="77">
                  <c:v>1676.3161714507369</c:v>
                </c:pt>
                <c:pt idx="78">
                  <c:v>1573.8840923317684</c:v>
                </c:pt>
                <c:pt idx="79">
                  <c:v>1589.0655658914743</c:v>
                </c:pt>
                <c:pt idx="80">
                  <c:v>2040.3317933947776</c:v>
                </c:pt>
                <c:pt idx="81">
                  <c:v>1830.5401450381685</c:v>
                </c:pt>
                <c:pt idx="82">
                  <c:v>1553.4565610510044</c:v>
                </c:pt>
                <c:pt idx="83">
                  <c:v>1542.1151183818745</c:v>
                </c:pt>
                <c:pt idx="84">
                  <c:v>1365.9215174655785</c:v>
                </c:pt>
                <c:pt idx="85">
                  <c:v>1232.3150663866368</c:v>
                </c:pt>
                <c:pt idx="86">
                  <c:v>1361.8257475957028</c:v>
                </c:pt>
                <c:pt idx="87">
                  <c:v>1268.8650709821593</c:v>
                </c:pt>
                <c:pt idx="88">
                  <c:v>1350.0659204162753</c:v>
                </c:pt>
                <c:pt idx="89">
                  <c:v>1320.1391950887983</c:v>
                </c:pt>
                <c:pt idx="90">
                  <c:v>1542.162307947541</c:v>
                </c:pt>
                <c:pt idx="91">
                  <c:v>1401.6430871728999</c:v>
                </c:pt>
                <c:pt idx="92">
                  <c:v>1710.0032176403713</c:v>
                </c:pt>
                <c:pt idx="93">
                  <c:v>1325.6320141568635</c:v>
                </c:pt>
                <c:pt idx="94">
                  <c:v>1438.1416289808765</c:v>
                </c:pt>
                <c:pt idx="95">
                  <c:v>1255.2201334388492</c:v>
                </c:pt>
                <c:pt idx="96">
                  <c:v>1446.1499587226101</c:v>
                </c:pt>
                <c:pt idx="97">
                  <c:v>1351.8350060423886</c:v>
                </c:pt>
                <c:pt idx="98">
                  <c:v>1501.2791786671528</c:v>
                </c:pt>
                <c:pt idx="99">
                  <c:v>1573.0517159723267</c:v>
                </c:pt>
                <c:pt idx="100">
                  <c:v>1388.6997958710776</c:v>
                </c:pt>
                <c:pt idx="101">
                  <c:v>1074.5571633562124</c:v>
                </c:pt>
                <c:pt idx="102">
                  <c:v>1606.3132581171897</c:v>
                </c:pt>
                <c:pt idx="103">
                  <c:v>1302.7978672210272</c:v>
                </c:pt>
                <c:pt idx="104">
                  <c:v>1384.8691603055447</c:v>
                </c:pt>
                <c:pt idx="105">
                  <c:v>1784.3369719519187</c:v>
                </c:pt>
                <c:pt idx="106">
                  <c:v>1012.8397148676171</c:v>
                </c:pt>
                <c:pt idx="107">
                  <c:v>1269.8377695417789</c:v>
                </c:pt>
                <c:pt idx="108">
                  <c:v>1318.3558450233804</c:v>
                </c:pt>
                <c:pt idx="109">
                  <c:v>1526.4815344630601</c:v>
                </c:pt>
                <c:pt idx="110">
                  <c:v>1871.3336202063444</c:v>
                </c:pt>
                <c:pt idx="111">
                  <c:v>1478.4089485278173</c:v>
                </c:pt>
                <c:pt idx="112">
                  <c:v>1405.0325187876406</c:v>
                </c:pt>
                <c:pt idx="113">
                  <c:v>1362.2918017123636</c:v>
                </c:pt>
                <c:pt idx="114">
                  <c:v>1501.1533950536041</c:v>
                </c:pt>
                <c:pt idx="115">
                  <c:v>1229.9806642606613</c:v>
                </c:pt>
                <c:pt idx="116">
                  <c:v>1783.2593117517176</c:v>
                </c:pt>
                <c:pt idx="117">
                  <c:v>1194.4601995413352</c:v>
                </c:pt>
                <c:pt idx="118">
                  <c:v>1038.756021928436</c:v>
                </c:pt>
                <c:pt idx="119">
                  <c:v>1194.2306337854523</c:v>
                </c:pt>
                <c:pt idx="120">
                  <c:v>1472.5308063301509</c:v>
                </c:pt>
                <c:pt idx="121">
                  <c:v>1432.5855509512064</c:v>
                </c:pt>
                <c:pt idx="122">
                  <c:v>1334.0727518119711</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'Tab2'!$K$103:$K$225</c:f>
              <c:numCache>
                <c:formatCode>General</c:formatCode>
                <c:ptCount val="12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'Tab2'!$O$103:$O$225</c:f>
              <c:numCache>
                <c:formatCode>#,##0</c:formatCode>
                <c:ptCount val="123"/>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2021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23. november 2021</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11906</xdr:rowOff>
    </xdr:from>
    <xdr:to>
      <xdr:col>6</xdr:col>
      <xdr:colOff>476250</xdr:colOff>
      <xdr:row>47</xdr:row>
      <xdr:rowOff>71437</xdr:rowOff>
    </xdr:to>
    <xdr:sp macro="" textlink="">
      <xdr:nvSpPr>
        <xdr:cNvPr id="4" name="Text Box 1">
          <a:extLst>
            <a:ext uri="{FF2B5EF4-FFF2-40B4-BE49-F238E27FC236}">
              <a16:creationId xmlns:a16="http://schemas.microsoft.com/office/drawing/2014/main" id="{5B8C907F-B723-4EA7-B6C1-704739A0AC73}"/>
            </a:ext>
          </a:extLst>
        </xdr:cNvPr>
        <xdr:cNvSpPr txBox="1">
          <a:spLocks noChangeArrowheads="1"/>
        </xdr:cNvSpPr>
      </xdr:nvSpPr>
      <xdr:spPr bwMode="auto">
        <a:xfrm>
          <a:off x="0" y="273844"/>
          <a:ext cx="5393531" cy="8512968"/>
        </a:xfrm>
        <a:prstGeom prst="rect">
          <a:avLst/>
        </a:prstGeom>
        <a:solidFill>
          <a:srgbClr val="FFFFFF"/>
        </a:solidFill>
        <a:ln w="9525">
          <a:noFill/>
          <a:miter lim="800000"/>
          <a:headEnd/>
          <a:tailEnd/>
        </a:ln>
      </xdr:spPr>
      <xdr:txBody>
        <a:bodyPr vertOverflow="clip" wrap="square" lIns="27432" tIns="27432" rIns="0" bIns="0" anchor="t" upright="1"/>
        <a:lstStyle/>
        <a:p>
          <a:r>
            <a:rPr lang="nb-NO" sz="1000" b="1">
              <a:effectLst/>
              <a:latin typeface="Times New Roman" panose="02020603050405020304" pitchFamily="18" charset="0"/>
              <a:ea typeface="+mn-ea"/>
              <a:cs typeface="Times New Roman" panose="02020603050405020304" pitchFamily="18" charset="0"/>
            </a:rPr>
            <a:t>Skadeutvikling 1.-3.kvartal 2021 – landbasert norsk forsikring (ex. NP)</a:t>
          </a:r>
          <a:endParaRPr lang="nb-NO" sz="1000" b="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HOVEDTREKK – kald vinter med mange frostskader og branner. Koronatiltak ga lite reiseaktivitet. Bilkollisjoner økende </a:t>
          </a:r>
          <a:endParaRPr lang="nb-NO" sz="1000">
            <a:effectLst/>
            <a:latin typeface="Times New Roman" panose="02020603050405020304" pitchFamily="18" charset="0"/>
            <a:ea typeface="+mn-ea"/>
            <a:cs typeface="Times New Roman" panose="02020603050405020304" pitchFamily="18" charset="0"/>
          </a:endParaRPr>
        </a:p>
        <a:p>
          <a:r>
            <a:rPr lang="nb-NO" sz="1000" i="1">
              <a:effectLst/>
              <a:latin typeface="Times New Roman" panose="02020603050405020304" pitchFamily="18" charset="0"/>
              <a:ea typeface="+mn-ea"/>
              <a:cs typeface="Times New Roman" panose="02020603050405020304" pitchFamily="18" charset="0"/>
            </a:rPr>
            <a:t>Merk at korona-begrensende tiltak ble innført fra 12.mars i fjor, mens det hittil i år mer eller mindre har vært tiltak i hele 1.halvår, men at det ble noe mer normalitet fra juli i år. Betydningen i år har vært størst på reise siden «unødvendige fritidsreiser, særlig til utlandet» ble frarådet, selv om det ble sluppet opp noe i juni. For næringslivet har det også vært mye nedstenginger særlig innen reiseliv og restaurant, dette kan ha medført mindre aktivitet på en del områder</a:t>
          </a:r>
          <a:r>
            <a:rPr lang="nb-NO" sz="1000">
              <a:effectLst/>
              <a:latin typeface="Times New Roman" panose="02020603050405020304" pitchFamily="18" charset="0"/>
              <a:ea typeface="+mn-ea"/>
              <a:cs typeface="Times New Roman" panose="02020603050405020304" pitchFamily="18" charset="0"/>
            </a:rPr>
            <a:t>. </a:t>
          </a:r>
        </a:p>
        <a:p>
          <a:r>
            <a:rPr lang="nb-NO" sz="1000">
              <a:effectLst/>
              <a:latin typeface="Times New Roman" panose="02020603050405020304" pitchFamily="18" charset="0"/>
              <a:ea typeface="+mn-ea"/>
              <a:cs typeface="Times New Roman" panose="02020603050405020304" pitchFamily="18" charset="0"/>
            </a:rPr>
            <a:t>Erstatningene totalt for landbasert forsikring hittil i år ble på 34,1 milliarder kr, mot 33,4 milliarder i fjor til samme tid. Dette er en økning på drøye 2 % fra i fjor. Brannskader på bygning og innbo/løsøre (privat og næring samlet) ble på 4,3 mrd.kr hittil i år, en økning på 8 %, og vannskadeerstatningene økte med nesten 20 % fra samme periode i fjor. Erstatning på motorkjøretøy økte med 3 % fra i fjor og utgjør 12,2 mrd.kr hittil i år. </a:t>
          </a:r>
        </a:p>
        <a:p>
          <a:r>
            <a:rPr lang="nb-NO" sz="500" b="1">
              <a:effectLst/>
              <a:latin typeface="Times New Roman" panose="02020603050405020304" pitchFamily="18" charset="0"/>
              <a:ea typeface="+mn-ea"/>
              <a:cs typeface="Times New Roman" panose="02020603050405020304" pitchFamily="18" charset="0"/>
            </a:rPr>
            <a:t> </a:t>
          </a:r>
          <a:endParaRPr lang="nb-NO" sz="5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Motor – kald vinter og mer privatbilbruk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Motorkjøretøy samlet har en økning i antall meldte skader fra i fjor på 2 %, hvor antall ansvarsskader de tre første kvartalene i 2021 er redusert fra samme periode i fjor, men isolert i 3.kvartal er det økning fra samme kvartal i fjor. Kaskoskadene er noe færre enn i fjor, men erstatningene øker med nesten 4 %. Erstatning etter- og antall tyveri av kjøretøy reduseres med over 30 % fra i fjor; av totale motorvognerstatninger på 12,2 mrd.kr utgjør tyveri av kjøretøy bare 51 mill.kr hittil i år. Erstatning etter tyveri </a:t>
          </a:r>
          <a:r>
            <a:rPr lang="nb-NO" sz="1000" u="sng">
              <a:effectLst/>
              <a:latin typeface="Times New Roman" panose="02020603050405020304" pitchFamily="18" charset="0"/>
              <a:ea typeface="+mn-ea"/>
              <a:cs typeface="Times New Roman" panose="02020603050405020304" pitchFamily="18" charset="0"/>
            </a:rPr>
            <a:t>fra</a:t>
          </a:r>
          <a:r>
            <a:rPr lang="nb-NO" sz="1000">
              <a:effectLst/>
              <a:latin typeface="Times New Roman" panose="02020603050405020304" pitchFamily="18" charset="0"/>
              <a:ea typeface="+mn-ea"/>
              <a:cs typeface="Times New Roman" panose="02020603050405020304" pitchFamily="18" charset="0"/>
            </a:rPr>
            <a:t> kjøretøy er også redusert, med nesten 19 % fra i fjor og utgjør 63 mill.kr. Tilsvarende periode i 2019 var tyveri av kjøretøy på 105 mill.kr og tyveri fra kjøretøy på 95 mill.kr! Brannskadene hittil i år er på nesten 219 mill.kr som er en reduksjon på 34 % fra i fjor, men en økning fra 2019 på drøye 3 %. Da må en huske at det i januar 2020 var en parkeringshusbrann ved Sola som rammet mange biler (noe over 1000). </a:t>
          </a:r>
        </a:p>
        <a:p>
          <a:r>
            <a:rPr lang="nb-NO" sz="500" b="1">
              <a:effectLst/>
              <a:latin typeface="Times New Roman" panose="02020603050405020304" pitchFamily="18" charset="0"/>
              <a:ea typeface="+mn-ea"/>
              <a:cs typeface="Times New Roman" panose="02020603050405020304" pitchFamily="18" charset="0"/>
            </a:rPr>
            <a:t> </a:t>
          </a:r>
          <a:endParaRPr lang="nb-NO" sz="5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Hus, hjem, hytte – kald vinter ga økte brann- og vannskader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Erstatninger på private bygninger og innbo hittil i år er på 7,0 mrd.kr, hvor brann utgjør 2,1 mrd.kr og vannskadene på nesten 2,6 mrd.kr. Erstatning etter brann økte med 13 % og erstatning etter vannskader økte med 20 % fra i fjor. Økningen i brann- og vannskader skyldes dels svært kald vinter på østlandsområdet i vinter, samt mye hjemmetilværelse med økt bruk av vanntilkoblede utstyr. </a:t>
          </a:r>
        </a:p>
        <a:p>
          <a:r>
            <a:rPr lang="nb-NO" sz="400" b="1">
              <a:effectLst/>
              <a:latin typeface="Times New Roman" panose="02020603050405020304" pitchFamily="18" charset="0"/>
              <a:ea typeface="+mn-ea"/>
              <a:cs typeface="Times New Roman" panose="02020603050405020304" pitchFamily="18" charset="0"/>
            </a:rPr>
            <a:t> </a:t>
          </a:r>
          <a:endParaRPr lang="nb-NO" sz="4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Næringsbygg og landbruk – kald vinter ga økte brann- og vannskader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På næringsbygg ble erstatningene totalt 3 prosent høyere enn i fjor, men hvor vannskadene økte med nesten 20 % og brannerstatningen med 3 prosent. Til sammen har det blitt erstattet skader for nesten 4,7 mrd.kr hittil i år. I januar fjor var det en stor brann i et parkeringshus ved Sola og uten denne skaden ville årets brannskader vært nesten 600 mill.kr høyere enn i fjor. I år har det vært flere større branner i avfallsanlegg og på skoler. </a:t>
          </a:r>
        </a:p>
        <a:p>
          <a:r>
            <a:rPr lang="nb-NO" sz="5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Reise – forbud mot unødvendige reiser utenlands – forsiktig åpning fra juni</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Koronapandemien har slått mest ut på reiseforsikring, men med motsatt fortegn fra i fjor da det var ekstraordinært mange avbestillingssaker.  Hittil i år er det totalt meldt 113.000 reiseskader, mens det i fjor var hele 375.000 skader på samme tidspunkt. I perioden 1.-3.kv. 2019 (normalår) var det 271.500 meldte reiseskader. Hittil i år er det naturlig nok få reisesykeskader og avbestillingsaker. </a:t>
          </a:r>
        </a:p>
        <a:p>
          <a:endParaRPr lang="nb-NO" sz="5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Fritidsbåt – juni 2020 svært varm – mer normalt i år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Med utstrakt bruk av hjemmekontor og med mindre muligheter for utenlandsturer under koronapandemien har mange kjøpt seg båt. Det kan ha gitt mange nye og uerfarne båtførere og med det økning i meldte skader. I fjor var været i juni svært varmt og gunstig i store deler av landet. I år er det fortsatt mange skader, men noe færre enn til samme tid i fjor. Hittil i år er det 5 % færre skader totalt på båt og nesten 4 % reduksjon i erstatninger. Men havariskadene har hatt økning fra i fjor; nesten 7 % i antall meldte skader og nesten 6 % økning i erstatning. Havariskadene utgjør 62 % av de totale erstatningene hittil i år på 498 mill.kr.  </a:t>
          </a:r>
        </a:p>
        <a:p>
          <a:r>
            <a:rPr lang="nb-NO" sz="500" b="1">
              <a:effectLst/>
              <a:latin typeface="Times New Roman" panose="02020603050405020304" pitchFamily="18" charset="0"/>
              <a:ea typeface="+mn-ea"/>
              <a:cs typeface="Times New Roman" panose="02020603050405020304" pitchFamily="18" charset="0"/>
            </a:rPr>
            <a:t> </a:t>
          </a:r>
          <a:endParaRPr lang="nb-NO" sz="5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Behandlingsforsikring – økt bruk/behov som følge av hjemmekontor?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Behandlingsforsikring øker i antall forsikrede, og dermed øker også bruken. Antall saker har økt med 31 % fra i fjor; en del mer enn porteføljeveksten. Men i fjor var det en nedstenging av blant annet fysioterapitilbudet, slik at det ble færre som fikk brukt tilbudet. Hittil i år er det størst vekst i bruk av psykolog og fysioterapi. Totalt er det erstatningsbeløp på nesten 1,2 mrd.kr noe som er en økning på 19 % fra i fjor. Utredning hos legespesialist/diagnostisering utgjør 405 mill.kr av totalen og operasjoner står for nesten 360 mill.kr.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200" b="0" i="0" strike="noStrike">
            <a:solidFill>
              <a:srgbClr val="000000"/>
            </a:solidFill>
            <a:latin typeface="Times New Roman"/>
            <a:cs typeface="Times New Roman"/>
          </a:endParaRPr>
        </a:p>
        <a:p>
          <a:pPr algn="l" rtl="0">
            <a:defRPr sz="1000"/>
          </a:pPr>
          <a:r>
            <a:rPr lang="en-US" sz="1050" b="0" i="0" strike="noStrike">
              <a:solidFill>
                <a:srgbClr val="000000"/>
              </a:solidFill>
              <a:latin typeface="Times New Roman" pitchFamily="18" charset="0"/>
              <a:ea typeface="+mn-ea"/>
              <a:cs typeface="Times New Roman" pitchFamily="18" charset="0"/>
            </a:rPr>
            <a:t>   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 </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Nordea Liv</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 Forsikring</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49" customWidth="1"/>
    <col min="2" max="4" width="11.42578125" style="149"/>
    <col min="5" max="5" width="14.140625" style="149" bestFit="1" customWidth="1"/>
    <col min="6" max="7" width="11.42578125" style="149"/>
    <col min="8" max="8" width="13.42578125" style="149" customWidth="1"/>
    <col min="9" max="9" width="11.42578125" style="149"/>
    <col min="10" max="10" width="13.42578125" style="149" bestFit="1" customWidth="1"/>
    <col min="11" max="256" width="11.42578125" style="149"/>
    <col min="257" max="257" width="16.28515625" style="149" customWidth="1"/>
    <col min="258" max="260" width="11.42578125" style="149"/>
    <col min="261" max="261" width="14.140625" style="149" bestFit="1" customWidth="1"/>
    <col min="262" max="263" width="11.42578125" style="149"/>
    <col min="264" max="264" width="13.42578125" style="149" customWidth="1"/>
    <col min="265" max="265" width="11.42578125" style="149"/>
    <col min="266" max="266" width="13.42578125" style="149" bestFit="1" customWidth="1"/>
    <col min="267" max="512" width="11.42578125" style="149"/>
    <col min="513" max="513" width="16.28515625" style="149" customWidth="1"/>
    <col min="514" max="516" width="11.42578125" style="149"/>
    <col min="517" max="517" width="14.140625" style="149" bestFit="1" customWidth="1"/>
    <col min="518" max="519" width="11.42578125" style="149"/>
    <col min="520" max="520" width="13.42578125" style="149" customWidth="1"/>
    <col min="521" max="521" width="11.42578125" style="149"/>
    <col min="522" max="522" width="13.42578125" style="149" bestFit="1" customWidth="1"/>
    <col min="523" max="768" width="11.42578125" style="149"/>
    <col min="769" max="769" width="16.28515625" style="149" customWidth="1"/>
    <col min="770" max="772" width="11.42578125" style="149"/>
    <col min="773" max="773" width="14.140625" style="149" bestFit="1" customWidth="1"/>
    <col min="774" max="775" width="11.42578125" style="149"/>
    <col min="776" max="776" width="13.42578125" style="149" customWidth="1"/>
    <col min="777" max="777" width="11.42578125" style="149"/>
    <col min="778" max="778" width="13.42578125" style="149" bestFit="1" customWidth="1"/>
    <col min="779" max="1024" width="11.42578125" style="149"/>
    <col min="1025" max="1025" width="16.28515625" style="149" customWidth="1"/>
    <col min="1026" max="1028" width="11.42578125" style="149"/>
    <col min="1029" max="1029" width="14.140625" style="149" bestFit="1" customWidth="1"/>
    <col min="1030" max="1031" width="11.42578125" style="149"/>
    <col min="1032" max="1032" width="13.42578125" style="149" customWidth="1"/>
    <col min="1033" max="1033" width="11.42578125" style="149"/>
    <col min="1034" max="1034" width="13.42578125" style="149" bestFit="1" customWidth="1"/>
    <col min="1035" max="1280" width="11.42578125" style="149"/>
    <col min="1281" max="1281" width="16.28515625" style="149" customWidth="1"/>
    <col min="1282" max="1284" width="11.42578125" style="149"/>
    <col min="1285" max="1285" width="14.140625" style="149" bestFit="1" customWidth="1"/>
    <col min="1286" max="1287" width="11.42578125" style="149"/>
    <col min="1288" max="1288" width="13.42578125" style="149" customWidth="1"/>
    <col min="1289" max="1289" width="11.42578125" style="149"/>
    <col min="1290" max="1290" width="13.42578125" style="149" bestFit="1" customWidth="1"/>
    <col min="1291" max="1536" width="11.42578125" style="149"/>
    <col min="1537" max="1537" width="16.28515625" style="149" customWidth="1"/>
    <col min="1538" max="1540" width="11.42578125" style="149"/>
    <col min="1541" max="1541" width="14.140625" style="149" bestFit="1" customWidth="1"/>
    <col min="1542" max="1543" width="11.42578125" style="149"/>
    <col min="1544" max="1544" width="13.42578125" style="149" customWidth="1"/>
    <col min="1545" max="1545" width="11.42578125" style="149"/>
    <col min="1546" max="1546" width="13.42578125" style="149" bestFit="1" customWidth="1"/>
    <col min="1547" max="1792" width="11.42578125" style="149"/>
    <col min="1793" max="1793" width="16.28515625" style="149" customWidth="1"/>
    <col min="1794" max="1796" width="11.42578125" style="149"/>
    <col min="1797" max="1797" width="14.140625" style="149" bestFit="1" customWidth="1"/>
    <col min="1798" max="1799" width="11.42578125" style="149"/>
    <col min="1800" max="1800" width="13.42578125" style="149" customWidth="1"/>
    <col min="1801" max="1801" width="11.42578125" style="149"/>
    <col min="1802" max="1802" width="13.42578125" style="149" bestFit="1" customWidth="1"/>
    <col min="1803" max="2048" width="11.42578125" style="149"/>
    <col min="2049" max="2049" width="16.28515625" style="149" customWidth="1"/>
    <col min="2050" max="2052" width="11.42578125" style="149"/>
    <col min="2053" max="2053" width="14.140625" style="149" bestFit="1" customWidth="1"/>
    <col min="2054" max="2055" width="11.42578125" style="149"/>
    <col min="2056" max="2056" width="13.42578125" style="149" customWidth="1"/>
    <col min="2057" max="2057" width="11.42578125" style="149"/>
    <col min="2058" max="2058" width="13.42578125" style="149" bestFit="1" customWidth="1"/>
    <col min="2059" max="2304" width="11.42578125" style="149"/>
    <col min="2305" max="2305" width="16.28515625" style="149" customWidth="1"/>
    <col min="2306" max="2308" width="11.42578125" style="149"/>
    <col min="2309" max="2309" width="14.140625" style="149" bestFit="1" customWidth="1"/>
    <col min="2310" max="2311" width="11.42578125" style="149"/>
    <col min="2312" max="2312" width="13.42578125" style="149" customWidth="1"/>
    <col min="2313" max="2313" width="11.42578125" style="149"/>
    <col min="2314" max="2314" width="13.42578125" style="149" bestFit="1" customWidth="1"/>
    <col min="2315" max="2560" width="11.42578125" style="149"/>
    <col min="2561" max="2561" width="16.28515625" style="149" customWidth="1"/>
    <col min="2562" max="2564" width="11.42578125" style="149"/>
    <col min="2565" max="2565" width="14.140625" style="149" bestFit="1" customWidth="1"/>
    <col min="2566" max="2567" width="11.42578125" style="149"/>
    <col min="2568" max="2568" width="13.42578125" style="149" customWidth="1"/>
    <col min="2569" max="2569" width="11.42578125" style="149"/>
    <col min="2570" max="2570" width="13.42578125" style="149" bestFit="1" customWidth="1"/>
    <col min="2571" max="2816" width="11.42578125" style="149"/>
    <col min="2817" max="2817" width="16.28515625" style="149" customWidth="1"/>
    <col min="2818" max="2820" width="11.42578125" style="149"/>
    <col min="2821" max="2821" width="14.140625" style="149" bestFit="1" customWidth="1"/>
    <col min="2822" max="2823" width="11.42578125" style="149"/>
    <col min="2824" max="2824" width="13.42578125" style="149" customWidth="1"/>
    <col min="2825" max="2825" width="11.42578125" style="149"/>
    <col min="2826" max="2826" width="13.42578125" style="149" bestFit="1" customWidth="1"/>
    <col min="2827" max="3072" width="11.42578125" style="149"/>
    <col min="3073" max="3073" width="16.28515625" style="149" customWidth="1"/>
    <col min="3074" max="3076" width="11.42578125" style="149"/>
    <col min="3077" max="3077" width="14.140625" style="149" bestFit="1" customWidth="1"/>
    <col min="3078" max="3079" width="11.42578125" style="149"/>
    <col min="3080" max="3080" width="13.42578125" style="149" customWidth="1"/>
    <col min="3081" max="3081" width="11.42578125" style="149"/>
    <col min="3082" max="3082" width="13.42578125" style="149" bestFit="1" customWidth="1"/>
    <col min="3083" max="3328" width="11.42578125" style="149"/>
    <col min="3329" max="3329" width="16.28515625" style="149" customWidth="1"/>
    <col min="3330" max="3332" width="11.42578125" style="149"/>
    <col min="3333" max="3333" width="14.140625" style="149" bestFit="1" customWidth="1"/>
    <col min="3334" max="3335" width="11.42578125" style="149"/>
    <col min="3336" max="3336" width="13.42578125" style="149" customWidth="1"/>
    <col min="3337" max="3337" width="11.42578125" style="149"/>
    <col min="3338" max="3338" width="13.42578125" style="149" bestFit="1" customWidth="1"/>
    <col min="3339" max="3584" width="11.42578125" style="149"/>
    <col min="3585" max="3585" width="16.28515625" style="149" customWidth="1"/>
    <col min="3586" max="3588" width="11.42578125" style="149"/>
    <col min="3589" max="3589" width="14.140625" style="149" bestFit="1" customWidth="1"/>
    <col min="3590" max="3591" width="11.42578125" style="149"/>
    <col min="3592" max="3592" width="13.42578125" style="149" customWidth="1"/>
    <col min="3593" max="3593" width="11.42578125" style="149"/>
    <col min="3594" max="3594" width="13.42578125" style="149" bestFit="1" customWidth="1"/>
    <col min="3595" max="3840" width="11.42578125" style="149"/>
    <col min="3841" max="3841" width="16.28515625" style="149" customWidth="1"/>
    <col min="3842" max="3844" width="11.42578125" style="149"/>
    <col min="3845" max="3845" width="14.140625" style="149" bestFit="1" customWidth="1"/>
    <col min="3846" max="3847" width="11.42578125" style="149"/>
    <col min="3848" max="3848" width="13.42578125" style="149" customWidth="1"/>
    <col min="3849" max="3849" width="11.42578125" style="149"/>
    <col min="3850" max="3850" width="13.42578125" style="149" bestFit="1" customWidth="1"/>
    <col min="3851" max="4096" width="11.42578125" style="149"/>
    <col min="4097" max="4097" width="16.28515625" style="149" customWidth="1"/>
    <col min="4098" max="4100" width="11.42578125" style="149"/>
    <col min="4101" max="4101" width="14.140625" style="149" bestFit="1" customWidth="1"/>
    <col min="4102" max="4103" width="11.42578125" style="149"/>
    <col min="4104" max="4104" width="13.42578125" style="149" customWidth="1"/>
    <col min="4105" max="4105" width="11.42578125" style="149"/>
    <col min="4106" max="4106" width="13.42578125" style="149" bestFit="1" customWidth="1"/>
    <col min="4107" max="4352" width="11.42578125" style="149"/>
    <col min="4353" max="4353" width="16.28515625" style="149" customWidth="1"/>
    <col min="4354" max="4356" width="11.42578125" style="149"/>
    <col min="4357" max="4357" width="14.140625" style="149" bestFit="1" customWidth="1"/>
    <col min="4358" max="4359" width="11.42578125" style="149"/>
    <col min="4360" max="4360" width="13.42578125" style="149" customWidth="1"/>
    <col min="4361" max="4361" width="11.42578125" style="149"/>
    <col min="4362" max="4362" width="13.42578125" style="149" bestFit="1" customWidth="1"/>
    <col min="4363" max="4608" width="11.42578125" style="149"/>
    <col min="4609" max="4609" width="16.28515625" style="149" customWidth="1"/>
    <col min="4610" max="4612" width="11.42578125" style="149"/>
    <col min="4613" max="4613" width="14.140625" style="149" bestFit="1" customWidth="1"/>
    <col min="4614" max="4615" width="11.42578125" style="149"/>
    <col min="4616" max="4616" width="13.42578125" style="149" customWidth="1"/>
    <col min="4617" max="4617" width="11.42578125" style="149"/>
    <col min="4618" max="4618" width="13.42578125" style="149" bestFit="1" customWidth="1"/>
    <col min="4619" max="4864" width="11.42578125" style="149"/>
    <col min="4865" max="4865" width="16.28515625" style="149" customWidth="1"/>
    <col min="4866" max="4868" width="11.42578125" style="149"/>
    <col min="4869" max="4869" width="14.140625" style="149" bestFit="1" customWidth="1"/>
    <col min="4870" max="4871" width="11.42578125" style="149"/>
    <col min="4872" max="4872" width="13.42578125" style="149" customWidth="1"/>
    <col min="4873" max="4873" width="11.42578125" style="149"/>
    <col min="4874" max="4874" width="13.42578125" style="149" bestFit="1" customWidth="1"/>
    <col min="4875" max="5120" width="11.42578125" style="149"/>
    <col min="5121" max="5121" width="16.28515625" style="149" customWidth="1"/>
    <col min="5122" max="5124" width="11.42578125" style="149"/>
    <col min="5125" max="5125" width="14.140625" style="149" bestFit="1" customWidth="1"/>
    <col min="5126" max="5127" width="11.42578125" style="149"/>
    <col min="5128" max="5128" width="13.42578125" style="149" customWidth="1"/>
    <col min="5129" max="5129" width="11.42578125" style="149"/>
    <col min="5130" max="5130" width="13.42578125" style="149" bestFit="1" customWidth="1"/>
    <col min="5131" max="5376" width="11.42578125" style="149"/>
    <col min="5377" max="5377" width="16.28515625" style="149" customWidth="1"/>
    <col min="5378" max="5380" width="11.42578125" style="149"/>
    <col min="5381" max="5381" width="14.140625" style="149" bestFit="1" customWidth="1"/>
    <col min="5382" max="5383" width="11.42578125" style="149"/>
    <col min="5384" max="5384" width="13.42578125" style="149" customWidth="1"/>
    <col min="5385" max="5385" width="11.42578125" style="149"/>
    <col min="5386" max="5386" width="13.42578125" style="149" bestFit="1" customWidth="1"/>
    <col min="5387" max="5632" width="11.42578125" style="149"/>
    <col min="5633" max="5633" width="16.28515625" style="149" customWidth="1"/>
    <col min="5634" max="5636" width="11.42578125" style="149"/>
    <col min="5637" max="5637" width="14.140625" style="149" bestFit="1" customWidth="1"/>
    <col min="5638" max="5639" width="11.42578125" style="149"/>
    <col min="5640" max="5640" width="13.42578125" style="149" customWidth="1"/>
    <col min="5641" max="5641" width="11.42578125" style="149"/>
    <col min="5642" max="5642" width="13.42578125" style="149" bestFit="1" customWidth="1"/>
    <col min="5643" max="5888" width="11.42578125" style="149"/>
    <col min="5889" max="5889" width="16.28515625" style="149" customWidth="1"/>
    <col min="5890" max="5892" width="11.42578125" style="149"/>
    <col min="5893" max="5893" width="14.140625" style="149" bestFit="1" customWidth="1"/>
    <col min="5894" max="5895" width="11.42578125" style="149"/>
    <col min="5896" max="5896" width="13.42578125" style="149" customWidth="1"/>
    <col min="5897" max="5897" width="11.42578125" style="149"/>
    <col min="5898" max="5898" width="13.42578125" style="149" bestFit="1" customWidth="1"/>
    <col min="5899" max="6144" width="11.42578125" style="149"/>
    <col min="6145" max="6145" width="16.28515625" style="149" customWidth="1"/>
    <col min="6146" max="6148" width="11.42578125" style="149"/>
    <col min="6149" max="6149" width="14.140625" style="149" bestFit="1" customWidth="1"/>
    <col min="6150" max="6151" width="11.42578125" style="149"/>
    <col min="6152" max="6152" width="13.42578125" style="149" customWidth="1"/>
    <col min="6153" max="6153" width="11.42578125" style="149"/>
    <col min="6154" max="6154" width="13.42578125" style="149" bestFit="1" customWidth="1"/>
    <col min="6155" max="6400" width="11.42578125" style="149"/>
    <col min="6401" max="6401" width="16.28515625" style="149" customWidth="1"/>
    <col min="6402" max="6404" width="11.42578125" style="149"/>
    <col min="6405" max="6405" width="14.140625" style="149" bestFit="1" customWidth="1"/>
    <col min="6406" max="6407" width="11.42578125" style="149"/>
    <col min="6408" max="6408" width="13.42578125" style="149" customWidth="1"/>
    <col min="6409" max="6409" width="11.42578125" style="149"/>
    <col min="6410" max="6410" width="13.42578125" style="149" bestFit="1" customWidth="1"/>
    <col min="6411" max="6656" width="11.42578125" style="149"/>
    <col min="6657" max="6657" width="16.28515625" style="149" customWidth="1"/>
    <col min="6658" max="6660" width="11.42578125" style="149"/>
    <col min="6661" max="6661" width="14.140625" style="149" bestFit="1" customWidth="1"/>
    <col min="6662" max="6663" width="11.42578125" style="149"/>
    <col min="6664" max="6664" width="13.42578125" style="149" customWidth="1"/>
    <col min="6665" max="6665" width="11.42578125" style="149"/>
    <col min="6666" max="6666" width="13.42578125" style="149" bestFit="1" customWidth="1"/>
    <col min="6667" max="6912" width="11.42578125" style="149"/>
    <col min="6913" max="6913" width="16.28515625" style="149" customWidth="1"/>
    <col min="6914" max="6916" width="11.42578125" style="149"/>
    <col min="6917" max="6917" width="14.140625" style="149" bestFit="1" customWidth="1"/>
    <col min="6918" max="6919" width="11.42578125" style="149"/>
    <col min="6920" max="6920" width="13.42578125" style="149" customWidth="1"/>
    <col min="6921" max="6921" width="11.42578125" style="149"/>
    <col min="6922" max="6922" width="13.42578125" style="149" bestFit="1" customWidth="1"/>
    <col min="6923" max="7168" width="11.42578125" style="149"/>
    <col min="7169" max="7169" width="16.28515625" style="149" customWidth="1"/>
    <col min="7170" max="7172" width="11.42578125" style="149"/>
    <col min="7173" max="7173" width="14.140625" style="149" bestFit="1" customWidth="1"/>
    <col min="7174" max="7175" width="11.42578125" style="149"/>
    <col min="7176" max="7176" width="13.42578125" style="149" customWidth="1"/>
    <col min="7177" max="7177" width="11.42578125" style="149"/>
    <col min="7178" max="7178" width="13.42578125" style="149" bestFit="1" customWidth="1"/>
    <col min="7179" max="7424" width="11.42578125" style="149"/>
    <col min="7425" max="7425" width="16.28515625" style="149" customWidth="1"/>
    <col min="7426" max="7428" width="11.42578125" style="149"/>
    <col min="7429" max="7429" width="14.140625" style="149" bestFit="1" customWidth="1"/>
    <col min="7430" max="7431" width="11.42578125" style="149"/>
    <col min="7432" max="7432" width="13.42578125" style="149" customWidth="1"/>
    <col min="7433" max="7433" width="11.42578125" style="149"/>
    <col min="7434" max="7434" width="13.42578125" style="149" bestFit="1" customWidth="1"/>
    <col min="7435" max="7680" width="11.42578125" style="149"/>
    <col min="7681" max="7681" width="16.28515625" style="149" customWidth="1"/>
    <col min="7682" max="7684" width="11.42578125" style="149"/>
    <col min="7685" max="7685" width="14.140625" style="149" bestFit="1" customWidth="1"/>
    <col min="7686" max="7687" width="11.42578125" style="149"/>
    <col min="7688" max="7688" width="13.42578125" style="149" customWidth="1"/>
    <col min="7689" max="7689" width="11.42578125" style="149"/>
    <col min="7690" max="7690" width="13.42578125" style="149" bestFit="1" customWidth="1"/>
    <col min="7691" max="7936" width="11.42578125" style="149"/>
    <col min="7937" max="7937" width="16.28515625" style="149" customWidth="1"/>
    <col min="7938" max="7940" width="11.42578125" style="149"/>
    <col min="7941" max="7941" width="14.140625" style="149" bestFit="1" customWidth="1"/>
    <col min="7942" max="7943" width="11.42578125" style="149"/>
    <col min="7944" max="7944" width="13.42578125" style="149" customWidth="1"/>
    <col min="7945" max="7945" width="11.42578125" style="149"/>
    <col min="7946" max="7946" width="13.42578125" style="149" bestFit="1" customWidth="1"/>
    <col min="7947" max="8192" width="11.42578125" style="149"/>
    <col min="8193" max="8193" width="16.28515625" style="149" customWidth="1"/>
    <col min="8194" max="8196" width="11.42578125" style="149"/>
    <col min="8197" max="8197" width="14.140625" style="149" bestFit="1" customWidth="1"/>
    <col min="8198" max="8199" width="11.42578125" style="149"/>
    <col min="8200" max="8200" width="13.42578125" style="149" customWidth="1"/>
    <col min="8201" max="8201" width="11.42578125" style="149"/>
    <col min="8202" max="8202" width="13.42578125" style="149" bestFit="1" customWidth="1"/>
    <col min="8203" max="8448" width="11.42578125" style="149"/>
    <col min="8449" max="8449" width="16.28515625" style="149" customWidth="1"/>
    <col min="8450" max="8452" width="11.42578125" style="149"/>
    <col min="8453" max="8453" width="14.140625" style="149" bestFit="1" customWidth="1"/>
    <col min="8454" max="8455" width="11.42578125" style="149"/>
    <col min="8456" max="8456" width="13.42578125" style="149" customWidth="1"/>
    <col min="8457" max="8457" width="11.42578125" style="149"/>
    <col min="8458" max="8458" width="13.42578125" style="149" bestFit="1" customWidth="1"/>
    <col min="8459" max="8704" width="11.42578125" style="149"/>
    <col min="8705" max="8705" width="16.28515625" style="149" customWidth="1"/>
    <col min="8706" max="8708" width="11.42578125" style="149"/>
    <col min="8709" max="8709" width="14.140625" style="149" bestFit="1" customWidth="1"/>
    <col min="8710" max="8711" width="11.42578125" style="149"/>
    <col min="8712" max="8712" width="13.42578125" style="149" customWidth="1"/>
    <col min="8713" max="8713" width="11.42578125" style="149"/>
    <col min="8714" max="8714" width="13.42578125" style="149" bestFit="1" customWidth="1"/>
    <col min="8715" max="8960" width="11.42578125" style="149"/>
    <col min="8961" max="8961" width="16.28515625" style="149" customWidth="1"/>
    <col min="8962" max="8964" width="11.42578125" style="149"/>
    <col min="8965" max="8965" width="14.140625" style="149" bestFit="1" customWidth="1"/>
    <col min="8966" max="8967" width="11.42578125" style="149"/>
    <col min="8968" max="8968" width="13.42578125" style="149" customWidth="1"/>
    <col min="8969" max="8969" width="11.42578125" style="149"/>
    <col min="8970" max="8970" width="13.42578125" style="149" bestFit="1" customWidth="1"/>
    <col min="8971" max="9216" width="11.42578125" style="149"/>
    <col min="9217" max="9217" width="16.28515625" style="149" customWidth="1"/>
    <col min="9218" max="9220" width="11.42578125" style="149"/>
    <col min="9221" max="9221" width="14.140625" style="149" bestFit="1" customWidth="1"/>
    <col min="9222" max="9223" width="11.42578125" style="149"/>
    <col min="9224" max="9224" width="13.42578125" style="149" customWidth="1"/>
    <col min="9225" max="9225" width="11.42578125" style="149"/>
    <col min="9226" max="9226" width="13.42578125" style="149" bestFit="1" customWidth="1"/>
    <col min="9227" max="9472" width="11.42578125" style="149"/>
    <col min="9473" max="9473" width="16.28515625" style="149" customWidth="1"/>
    <col min="9474" max="9476" width="11.42578125" style="149"/>
    <col min="9477" max="9477" width="14.140625" style="149" bestFit="1" customWidth="1"/>
    <col min="9478" max="9479" width="11.42578125" style="149"/>
    <col min="9480" max="9480" width="13.42578125" style="149" customWidth="1"/>
    <col min="9481" max="9481" width="11.42578125" style="149"/>
    <col min="9482" max="9482" width="13.42578125" style="149" bestFit="1" customWidth="1"/>
    <col min="9483" max="9728" width="11.42578125" style="149"/>
    <col min="9729" max="9729" width="16.28515625" style="149" customWidth="1"/>
    <col min="9730" max="9732" width="11.42578125" style="149"/>
    <col min="9733" max="9733" width="14.140625" style="149" bestFit="1" customWidth="1"/>
    <col min="9734" max="9735" width="11.42578125" style="149"/>
    <col min="9736" max="9736" width="13.42578125" style="149" customWidth="1"/>
    <col min="9737" max="9737" width="11.42578125" style="149"/>
    <col min="9738" max="9738" width="13.42578125" style="149" bestFit="1" customWidth="1"/>
    <col min="9739" max="9984" width="11.42578125" style="149"/>
    <col min="9985" max="9985" width="16.28515625" style="149" customWidth="1"/>
    <col min="9986" max="9988" width="11.42578125" style="149"/>
    <col min="9989" max="9989" width="14.140625" style="149" bestFit="1" customWidth="1"/>
    <col min="9990" max="9991" width="11.42578125" style="149"/>
    <col min="9992" max="9992" width="13.42578125" style="149" customWidth="1"/>
    <col min="9993" max="9993" width="11.42578125" style="149"/>
    <col min="9994" max="9994" width="13.42578125" style="149" bestFit="1" customWidth="1"/>
    <col min="9995" max="10240" width="11.42578125" style="149"/>
    <col min="10241" max="10241" width="16.28515625" style="149" customWidth="1"/>
    <col min="10242" max="10244" width="11.42578125" style="149"/>
    <col min="10245" max="10245" width="14.140625" style="149" bestFit="1" customWidth="1"/>
    <col min="10246" max="10247" width="11.42578125" style="149"/>
    <col min="10248" max="10248" width="13.42578125" style="149" customWidth="1"/>
    <col min="10249" max="10249" width="11.42578125" style="149"/>
    <col min="10250" max="10250" width="13.42578125" style="149" bestFit="1" customWidth="1"/>
    <col min="10251" max="10496" width="11.42578125" style="149"/>
    <col min="10497" max="10497" width="16.28515625" style="149" customWidth="1"/>
    <col min="10498" max="10500" width="11.42578125" style="149"/>
    <col min="10501" max="10501" width="14.140625" style="149" bestFit="1" customWidth="1"/>
    <col min="10502" max="10503" width="11.42578125" style="149"/>
    <col min="10504" max="10504" width="13.42578125" style="149" customWidth="1"/>
    <col min="10505" max="10505" width="11.42578125" style="149"/>
    <col min="10506" max="10506" width="13.42578125" style="149" bestFit="1" customWidth="1"/>
    <col min="10507" max="10752" width="11.42578125" style="149"/>
    <col min="10753" max="10753" width="16.28515625" style="149" customWidth="1"/>
    <col min="10754" max="10756" width="11.42578125" style="149"/>
    <col min="10757" max="10757" width="14.140625" style="149" bestFit="1" customWidth="1"/>
    <col min="10758" max="10759" width="11.42578125" style="149"/>
    <col min="10760" max="10760" width="13.42578125" style="149" customWidth="1"/>
    <col min="10761" max="10761" width="11.42578125" style="149"/>
    <col min="10762" max="10762" width="13.42578125" style="149" bestFit="1" customWidth="1"/>
    <col min="10763" max="11008" width="11.42578125" style="149"/>
    <col min="11009" max="11009" width="16.28515625" style="149" customWidth="1"/>
    <col min="11010" max="11012" width="11.42578125" style="149"/>
    <col min="11013" max="11013" width="14.140625" style="149" bestFit="1" customWidth="1"/>
    <col min="11014" max="11015" width="11.42578125" style="149"/>
    <col min="11016" max="11016" width="13.42578125" style="149" customWidth="1"/>
    <col min="11017" max="11017" width="11.42578125" style="149"/>
    <col min="11018" max="11018" width="13.42578125" style="149" bestFit="1" customWidth="1"/>
    <col min="11019" max="11264" width="11.42578125" style="149"/>
    <col min="11265" max="11265" width="16.28515625" style="149" customWidth="1"/>
    <col min="11266" max="11268" width="11.42578125" style="149"/>
    <col min="11269" max="11269" width="14.140625" style="149" bestFit="1" customWidth="1"/>
    <col min="11270" max="11271" width="11.42578125" style="149"/>
    <col min="11272" max="11272" width="13.42578125" style="149" customWidth="1"/>
    <col min="11273" max="11273" width="11.42578125" style="149"/>
    <col min="11274" max="11274" width="13.42578125" style="149" bestFit="1" customWidth="1"/>
    <col min="11275" max="11520" width="11.42578125" style="149"/>
    <col min="11521" max="11521" width="16.28515625" style="149" customWidth="1"/>
    <col min="11522" max="11524" width="11.42578125" style="149"/>
    <col min="11525" max="11525" width="14.140625" style="149" bestFit="1" customWidth="1"/>
    <col min="11526" max="11527" width="11.42578125" style="149"/>
    <col min="11528" max="11528" width="13.42578125" style="149" customWidth="1"/>
    <col min="11529" max="11529" width="11.42578125" style="149"/>
    <col min="11530" max="11530" width="13.42578125" style="149" bestFit="1" customWidth="1"/>
    <col min="11531" max="11776" width="11.42578125" style="149"/>
    <col min="11777" max="11777" width="16.28515625" style="149" customWidth="1"/>
    <col min="11778" max="11780" width="11.42578125" style="149"/>
    <col min="11781" max="11781" width="14.140625" style="149" bestFit="1" customWidth="1"/>
    <col min="11782" max="11783" width="11.42578125" style="149"/>
    <col min="11784" max="11784" width="13.42578125" style="149" customWidth="1"/>
    <col min="11785" max="11785" width="11.42578125" style="149"/>
    <col min="11786" max="11786" width="13.42578125" style="149" bestFit="1" customWidth="1"/>
    <col min="11787" max="12032" width="11.42578125" style="149"/>
    <col min="12033" max="12033" width="16.28515625" style="149" customWidth="1"/>
    <col min="12034" max="12036" width="11.42578125" style="149"/>
    <col min="12037" max="12037" width="14.140625" style="149" bestFit="1" customWidth="1"/>
    <col min="12038" max="12039" width="11.42578125" style="149"/>
    <col min="12040" max="12040" width="13.42578125" style="149" customWidth="1"/>
    <col min="12041" max="12041" width="11.42578125" style="149"/>
    <col min="12042" max="12042" width="13.42578125" style="149" bestFit="1" customWidth="1"/>
    <col min="12043" max="12288" width="11.42578125" style="149"/>
    <col min="12289" max="12289" width="16.28515625" style="149" customWidth="1"/>
    <col min="12290" max="12292" width="11.42578125" style="149"/>
    <col min="12293" max="12293" width="14.140625" style="149" bestFit="1" customWidth="1"/>
    <col min="12294" max="12295" width="11.42578125" style="149"/>
    <col min="12296" max="12296" width="13.42578125" style="149" customWidth="1"/>
    <col min="12297" max="12297" width="11.42578125" style="149"/>
    <col min="12298" max="12298" width="13.42578125" style="149" bestFit="1" customWidth="1"/>
    <col min="12299" max="12544" width="11.42578125" style="149"/>
    <col min="12545" max="12545" width="16.28515625" style="149" customWidth="1"/>
    <col min="12546" max="12548" width="11.42578125" style="149"/>
    <col min="12549" max="12549" width="14.140625" style="149" bestFit="1" customWidth="1"/>
    <col min="12550" max="12551" width="11.42578125" style="149"/>
    <col min="12552" max="12552" width="13.42578125" style="149" customWidth="1"/>
    <col min="12553" max="12553" width="11.42578125" style="149"/>
    <col min="12554" max="12554" width="13.42578125" style="149" bestFit="1" customWidth="1"/>
    <col min="12555" max="12800" width="11.42578125" style="149"/>
    <col min="12801" max="12801" width="16.28515625" style="149" customWidth="1"/>
    <col min="12802" max="12804" width="11.42578125" style="149"/>
    <col min="12805" max="12805" width="14.140625" style="149" bestFit="1" customWidth="1"/>
    <col min="12806" max="12807" width="11.42578125" style="149"/>
    <col min="12808" max="12808" width="13.42578125" style="149" customWidth="1"/>
    <col min="12809" max="12809" width="11.42578125" style="149"/>
    <col min="12810" max="12810" width="13.42578125" style="149" bestFit="1" customWidth="1"/>
    <col min="12811" max="13056" width="11.42578125" style="149"/>
    <col min="13057" max="13057" width="16.28515625" style="149" customWidth="1"/>
    <col min="13058" max="13060" width="11.42578125" style="149"/>
    <col min="13061" max="13061" width="14.140625" style="149" bestFit="1" customWidth="1"/>
    <col min="13062" max="13063" width="11.42578125" style="149"/>
    <col min="13064" max="13064" width="13.42578125" style="149" customWidth="1"/>
    <col min="13065" max="13065" width="11.42578125" style="149"/>
    <col min="13066" max="13066" width="13.42578125" style="149" bestFit="1" customWidth="1"/>
    <col min="13067" max="13312" width="11.42578125" style="149"/>
    <col min="13313" max="13313" width="16.28515625" style="149" customWidth="1"/>
    <col min="13314" max="13316" width="11.42578125" style="149"/>
    <col min="13317" max="13317" width="14.140625" style="149" bestFit="1" customWidth="1"/>
    <col min="13318" max="13319" width="11.42578125" style="149"/>
    <col min="13320" max="13320" width="13.42578125" style="149" customWidth="1"/>
    <col min="13321" max="13321" width="11.42578125" style="149"/>
    <col min="13322" max="13322" width="13.42578125" style="149" bestFit="1" customWidth="1"/>
    <col min="13323" max="13568" width="11.42578125" style="149"/>
    <col min="13569" max="13569" width="16.28515625" style="149" customWidth="1"/>
    <col min="13570" max="13572" width="11.42578125" style="149"/>
    <col min="13573" max="13573" width="14.140625" style="149" bestFit="1" customWidth="1"/>
    <col min="13574" max="13575" width="11.42578125" style="149"/>
    <col min="13576" max="13576" width="13.42578125" style="149" customWidth="1"/>
    <col min="13577" max="13577" width="11.42578125" style="149"/>
    <col min="13578" max="13578" width="13.42578125" style="149" bestFit="1" customWidth="1"/>
    <col min="13579" max="13824" width="11.42578125" style="149"/>
    <col min="13825" max="13825" width="16.28515625" style="149" customWidth="1"/>
    <col min="13826" max="13828" width="11.42578125" style="149"/>
    <col min="13829" max="13829" width="14.140625" style="149" bestFit="1" customWidth="1"/>
    <col min="13830" max="13831" width="11.42578125" style="149"/>
    <col min="13832" max="13832" width="13.42578125" style="149" customWidth="1"/>
    <col min="13833" max="13833" width="11.42578125" style="149"/>
    <col min="13834" max="13834" width="13.42578125" style="149" bestFit="1" customWidth="1"/>
    <col min="13835" max="14080" width="11.42578125" style="149"/>
    <col min="14081" max="14081" width="16.28515625" style="149" customWidth="1"/>
    <col min="14082" max="14084" width="11.42578125" style="149"/>
    <col min="14085" max="14085" width="14.140625" style="149" bestFit="1" customWidth="1"/>
    <col min="14086" max="14087" width="11.42578125" style="149"/>
    <col min="14088" max="14088" width="13.42578125" style="149" customWidth="1"/>
    <col min="14089" max="14089" width="11.42578125" style="149"/>
    <col min="14090" max="14090" width="13.42578125" style="149" bestFit="1" customWidth="1"/>
    <col min="14091" max="14336" width="11.42578125" style="149"/>
    <col min="14337" max="14337" width="16.28515625" style="149" customWidth="1"/>
    <col min="14338" max="14340" width="11.42578125" style="149"/>
    <col min="14341" max="14341" width="14.140625" style="149" bestFit="1" customWidth="1"/>
    <col min="14342" max="14343" width="11.42578125" style="149"/>
    <col min="14344" max="14344" width="13.42578125" style="149" customWidth="1"/>
    <col min="14345" max="14345" width="11.42578125" style="149"/>
    <col min="14346" max="14346" width="13.42578125" style="149" bestFit="1" customWidth="1"/>
    <col min="14347" max="14592" width="11.42578125" style="149"/>
    <col min="14593" max="14593" width="16.28515625" style="149" customWidth="1"/>
    <col min="14594" max="14596" width="11.42578125" style="149"/>
    <col min="14597" max="14597" width="14.140625" style="149" bestFit="1" customWidth="1"/>
    <col min="14598" max="14599" width="11.42578125" style="149"/>
    <col min="14600" max="14600" width="13.42578125" style="149" customWidth="1"/>
    <col min="14601" max="14601" width="11.42578125" style="149"/>
    <col min="14602" max="14602" width="13.42578125" style="149" bestFit="1" customWidth="1"/>
    <col min="14603" max="14848" width="11.42578125" style="149"/>
    <col min="14849" max="14849" width="16.28515625" style="149" customWidth="1"/>
    <col min="14850" max="14852" width="11.42578125" style="149"/>
    <col min="14853" max="14853" width="14.140625" style="149" bestFit="1" customWidth="1"/>
    <col min="14854" max="14855" width="11.42578125" style="149"/>
    <col min="14856" max="14856" width="13.42578125" style="149" customWidth="1"/>
    <col min="14857" max="14857" width="11.42578125" style="149"/>
    <col min="14858" max="14858" width="13.42578125" style="149" bestFit="1" customWidth="1"/>
    <col min="14859" max="15104" width="11.42578125" style="149"/>
    <col min="15105" max="15105" width="16.28515625" style="149" customWidth="1"/>
    <col min="15106" max="15108" width="11.42578125" style="149"/>
    <col min="15109" max="15109" width="14.140625" style="149" bestFit="1" customWidth="1"/>
    <col min="15110" max="15111" width="11.42578125" style="149"/>
    <col min="15112" max="15112" width="13.42578125" style="149" customWidth="1"/>
    <col min="15113" max="15113" width="11.42578125" style="149"/>
    <col min="15114" max="15114" width="13.42578125" style="149" bestFit="1" customWidth="1"/>
    <col min="15115" max="15360" width="11.42578125" style="149"/>
    <col min="15361" max="15361" width="16.28515625" style="149" customWidth="1"/>
    <col min="15362" max="15364" width="11.42578125" style="149"/>
    <col min="15365" max="15365" width="14.140625" style="149" bestFit="1" customWidth="1"/>
    <col min="15366" max="15367" width="11.42578125" style="149"/>
    <col min="15368" max="15368" width="13.42578125" style="149" customWidth="1"/>
    <col min="15369" max="15369" width="11.42578125" style="149"/>
    <col min="15370" max="15370" width="13.42578125" style="149" bestFit="1" customWidth="1"/>
    <col min="15371" max="15616" width="11.42578125" style="149"/>
    <col min="15617" max="15617" width="16.28515625" style="149" customWidth="1"/>
    <col min="15618" max="15620" width="11.42578125" style="149"/>
    <col min="15621" max="15621" width="14.140625" style="149" bestFit="1" customWidth="1"/>
    <col min="15622" max="15623" width="11.42578125" style="149"/>
    <col min="15624" max="15624" width="13.42578125" style="149" customWidth="1"/>
    <col min="15625" max="15625" width="11.42578125" style="149"/>
    <col min="15626" max="15626" width="13.42578125" style="149" bestFit="1" customWidth="1"/>
    <col min="15627" max="15872" width="11.42578125" style="149"/>
    <col min="15873" max="15873" width="16.28515625" style="149" customWidth="1"/>
    <col min="15874" max="15876" width="11.42578125" style="149"/>
    <col min="15877" max="15877" width="14.140625" style="149" bestFit="1" customWidth="1"/>
    <col min="15878" max="15879" width="11.42578125" style="149"/>
    <col min="15880" max="15880" width="13.42578125" style="149" customWidth="1"/>
    <col min="15881" max="15881" width="11.42578125" style="149"/>
    <col min="15882" max="15882" width="13.42578125" style="149" bestFit="1" customWidth="1"/>
    <col min="15883" max="16128" width="11.42578125" style="149"/>
    <col min="16129" max="16129" width="16.28515625" style="149" customWidth="1"/>
    <col min="16130" max="16132" width="11.42578125" style="149"/>
    <col min="16133" max="16133" width="14.140625" style="149" bestFit="1" customWidth="1"/>
    <col min="16134" max="16135" width="11.42578125" style="149"/>
    <col min="16136" max="16136" width="13.42578125" style="149" customWidth="1"/>
    <col min="16137" max="16137" width="11.42578125" style="149"/>
    <col min="16138" max="16138" width="13.42578125" style="149" bestFit="1" customWidth="1"/>
    <col min="16139" max="16384" width="11.42578125" style="149"/>
  </cols>
  <sheetData>
    <row r="5" spans="2:9" x14ac:dyDescent="0.2">
      <c r="B5" s="148"/>
      <c r="C5" s="148"/>
      <c r="D5" s="148"/>
      <c r="E5" s="148"/>
      <c r="F5" s="148"/>
      <c r="G5" s="148"/>
      <c r="H5" s="148"/>
    </row>
    <row r="6" spans="2:9" ht="23.25" x14ac:dyDescent="0.35">
      <c r="B6" s="150"/>
      <c r="C6" s="148"/>
      <c r="D6" s="148"/>
      <c r="E6" s="148"/>
      <c r="F6" s="148"/>
      <c r="G6" s="148"/>
      <c r="H6" s="148"/>
      <c r="I6" s="151"/>
    </row>
    <row r="7" spans="2:9" x14ac:dyDescent="0.2">
      <c r="B7" s="148"/>
      <c r="C7" s="148"/>
      <c r="D7" s="148"/>
      <c r="E7" s="148"/>
      <c r="F7" s="148"/>
      <c r="G7" s="148"/>
      <c r="H7" s="148"/>
      <c r="I7" s="148"/>
    </row>
    <row r="8" spans="2:9" x14ac:dyDescent="0.2">
      <c r="B8" s="148"/>
      <c r="C8" s="148"/>
      <c r="D8" s="148"/>
      <c r="F8" s="148"/>
      <c r="G8" s="148"/>
      <c r="H8" s="148"/>
    </row>
    <row r="9" spans="2:9" x14ac:dyDescent="0.2">
      <c r="B9" s="148"/>
      <c r="C9" s="148"/>
      <c r="D9" s="148"/>
      <c r="E9" s="148"/>
      <c r="F9" s="148"/>
      <c r="G9" s="148"/>
      <c r="H9" s="148"/>
    </row>
    <row r="10" spans="2:9" ht="23.25" x14ac:dyDescent="0.35">
      <c r="B10" s="148"/>
      <c r="C10" s="148"/>
      <c r="D10" s="148"/>
      <c r="I10" s="151"/>
    </row>
    <row r="11" spans="2:9" x14ac:dyDescent="0.2">
      <c r="B11" s="148"/>
      <c r="C11" s="148"/>
      <c r="D11" s="148"/>
    </row>
    <row r="12" spans="2:9" ht="27" customHeight="1" x14ac:dyDescent="0.35">
      <c r="B12" s="148"/>
      <c r="C12" s="148"/>
      <c r="D12" s="148"/>
      <c r="E12" s="148"/>
      <c r="F12" s="148"/>
      <c r="G12" s="148"/>
      <c r="H12" s="148"/>
      <c r="I12" s="151"/>
    </row>
    <row r="13" spans="2:9" ht="19.5" customHeight="1" x14ac:dyDescent="0.35">
      <c r="B13" s="148"/>
      <c r="C13" s="152"/>
      <c r="D13" s="152"/>
      <c r="E13" s="152"/>
      <c r="F13" s="152"/>
      <c r="G13" s="152"/>
      <c r="H13" s="152"/>
      <c r="I13" s="151"/>
    </row>
    <row r="14" spans="2:9" x14ac:dyDescent="0.2">
      <c r="B14" s="148"/>
      <c r="C14" s="148"/>
      <c r="D14" s="148"/>
      <c r="F14" s="148"/>
      <c r="G14" s="148"/>
      <c r="H14" s="148"/>
    </row>
    <row r="15" spans="2:9" x14ac:dyDescent="0.2">
      <c r="B15" s="148"/>
      <c r="C15" s="148"/>
      <c r="D15" s="148"/>
      <c r="F15" s="148"/>
      <c r="G15" s="148"/>
      <c r="H15" s="148"/>
      <c r="I15" s="148"/>
    </row>
    <row r="16" spans="2:9" ht="34.5" x14ac:dyDescent="0.45">
      <c r="B16" s="148"/>
      <c r="C16" s="148"/>
      <c r="D16" s="148"/>
      <c r="E16" s="153"/>
      <c r="F16" s="148"/>
      <c r="G16" s="148"/>
      <c r="H16" s="148"/>
      <c r="I16" s="148"/>
    </row>
    <row r="17" spans="2:9" ht="33" x14ac:dyDescent="0.45">
      <c r="B17" s="148"/>
      <c r="C17" s="148"/>
      <c r="D17" s="148"/>
      <c r="E17" s="154"/>
      <c r="F17" s="148"/>
      <c r="G17" s="148"/>
      <c r="H17" s="148"/>
      <c r="I17" s="148"/>
    </row>
    <row r="18" spans="2:9" ht="33" x14ac:dyDescent="0.45">
      <c r="D18" s="154"/>
    </row>
    <row r="19" spans="2:9" ht="18.75" x14ac:dyDescent="0.3">
      <c r="E19" s="155"/>
      <c r="I19" s="156"/>
    </row>
    <row r="21" spans="2:9" x14ac:dyDescent="0.2">
      <c r="E21" s="157"/>
    </row>
    <row r="22" spans="2:9" ht="26.25" x14ac:dyDescent="0.4">
      <c r="E22" s="158"/>
    </row>
    <row r="25" spans="2:9" ht="18.75" x14ac:dyDescent="0.3">
      <c r="E25" s="159"/>
    </row>
    <row r="26" spans="2:9" ht="18.75" x14ac:dyDescent="0.3">
      <c r="E26" s="160"/>
    </row>
    <row r="28" spans="2:9" x14ac:dyDescent="0.2">
      <c r="D28" s="152"/>
      <c r="E28" s="152"/>
      <c r="F28" s="152"/>
      <c r="G28" s="152"/>
      <c r="H28" s="152"/>
    </row>
    <row r="33" spans="1:9" ht="35.25" x14ac:dyDescent="0.2">
      <c r="A33" s="161"/>
    </row>
    <row r="36" spans="1:9" ht="33" x14ac:dyDescent="0.2">
      <c r="B36" s="162"/>
    </row>
    <row r="39" spans="1:9" ht="18" x14ac:dyDescent="0.25">
      <c r="B39" s="163"/>
    </row>
    <row r="41" spans="1:9" ht="18.75" x14ac:dyDescent="0.3">
      <c r="I41" s="164"/>
    </row>
    <row r="43" spans="1:9" ht="18.75" x14ac:dyDescent="0.3">
      <c r="B43" s="200"/>
      <c r="C43" s="200"/>
      <c r="D43" s="200"/>
    </row>
    <row r="57" spans="10:10" ht="18.75" x14ac:dyDescent="0.3">
      <c r="J57" s="165"/>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42</v>
      </c>
      <c r="B7" s="19" t="s">
        <v>3</v>
      </c>
      <c r="C7" s="20">
        <v>214593.35876105269</v>
      </c>
      <c r="D7" s="20">
        <v>237964</v>
      </c>
      <c r="E7" s="21">
        <v>253806.4645751238</v>
      </c>
      <c r="F7" s="22" t="s">
        <v>240</v>
      </c>
      <c r="G7" s="23">
        <v>18.273214996245287</v>
      </c>
      <c r="H7" s="24">
        <v>6.6575047381636665</v>
      </c>
    </row>
    <row r="8" spans="1:8" x14ac:dyDescent="0.2">
      <c r="A8" s="207"/>
      <c r="B8" s="25" t="s">
        <v>241</v>
      </c>
      <c r="C8" s="26">
        <v>163732.57076335477</v>
      </c>
      <c r="D8" s="26">
        <v>173987.3295662638</v>
      </c>
      <c r="E8" s="26">
        <v>188188.28956731022</v>
      </c>
      <c r="F8" s="27"/>
      <c r="G8" s="28">
        <v>14.936379908980783</v>
      </c>
      <c r="H8" s="29">
        <v>8.1620656150354591</v>
      </c>
    </row>
    <row r="9" spans="1:8" x14ac:dyDescent="0.2">
      <c r="A9" s="30" t="s">
        <v>18</v>
      </c>
      <c r="B9" s="31" t="s">
        <v>3</v>
      </c>
      <c r="C9" s="20">
        <v>13497.019426086958</v>
      </c>
      <c r="D9" s="20">
        <v>12133</v>
      </c>
      <c r="E9" s="21">
        <v>13115.662021053238</v>
      </c>
      <c r="F9" s="22" t="s">
        <v>240</v>
      </c>
      <c r="G9" s="32">
        <v>-2.8254934885596583</v>
      </c>
      <c r="H9" s="33">
        <v>8.0990853132221048</v>
      </c>
    </row>
    <row r="10" spans="1:8" x14ac:dyDescent="0.2">
      <c r="A10" s="34"/>
      <c r="B10" s="25" t="s">
        <v>241</v>
      </c>
      <c r="C10" s="26">
        <v>11336.603860869565</v>
      </c>
      <c r="D10" s="26">
        <v>9026.2090739130435</v>
      </c>
      <c r="E10" s="26">
        <v>10143.686326086958</v>
      </c>
      <c r="F10" s="27"/>
      <c r="G10" s="35">
        <v>-10.522706353886008</v>
      </c>
      <c r="H10" s="29">
        <v>12.380360825050829</v>
      </c>
    </row>
    <row r="11" spans="1:8" x14ac:dyDescent="0.2">
      <c r="A11" s="30" t="s">
        <v>19</v>
      </c>
      <c r="B11" s="31" t="s">
        <v>3</v>
      </c>
      <c r="C11" s="20">
        <v>8872.3980869565221</v>
      </c>
      <c r="D11" s="20">
        <v>8652</v>
      </c>
      <c r="E11" s="21">
        <v>8262.9574342552914</v>
      </c>
      <c r="F11" s="22" t="s">
        <v>240</v>
      </c>
      <c r="G11" s="37">
        <v>-6.8689507248010102</v>
      </c>
      <c r="H11" s="33">
        <v>-4.4965622485518821</v>
      </c>
    </row>
    <row r="12" spans="1:8" x14ac:dyDescent="0.2">
      <c r="A12" s="34"/>
      <c r="B12" s="25" t="s">
        <v>241</v>
      </c>
      <c r="C12" s="26">
        <v>7033.0128695652184</v>
      </c>
      <c r="D12" s="26">
        <v>5236.6969130434782</v>
      </c>
      <c r="E12" s="26">
        <v>5429.121086956522</v>
      </c>
      <c r="F12" s="27"/>
      <c r="G12" s="28">
        <v>-22.805187653635699</v>
      </c>
      <c r="H12" s="29">
        <v>3.6745333386348307</v>
      </c>
    </row>
    <row r="13" spans="1:8" x14ac:dyDescent="0.2">
      <c r="A13" s="30" t="s">
        <v>20</v>
      </c>
      <c r="B13" s="31" t="s">
        <v>3</v>
      </c>
      <c r="C13" s="20">
        <v>26709.618136645964</v>
      </c>
      <c r="D13" s="20">
        <v>29205</v>
      </c>
      <c r="E13" s="21">
        <v>23066.349294957447</v>
      </c>
      <c r="F13" s="22" t="s">
        <v>240</v>
      </c>
      <c r="G13" s="23">
        <v>-13.640288015536626</v>
      </c>
      <c r="H13" s="24">
        <v>-21.019177212951732</v>
      </c>
    </row>
    <row r="14" spans="1:8" x14ac:dyDescent="0.2">
      <c r="A14" s="34"/>
      <c r="B14" s="25" t="s">
        <v>241</v>
      </c>
      <c r="C14" s="26">
        <v>19995.815652173915</v>
      </c>
      <c r="D14" s="26">
        <v>22137.331863354037</v>
      </c>
      <c r="E14" s="26">
        <v>17411.676708074534</v>
      </c>
      <c r="F14" s="27"/>
      <c r="G14" s="38">
        <v>-12.923398520222079</v>
      </c>
      <c r="H14" s="24">
        <v>-21.346995132246775</v>
      </c>
    </row>
    <row r="15" spans="1:8" x14ac:dyDescent="0.2">
      <c r="A15" s="30" t="s">
        <v>21</v>
      </c>
      <c r="B15" s="31" t="s">
        <v>3</v>
      </c>
      <c r="C15" s="20">
        <v>1392.4719565217392</v>
      </c>
      <c r="D15" s="20">
        <v>2089</v>
      </c>
      <c r="E15" s="21">
        <v>2475.9163354551629</v>
      </c>
      <c r="F15" s="22" t="s">
        <v>240</v>
      </c>
      <c r="G15" s="37">
        <v>77.807267418136263</v>
      </c>
      <c r="H15" s="33">
        <v>18.521605335335707</v>
      </c>
    </row>
    <row r="16" spans="1:8" x14ac:dyDescent="0.2">
      <c r="A16" s="34"/>
      <c r="B16" s="25" t="s">
        <v>241</v>
      </c>
      <c r="C16" s="26">
        <v>1061.7795652173911</v>
      </c>
      <c r="D16" s="26">
        <v>1342.0967934782609</v>
      </c>
      <c r="E16" s="26">
        <v>1678.7807065217391</v>
      </c>
      <c r="F16" s="27"/>
      <c r="G16" s="28">
        <v>58.110097567946866</v>
      </c>
      <c r="H16" s="29">
        <v>25.086410658273579</v>
      </c>
    </row>
    <row r="17" spans="1:8" x14ac:dyDescent="0.2">
      <c r="A17" s="30" t="s">
        <v>22</v>
      </c>
      <c r="B17" s="31" t="s">
        <v>3</v>
      </c>
      <c r="C17" s="20">
        <v>6695.4719565217392</v>
      </c>
      <c r="D17" s="20">
        <v>5918</v>
      </c>
      <c r="E17" s="21">
        <v>6841.7308137964537</v>
      </c>
      <c r="F17" s="22" t="s">
        <v>240</v>
      </c>
      <c r="G17" s="37">
        <v>2.1844443263219233</v>
      </c>
      <c r="H17" s="33">
        <v>15.608834298689644</v>
      </c>
    </row>
    <row r="18" spans="1:8" x14ac:dyDescent="0.2">
      <c r="A18" s="34"/>
      <c r="B18" s="25" t="s">
        <v>241</v>
      </c>
      <c r="C18" s="26">
        <v>5297.7795652173909</v>
      </c>
      <c r="D18" s="26">
        <v>4489.0967934782602</v>
      </c>
      <c r="E18" s="26">
        <v>5262.2807065217385</v>
      </c>
      <c r="F18" s="27"/>
      <c r="G18" s="28">
        <v>-0.67007051272423723</v>
      </c>
      <c r="H18" s="29">
        <v>17.223596385062507</v>
      </c>
    </row>
    <row r="19" spans="1:8" x14ac:dyDescent="0.2">
      <c r="A19" s="30" t="s">
        <v>189</v>
      </c>
      <c r="B19" s="31" t="s">
        <v>3</v>
      </c>
      <c r="C19" s="20">
        <v>142574.0453416149</v>
      </c>
      <c r="D19" s="20">
        <v>166646</v>
      </c>
      <c r="E19" s="21">
        <v>186449.7685188466</v>
      </c>
      <c r="F19" s="22" t="s">
        <v>240</v>
      </c>
      <c r="G19" s="23">
        <v>30.773990505847792</v>
      </c>
      <c r="H19" s="24">
        <v>11.883734694410066</v>
      </c>
    </row>
    <row r="20" spans="1:8" x14ac:dyDescent="0.2">
      <c r="A20" s="30"/>
      <c r="B20" s="25" t="s">
        <v>241</v>
      </c>
      <c r="C20" s="26">
        <v>107909.53913043477</v>
      </c>
      <c r="D20" s="26">
        <v>122346.82965838509</v>
      </c>
      <c r="E20" s="26">
        <v>138268.19177018636</v>
      </c>
      <c r="F20" s="27"/>
      <c r="G20" s="38">
        <v>28.133428132851009</v>
      </c>
      <c r="H20" s="24">
        <v>13.013301739208643</v>
      </c>
    </row>
    <row r="21" spans="1:8" x14ac:dyDescent="0.2">
      <c r="A21" s="39" t="s">
        <v>12</v>
      </c>
      <c r="B21" s="31" t="s">
        <v>3</v>
      </c>
      <c r="C21" s="20">
        <v>1460.2831739130436</v>
      </c>
      <c r="D21" s="20">
        <v>1853</v>
      </c>
      <c r="E21" s="21">
        <v>2064.7823745332594</v>
      </c>
      <c r="F21" s="22" t="s">
        <v>240</v>
      </c>
      <c r="G21" s="37">
        <v>41.396025881772744</v>
      </c>
      <c r="H21" s="33">
        <v>11.42916214426657</v>
      </c>
    </row>
    <row r="22" spans="1:8" x14ac:dyDescent="0.2">
      <c r="A22" s="34"/>
      <c r="B22" s="25" t="s">
        <v>241</v>
      </c>
      <c r="C22" s="26">
        <v>1134.6677391304347</v>
      </c>
      <c r="D22" s="26">
        <v>1358.0580760869566</v>
      </c>
      <c r="E22" s="26">
        <v>1542.4684239130436</v>
      </c>
      <c r="F22" s="27"/>
      <c r="G22" s="28">
        <v>35.940096886435811</v>
      </c>
      <c r="H22" s="29">
        <v>13.57897361484261</v>
      </c>
    </row>
    <row r="23" spans="1:8" x14ac:dyDescent="0.2">
      <c r="A23" s="39" t="s">
        <v>23</v>
      </c>
      <c r="B23" s="31" t="s">
        <v>3</v>
      </c>
      <c r="C23" s="20">
        <v>5200.4719565217392</v>
      </c>
      <c r="D23" s="20">
        <v>5386</v>
      </c>
      <c r="E23" s="21">
        <v>5366.0242842253201</v>
      </c>
      <c r="F23" s="22" t="s">
        <v>240</v>
      </c>
      <c r="G23" s="23">
        <v>3.1834096806534546</v>
      </c>
      <c r="H23" s="24">
        <v>-0.37088220896175983</v>
      </c>
    </row>
    <row r="24" spans="1:8" x14ac:dyDescent="0.2">
      <c r="A24" s="34"/>
      <c r="B24" s="25" t="s">
        <v>241</v>
      </c>
      <c r="C24" s="26">
        <v>3886.7795652173913</v>
      </c>
      <c r="D24" s="26">
        <v>3847.0967934782611</v>
      </c>
      <c r="E24" s="26">
        <v>3890.2807065217389</v>
      </c>
      <c r="F24" s="27"/>
      <c r="G24" s="28">
        <v>9.0078206021232177E-2</v>
      </c>
      <c r="H24" s="29">
        <v>1.1225065383507911</v>
      </c>
    </row>
    <row r="25" spans="1:8" x14ac:dyDescent="0.2">
      <c r="A25" s="30" t="s">
        <v>24</v>
      </c>
      <c r="B25" s="31" t="s">
        <v>3</v>
      </c>
      <c r="C25" s="20">
        <v>10875.943913043478</v>
      </c>
      <c r="D25" s="20">
        <v>9242</v>
      </c>
      <c r="E25" s="21">
        <v>10582.013116496153</v>
      </c>
      <c r="F25" s="22" t="s">
        <v>240</v>
      </c>
      <c r="G25" s="23">
        <v>-2.7025773477446364</v>
      </c>
      <c r="H25" s="24">
        <v>14.499168107510869</v>
      </c>
    </row>
    <row r="26" spans="1:8" ht="13.5" thickBot="1" x14ac:dyDescent="0.25">
      <c r="A26" s="41"/>
      <c r="B26" s="42" t="s">
        <v>241</v>
      </c>
      <c r="C26" s="43">
        <v>8177.5591304347827</v>
      </c>
      <c r="D26" s="43">
        <v>6482.1935869565214</v>
      </c>
      <c r="E26" s="43">
        <v>7592.0614130434778</v>
      </c>
      <c r="F26" s="44"/>
      <c r="G26" s="45">
        <v>-7.1598102569779343</v>
      </c>
      <c r="H26" s="46">
        <v>17.12179389890845</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42</v>
      </c>
      <c r="B35" s="19" t="s">
        <v>3</v>
      </c>
      <c r="C35" s="80">
        <v>1738.0038904658556</v>
      </c>
      <c r="D35" s="80">
        <v>1739.1286627570805</v>
      </c>
      <c r="E35" s="83">
        <v>1865.4665371809601</v>
      </c>
      <c r="F35" s="22" t="s">
        <v>240</v>
      </c>
      <c r="G35" s="23">
        <v>7.3338527844687036</v>
      </c>
      <c r="H35" s="24">
        <v>7.2644351812127184</v>
      </c>
    </row>
    <row r="36" spans="1:8" ht="12.75" customHeight="1" x14ac:dyDescent="0.2">
      <c r="A36" s="207"/>
      <c r="B36" s="25" t="s">
        <v>241</v>
      </c>
      <c r="C36" s="82">
        <v>1304.3435125908318</v>
      </c>
      <c r="D36" s="82">
        <v>1266.320577001145</v>
      </c>
      <c r="E36" s="82">
        <v>1371.9298036691912</v>
      </c>
      <c r="F36" s="27"/>
      <c r="G36" s="28">
        <v>5.1816327850714714</v>
      </c>
      <c r="H36" s="29">
        <v>8.339849212443994</v>
      </c>
    </row>
    <row r="37" spans="1:8" x14ac:dyDescent="0.2">
      <c r="A37" s="30" t="s">
        <v>18</v>
      </c>
      <c r="B37" s="31" t="s">
        <v>3</v>
      </c>
      <c r="C37" s="80">
        <v>496.66997622316148</v>
      </c>
      <c r="D37" s="80">
        <v>445.74235518505702</v>
      </c>
      <c r="E37" s="83">
        <v>488.4066655845844</v>
      </c>
      <c r="F37" s="22" t="s">
        <v>240</v>
      </c>
      <c r="G37" s="32">
        <v>-1.6637427334371893</v>
      </c>
      <c r="H37" s="33">
        <v>9.5715181434383965</v>
      </c>
    </row>
    <row r="38" spans="1:8" x14ac:dyDescent="0.2">
      <c r="A38" s="34"/>
      <c r="B38" s="25" t="s">
        <v>241</v>
      </c>
      <c r="C38" s="82">
        <v>371.91435793404236</v>
      </c>
      <c r="D38" s="82">
        <v>321.89595748479019</v>
      </c>
      <c r="E38" s="82">
        <v>356.94216487917083</v>
      </c>
      <c r="F38" s="27"/>
      <c r="G38" s="35">
        <v>-4.0257098806405338</v>
      </c>
      <c r="H38" s="29">
        <v>10.887433215447146</v>
      </c>
    </row>
    <row r="39" spans="1:8" x14ac:dyDescent="0.2">
      <c r="A39" s="30" t="s">
        <v>19</v>
      </c>
      <c r="B39" s="31" t="s">
        <v>3</v>
      </c>
      <c r="C39" s="80">
        <v>225.58190716607882</v>
      </c>
      <c r="D39" s="80">
        <v>132.70640476573288</v>
      </c>
      <c r="E39" s="83">
        <v>125.69790907571084</v>
      </c>
      <c r="F39" s="22" t="s">
        <v>240</v>
      </c>
      <c r="G39" s="37">
        <v>-44.278372917926866</v>
      </c>
      <c r="H39" s="33">
        <v>-5.2812037990134399</v>
      </c>
    </row>
    <row r="40" spans="1:8" x14ac:dyDescent="0.2">
      <c r="A40" s="34"/>
      <c r="B40" s="25" t="s">
        <v>241</v>
      </c>
      <c r="C40" s="82">
        <v>160.33440446921236</v>
      </c>
      <c r="D40" s="82">
        <v>96.470303061165282</v>
      </c>
      <c r="E40" s="82">
        <v>90.687100719226251</v>
      </c>
      <c r="F40" s="27"/>
      <c r="G40" s="28">
        <v>-43.438776587316838</v>
      </c>
      <c r="H40" s="29">
        <v>-5.9948006364946309</v>
      </c>
    </row>
    <row r="41" spans="1:8" x14ac:dyDescent="0.2">
      <c r="A41" s="30" t="s">
        <v>20</v>
      </c>
      <c r="B41" s="31" t="s">
        <v>3</v>
      </c>
      <c r="C41" s="80">
        <v>266.03232587117066</v>
      </c>
      <c r="D41" s="80">
        <v>283.56403810824082</v>
      </c>
      <c r="E41" s="83">
        <v>232.73788340093503</v>
      </c>
      <c r="F41" s="22" t="s">
        <v>240</v>
      </c>
      <c r="G41" s="23">
        <v>-12.515186777098236</v>
      </c>
      <c r="H41" s="24">
        <v>-17.9240481431939</v>
      </c>
    </row>
    <row r="42" spans="1:8" x14ac:dyDescent="0.2">
      <c r="A42" s="34"/>
      <c r="B42" s="25" t="s">
        <v>241</v>
      </c>
      <c r="C42" s="82">
        <v>204.15585450534283</v>
      </c>
      <c r="D42" s="82">
        <v>218.978431171419</v>
      </c>
      <c r="E42" s="82">
        <v>179.35264393609719</v>
      </c>
      <c r="F42" s="27"/>
      <c r="G42" s="38">
        <v>-12.149154688383689</v>
      </c>
      <c r="H42" s="24">
        <v>-18.095748984657874</v>
      </c>
    </row>
    <row r="43" spans="1:8" x14ac:dyDescent="0.2">
      <c r="A43" s="30" t="s">
        <v>21</v>
      </c>
      <c r="B43" s="31" t="s">
        <v>3</v>
      </c>
      <c r="C43" s="80">
        <v>9.1229695792220848</v>
      </c>
      <c r="D43" s="80">
        <v>12.890875694108434</v>
      </c>
      <c r="E43" s="83">
        <v>16.557266741619884</v>
      </c>
      <c r="F43" s="22" t="s">
        <v>240</v>
      </c>
      <c r="G43" s="37">
        <v>81.489882190659699</v>
      </c>
      <c r="H43" s="33">
        <v>28.441753178855919</v>
      </c>
    </row>
    <row r="44" spans="1:8" x14ac:dyDescent="0.2">
      <c r="A44" s="34"/>
      <c r="B44" s="25" t="s">
        <v>241</v>
      </c>
      <c r="C44" s="82">
        <v>7.0254256583300272</v>
      </c>
      <c r="D44" s="82">
        <v>9.0220479915949099</v>
      </c>
      <c r="E44" s="82">
        <v>11.951244572380936</v>
      </c>
      <c r="F44" s="27"/>
      <c r="G44" s="28">
        <v>70.114170352231696</v>
      </c>
      <c r="H44" s="29">
        <v>32.467091546341976</v>
      </c>
    </row>
    <row r="45" spans="1:8" x14ac:dyDescent="0.2">
      <c r="A45" s="30" t="s">
        <v>22</v>
      </c>
      <c r="B45" s="31" t="s">
        <v>3</v>
      </c>
      <c r="C45" s="80">
        <v>29.893299271651255</v>
      </c>
      <c r="D45" s="80">
        <v>27.984178563933121</v>
      </c>
      <c r="E45" s="83">
        <v>31.940536768288013</v>
      </c>
      <c r="F45" s="22" t="s">
        <v>240</v>
      </c>
      <c r="G45" s="37">
        <v>6.8484829259987947</v>
      </c>
      <c r="H45" s="33">
        <v>14.137839334165662</v>
      </c>
    </row>
    <row r="46" spans="1:8" x14ac:dyDescent="0.2">
      <c r="A46" s="34"/>
      <c r="B46" s="25" t="s">
        <v>241</v>
      </c>
      <c r="C46" s="82">
        <v>24.49585329301598</v>
      </c>
      <c r="D46" s="82">
        <v>20.791133518638308</v>
      </c>
      <c r="E46" s="82">
        <v>24.492554229661142</v>
      </c>
      <c r="F46" s="27"/>
      <c r="G46" s="28">
        <v>-1.3467844191310974E-2</v>
      </c>
      <c r="H46" s="29">
        <v>17.802880769846823</v>
      </c>
    </row>
    <row r="47" spans="1:8" x14ac:dyDescent="0.2">
      <c r="A47" s="30" t="s">
        <v>189</v>
      </c>
      <c r="B47" s="31" t="s">
        <v>3</v>
      </c>
      <c r="C47" s="80">
        <v>475.55157261504684</v>
      </c>
      <c r="D47" s="80">
        <v>597.04541345724647</v>
      </c>
      <c r="E47" s="83">
        <v>695.43975968747486</v>
      </c>
      <c r="F47" s="22" t="s">
        <v>240</v>
      </c>
      <c r="G47" s="23">
        <v>46.23855744252262</v>
      </c>
      <c r="H47" s="24">
        <v>16.480211389694261</v>
      </c>
    </row>
    <row r="48" spans="1:8" x14ac:dyDescent="0.2">
      <c r="A48" s="30"/>
      <c r="B48" s="25" t="s">
        <v>241</v>
      </c>
      <c r="C48" s="82">
        <v>364.84038987522234</v>
      </c>
      <c r="D48" s="82">
        <v>436.20798290642603</v>
      </c>
      <c r="E48" s="82">
        <v>516.3024844815053</v>
      </c>
      <c r="F48" s="27"/>
      <c r="G48" s="38">
        <v>41.51461812056607</v>
      </c>
      <c r="H48" s="24">
        <v>18.361539612689953</v>
      </c>
    </row>
    <row r="49" spans="1:8" x14ac:dyDescent="0.2">
      <c r="A49" s="39" t="s">
        <v>12</v>
      </c>
      <c r="B49" s="31" t="s">
        <v>3</v>
      </c>
      <c r="C49" s="80">
        <v>25.186969873632854</v>
      </c>
      <c r="D49" s="80">
        <v>19.59035929311144</v>
      </c>
      <c r="E49" s="83">
        <v>30.825927078006021</v>
      </c>
      <c r="F49" s="22" t="s">
        <v>240</v>
      </c>
      <c r="G49" s="37">
        <v>22.388390634779554</v>
      </c>
      <c r="H49" s="33">
        <v>57.352535585426153</v>
      </c>
    </row>
    <row r="50" spans="1:8" x14ac:dyDescent="0.2">
      <c r="A50" s="34"/>
      <c r="B50" s="25" t="s">
        <v>241</v>
      </c>
      <c r="C50" s="82">
        <v>16.663164866894718</v>
      </c>
      <c r="D50" s="82">
        <v>16.176611632899643</v>
      </c>
      <c r="E50" s="82">
        <v>23.509733657479526</v>
      </c>
      <c r="F50" s="27"/>
      <c r="G50" s="28">
        <v>41.088045670046256</v>
      </c>
      <c r="H50" s="29">
        <v>45.331631808888432</v>
      </c>
    </row>
    <row r="51" spans="1:8" x14ac:dyDescent="0.2">
      <c r="A51" s="39" t="s">
        <v>23</v>
      </c>
      <c r="B51" s="31" t="s">
        <v>3</v>
      </c>
      <c r="C51" s="80">
        <v>107.9049490050141</v>
      </c>
      <c r="D51" s="80">
        <v>118.70036905708616</v>
      </c>
      <c r="E51" s="83">
        <v>127.71251085460628</v>
      </c>
      <c r="F51" s="22" t="s">
        <v>240</v>
      </c>
      <c r="G51" s="23">
        <v>18.3564906264603</v>
      </c>
      <c r="H51" s="24">
        <v>7.5923452210885216</v>
      </c>
    </row>
    <row r="52" spans="1:8" x14ac:dyDescent="0.2">
      <c r="A52" s="34"/>
      <c r="B52" s="25" t="s">
        <v>241</v>
      </c>
      <c r="C52" s="82">
        <v>78.95360924085422</v>
      </c>
      <c r="D52" s="82">
        <v>75.058743778985701</v>
      </c>
      <c r="E52" s="82">
        <v>84.586152607681598</v>
      </c>
      <c r="F52" s="27"/>
      <c r="G52" s="38">
        <v>7.1339909865866531</v>
      </c>
      <c r="H52" s="24">
        <v>12.693269763146901</v>
      </c>
    </row>
    <row r="53" spans="1:8" x14ac:dyDescent="0.2">
      <c r="A53" s="30" t="s">
        <v>24</v>
      </c>
      <c r="B53" s="31" t="s">
        <v>3</v>
      </c>
      <c r="C53" s="80">
        <v>102.05992086087727</v>
      </c>
      <c r="D53" s="80">
        <v>100.90466863256418</v>
      </c>
      <c r="E53" s="83">
        <v>116.55561824613886</v>
      </c>
      <c r="F53" s="22" t="s">
        <v>240</v>
      </c>
      <c r="G53" s="37">
        <v>14.203124265617802</v>
      </c>
      <c r="H53" s="33">
        <v>15.51062981096176</v>
      </c>
    </row>
    <row r="54" spans="1:8" ht="13.5" thickBot="1" x14ac:dyDescent="0.25">
      <c r="A54" s="41"/>
      <c r="B54" s="42" t="s">
        <v>241</v>
      </c>
      <c r="C54" s="86">
        <v>75.960452747916946</v>
      </c>
      <c r="D54" s="86">
        <v>71.719365455225599</v>
      </c>
      <c r="E54" s="86">
        <v>84.105724585988682</v>
      </c>
      <c r="F54" s="44"/>
      <c r="G54" s="45">
        <v>10.723042772141838</v>
      </c>
      <c r="H54" s="46">
        <v>17.270592192419628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1">
        <v>14</v>
      </c>
    </row>
    <row r="62" spans="1:8"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44</v>
      </c>
      <c r="B7" s="19" t="s">
        <v>3</v>
      </c>
      <c r="C7" s="20">
        <v>131285.51443171315</v>
      </c>
      <c r="D7" s="20">
        <v>140079.52566316118</v>
      </c>
      <c r="E7" s="21">
        <v>151946.03185146014</v>
      </c>
      <c r="F7" s="22" t="s">
        <v>240</v>
      </c>
      <c r="G7" s="23">
        <v>15.737088367424846</v>
      </c>
      <c r="H7" s="24">
        <v>8.471263828258131</v>
      </c>
    </row>
    <row r="8" spans="1:8" x14ac:dyDescent="0.2">
      <c r="A8" s="207"/>
      <c r="B8" s="25" t="s">
        <v>241</v>
      </c>
      <c r="C8" s="26">
        <v>100639.43441636582</v>
      </c>
      <c r="D8" s="26">
        <v>102401.97556636843</v>
      </c>
      <c r="E8" s="26">
        <v>112820.34615183383</v>
      </c>
      <c r="F8" s="27"/>
      <c r="G8" s="28">
        <v>12.103517677844948</v>
      </c>
      <c r="H8" s="29">
        <v>10.173993741666692</v>
      </c>
    </row>
    <row r="9" spans="1:8" x14ac:dyDescent="0.2">
      <c r="A9" s="30" t="s">
        <v>18</v>
      </c>
      <c r="B9" s="31" t="s">
        <v>3</v>
      </c>
      <c r="C9" s="20">
        <v>14911.881165217392</v>
      </c>
      <c r="D9" s="20">
        <v>12765.16556521739</v>
      </c>
      <c r="E9" s="21">
        <v>14386.863263412264</v>
      </c>
      <c r="F9" s="22" t="s">
        <v>240</v>
      </c>
      <c r="G9" s="32">
        <v>-3.5208026136216404</v>
      </c>
      <c r="H9" s="33">
        <v>12.704086679562437</v>
      </c>
    </row>
    <row r="10" spans="1:8" x14ac:dyDescent="0.2">
      <c r="A10" s="34"/>
      <c r="B10" s="25" t="s">
        <v>241</v>
      </c>
      <c r="C10" s="26">
        <v>11486.786599999999</v>
      </c>
      <c r="D10" s="26">
        <v>9570.192139130435</v>
      </c>
      <c r="E10" s="26">
        <v>10883.007930434782</v>
      </c>
      <c r="F10" s="27"/>
      <c r="G10" s="35">
        <v>-5.256288730611729</v>
      </c>
      <c r="H10" s="29">
        <v>13.717757932325398</v>
      </c>
    </row>
    <row r="11" spans="1:8" x14ac:dyDescent="0.2">
      <c r="A11" s="30" t="s">
        <v>19</v>
      </c>
      <c r="B11" s="31" t="s">
        <v>3</v>
      </c>
      <c r="C11" s="20">
        <v>56415.937217391307</v>
      </c>
      <c r="D11" s="20">
        <v>55376.885217391304</v>
      </c>
      <c r="E11" s="21">
        <v>65514.026701533381</v>
      </c>
      <c r="F11" s="22" t="s">
        <v>240</v>
      </c>
      <c r="G11" s="37">
        <v>16.12680730461642</v>
      </c>
      <c r="H11" s="33">
        <v>18.305727099577766</v>
      </c>
    </row>
    <row r="12" spans="1:8" x14ac:dyDescent="0.2">
      <c r="A12" s="34"/>
      <c r="B12" s="25" t="s">
        <v>241</v>
      </c>
      <c r="C12" s="26">
        <v>42758.621999999996</v>
      </c>
      <c r="D12" s="26">
        <v>41123.307130434783</v>
      </c>
      <c r="E12" s="26">
        <v>48981.026434782609</v>
      </c>
      <c r="F12" s="27"/>
      <c r="G12" s="28">
        <v>14.552397022482651</v>
      </c>
      <c r="H12" s="29">
        <v>19.107702791083241</v>
      </c>
    </row>
    <row r="13" spans="1:8" x14ac:dyDescent="0.2">
      <c r="A13" s="30" t="s">
        <v>20</v>
      </c>
      <c r="B13" s="31" t="s">
        <v>3</v>
      </c>
      <c r="C13" s="20">
        <v>3652.7796273291924</v>
      </c>
      <c r="D13" s="20">
        <v>3448.0881987577641</v>
      </c>
      <c r="E13" s="21">
        <v>2682.6370920125942</v>
      </c>
      <c r="F13" s="22" t="s">
        <v>240</v>
      </c>
      <c r="G13" s="23">
        <v>-26.559021739451026</v>
      </c>
      <c r="H13" s="24">
        <v>-22.199290233380268</v>
      </c>
    </row>
    <row r="14" spans="1:8" x14ac:dyDescent="0.2">
      <c r="A14" s="34"/>
      <c r="B14" s="25" t="s">
        <v>241</v>
      </c>
      <c r="C14" s="26">
        <v>3110.1057142857144</v>
      </c>
      <c r="D14" s="26">
        <v>2741.3843478260869</v>
      </c>
      <c r="E14" s="26">
        <v>2180.9649689440994</v>
      </c>
      <c r="F14" s="27"/>
      <c r="G14" s="38">
        <v>-29.874892711002502</v>
      </c>
      <c r="H14" s="24">
        <v>-20.442933488199102</v>
      </c>
    </row>
    <row r="15" spans="1:8" x14ac:dyDescent="0.2">
      <c r="A15" s="30" t="s">
        <v>21</v>
      </c>
      <c r="B15" s="31" t="s">
        <v>3</v>
      </c>
      <c r="C15" s="20">
        <v>3363.6857246376812</v>
      </c>
      <c r="D15" s="20">
        <v>4300.3173913043483</v>
      </c>
      <c r="E15" s="21">
        <v>4950.4844032488572</v>
      </c>
      <c r="F15" s="22" t="s">
        <v>240</v>
      </c>
      <c r="G15" s="37">
        <v>47.174403571311586</v>
      </c>
      <c r="H15" s="33">
        <v>15.11904710241177</v>
      </c>
    </row>
    <row r="16" spans="1:8" x14ac:dyDescent="0.2">
      <c r="A16" s="34"/>
      <c r="B16" s="25" t="s">
        <v>241</v>
      </c>
      <c r="C16" s="26">
        <v>2773.6974999999998</v>
      </c>
      <c r="D16" s="26">
        <v>3476.0704347826086</v>
      </c>
      <c r="E16" s="26">
        <v>4028.1147826086958</v>
      </c>
      <c r="F16" s="27"/>
      <c r="G16" s="28">
        <v>45.225453843063121</v>
      </c>
      <c r="H16" s="29">
        <v>15.881276233708192</v>
      </c>
    </row>
    <row r="17" spans="1:8" x14ac:dyDescent="0.2">
      <c r="A17" s="30" t="s">
        <v>22</v>
      </c>
      <c r="B17" s="31" t="s">
        <v>3</v>
      </c>
      <c r="C17" s="20">
        <v>492.68572463768118</v>
      </c>
      <c r="D17" s="20">
        <v>420.31739130434784</v>
      </c>
      <c r="E17" s="21">
        <v>388.28302338025242</v>
      </c>
      <c r="F17" s="22" t="s">
        <v>240</v>
      </c>
      <c r="G17" s="37">
        <v>-21.190526949853478</v>
      </c>
      <c r="H17" s="33">
        <v>-7.6214709614286846</v>
      </c>
    </row>
    <row r="18" spans="1:8" x14ac:dyDescent="0.2">
      <c r="A18" s="34"/>
      <c r="B18" s="25" t="s">
        <v>241</v>
      </c>
      <c r="C18" s="26">
        <v>475.69749999999999</v>
      </c>
      <c r="D18" s="26">
        <v>311.07043478260869</v>
      </c>
      <c r="E18" s="26">
        <v>311.61478260869563</v>
      </c>
      <c r="F18" s="27"/>
      <c r="G18" s="28">
        <v>-34.493079612843118</v>
      </c>
      <c r="H18" s="29">
        <v>0.17499182346512043</v>
      </c>
    </row>
    <row r="19" spans="1:8" x14ac:dyDescent="0.2">
      <c r="A19" s="30" t="s">
        <v>189</v>
      </c>
      <c r="B19" s="31" t="s">
        <v>3</v>
      </c>
      <c r="C19" s="20">
        <v>35585.449068322981</v>
      </c>
      <c r="D19" s="20">
        <v>40188.720496894413</v>
      </c>
      <c r="E19" s="21">
        <v>41225.35818932658</v>
      </c>
      <c r="F19" s="22" t="s">
        <v>240</v>
      </c>
      <c r="G19" s="23">
        <v>15.848919343901329</v>
      </c>
      <c r="H19" s="24">
        <v>2.5794244743678121</v>
      </c>
    </row>
    <row r="20" spans="1:8" x14ac:dyDescent="0.2">
      <c r="A20" s="30"/>
      <c r="B20" s="25" t="s">
        <v>241</v>
      </c>
      <c r="C20" s="26">
        <v>28051.264285714286</v>
      </c>
      <c r="D20" s="26">
        <v>29393.460869565217</v>
      </c>
      <c r="E20" s="26">
        <v>30894.912422360248</v>
      </c>
      <c r="F20" s="27"/>
      <c r="G20" s="38">
        <v>10.137326102959832</v>
      </c>
      <c r="H20" s="24">
        <v>5.1081142144431055</v>
      </c>
    </row>
    <row r="21" spans="1:8" x14ac:dyDescent="0.2">
      <c r="A21" s="39" t="s">
        <v>12</v>
      </c>
      <c r="B21" s="31" t="s">
        <v>3</v>
      </c>
      <c r="C21" s="20">
        <v>448.41143478260869</v>
      </c>
      <c r="D21" s="20">
        <v>453.9904347826087</v>
      </c>
      <c r="E21" s="21">
        <v>423.07260182363757</v>
      </c>
      <c r="F21" s="22" t="s">
        <v>240</v>
      </c>
      <c r="G21" s="37">
        <v>-5.6507999113036647</v>
      </c>
      <c r="H21" s="33">
        <v>-6.8102388487052679</v>
      </c>
    </row>
    <row r="22" spans="1:8" x14ac:dyDescent="0.2">
      <c r="A22" s="34"/>
      <c r="B22" s="25" t="s">
        <v>241</v>
      </c>
      <c r="C22" s="26">
        <v>422.21850000000001</v>
      </c>
      <c r="D22" s="26">
        <v>375.44226086956519</v>
      </c>
      <c r="E22" s="26">
        <v>364.66886956521739</v>
      </c>
      <c r="F22" s="27"/>
      <c r="G22" s="28">
        <v>-13.630295791108779</v>
      </c>
      <c r="H22" s="29">
        <v>-2.8695201438952154</v>
      </c>
    </row>
    <row r="23" spans="1:8" x14ac:dyDescent="0.2">
      <c r="A23" s="39" t="s">
        <v>23</v>
      </c>
      <c r="B23" s="31" t="s">
        <v>3</v>
      </c>
      <c r="C23" s="20">
        <v>6141.6857246376812</v>
      </c>
      <c r="D23" s="20">
        <v>6361.3173913043483</v>
      </c>
      <c r="E23" s="21">
        <v>6389.8591200927058</v>
      </c>
      <c r="F23" s="22" t="s">
        <v>240</v>
      </c>
      <c r="G23" s="23">
        <v>4.0408025838812449</v>
      </c>
      <c r="H23" s="24">
        <v>0.44867638309280267</v>
      </c>
    </row>
    <row r="24" spans="1:8" x14ac:dyDescent="0.2">
      <c r="A24" s="34"/>
      <c r="B24" s="25" t="s">
        <v>241</v>
      </c>
      <c r="C24" s="26">
        <v>4505.6975000000002</v>
      </c>
      <c r="D24" s="26">
        <v>4762.0704347826086</v>
      </c>
      <c r="E24" s="26">
        <v>4751.1147826086954</v>
      </c>
      <c r="F24" s="27"/>
      <c r="G24" s="28">
        <v>5.4468211105759963</v>
      </c>
      <c r="H24" s="29">
        <v>-0.23006069154062914</v>
      </c>
    </row>
    <row r="25" spans="1:8" x14ac:dyDescent="0.2">
      <c r="A25" s="30" t="s">
        <v>24</v>
      </c>
      <c r="B25" s="31" t="s">
        <v>3</v>
      </c>
      <c r="C25" s="20">
        <v>17105.371449275364</v>
      </c>
      <c r="D25" s="20">
        <v>24989.634782608697</v>
      </c>
      <c r="E25" s="21">
        <v>24726.212068114732</v>
      </c>
      <c r="F25" s="22" t="s">
        <v>240</v>
      </c>
      <c r="G25" s="23">
        <v>44.552324639300423</v>
      </c>
      <c r="H25" s="24">
        <v>-1.0541279085730935</v>
      </c>
    </row>
    <row r="26" spans="1:8" ht="13.5" thickBot="1" x14ac:dyDescent="0.25">
      <c r="A26" s="41"/>
      <c r="B26" s="42" t="s">
        <v>241</v>
      </c>
      <c r="C26" s="43">
        <v>12026.395</v>
      </c>
      <c r="D26" s="43">
        <v>17412.140869565217</v>
      </c>
      <c r="E26" s="43">
        <v>17280.229565217393</v>
      </c>
      <c r="F26" s="44"/>
      <c r="G26" s="45">
        <v>43.685864011762391</v>
      </c>
      <c r="H26" s="46">
        <v>-0.75758234059772178</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44</v>
      </c>
      <c r="B35" s="19" t="s">
        <v>3</v>
      </c>
      <c r="C35" s="80">
        <v>6018.8124026764308</v>
      </c>
      <c r="D35" s="80">
        <v>5870.1940090888702</v>
      </c>
      <c r="E35" s="83">
        <v>6493.7773160451306</v>
      </c>
      <c r="F35" s="22" t="s">
        <v>240</v>
      </c>
      <c r="G35" s="23">
        <v>7.8913393804647143</v>
      </c>
      <c r="H35" s="24">
        <v>10.622873894640648</v>
      </c>
    </row>
    <row r="36" spans="1:8" ht="12.75" customHeight="1" x14ac:dyDescent="0.2">
      <c r="A36" s="207"/>
      <c r="B36" s="25" t="s">
        <v>241</v>
      </c>
      <c r="C36" s="82">
        <v>4381.0245965591221</v>
      </c>
      <c r="D36" s="82">
        <v>4262.521435564644</v>
      </c>
      <c r="E36" s="82">
        <v>4719.125041308359</v>
      </c>
      <c r="F36" s="27"/>
      <c r="G36" s="28">
        <v>7.7173829385660753</v>
      </c>
      <c r="H36" s="29">
        <v>10.712054183094793</v>
      </c>
    </row>
    <row r="37" spans="1:8" x14ac:dyDescent="0.2">
      <c r="A37" s="30" t="s">
        <v>18</v>
      </c>
      <c r="B37" s="31" t="s">
        <v>3</v>
      </c>
      <c r="C37" s="80">
        <v>1995.7239796712192</v>
      </c>
      <c r="D37" s="80">
        <v>1779.7662429127638</v>
      </c>
      <c r="E37" s="83">
        <v>2044.052299816266</v>
      </c>
      <c r="F37" s="22" t="s">
        <v>240</v>
      </c>
      <c r="G37" s="32">
        <v>2.42159339855246</v>
      </c>
      <c r="H37" s="33">
        <v>14.849481383070383</v>
      </c>
    </row>
    <row r="38" spans="1:8" x14ac:dyDescent="0.2">
      <c r="A38" s="34"/>
      <c r="B38" s="25" t="s">
        <v>241</v>
      </c>
      <c r="C38" s="82">
        <v>1427.9643371651061</v>
      </c>
      <c r="D38" s="82">
        <v>1322.5503881260927</v>
      </c>
      <c r="E38" s="82">
        <v>1499.6656216077317</v>
      </c>
      <c r="F38" s="27"/>
      <c r="G38" s="35">
        <v>5.0212237502353929</v>
      </c>
      <c r="H38" s="29">
        <v>13.39194597588012</v>
      </c>
    </row>
    <row r="39" spans="1:8" x14ac:dyDescent="0.2">
      <c r="A39" s="30" t="s">
        <v>19</v>
      </c>
      <c r="B39" s="31" t="s">
        <v>3</v>
      </c>
      <c r="C39" s="80">
        <v>2750.8206373646663</v>
      </c>
      <c r="D39" s="80">
        <v>2595.9403010461156</v>
      </c>
      <c r="E39" s="83">
        <v>3003.2826116998999</v>
      </c>
      <c r="F39" s="22" t="s">
        <v>240</v>
      </c>
      <c r="G39" s="37">
        <v>9.1776966809837859</v>
      </c>
      <c r="H39" s="33">
        <v>15.6915130324697</v>
      </c>
    </row>
    <row r="40" spans="1:8" x14ac:dyDescent="0.2">
      <c r="A40" s="34"/>
      <c r="B40" s="25" t="s">
        <v>241</v>
      </c>
      <c r="C40" s="82">
        <v>2001.8207322122355</v>
      </c>
      <c r="D40" s="82">
        <v>1867.5434075320425</v>
      </c>
      <c r="E40" s="82">
        <v>2168.8431890833917</v>
      </c>
      <c r="F40" s="27"/>
      <c r="G40" s="28">
        <v>8.3435271792083938</v>
      </c>
      <c r="H40" s="29">
        <v>16.133482110036553</v>
      </c>
    </row>
    <row r="41" spans="1:8" x14ac:dyDescent="0.2">
      <c r="A41" s="30" t="s">
        <v>20</v>
      </c>
      <c r="B41" s="31" t="s">
        <v>3</v>
      </c>
      <c r="C41" s="80">
        <v>65.364362678259369</v>
      </c>
      <c r="D41" s="80">
        <v>56.436037544278321</v>
      </c>
      <c r="E41" s="83">
        <v>50.187519259065894</v>
      </c>
      <c r="F41" s="22" t="s">
        <v>240</v>
      </c>
      <c r="G41" s="23">
        <v>-23.2188348472055</v>
      </c>
      <c r="H41" s="24">
        <v>-11.071858615711633</v>
      </c>
    </row>
    <row r="42" spans="1:8" x14ac:dyDescent="0.2">
      <c r="A42" s="34"/>
      <c r="B42" s="25" t="s">
        <v>241</v>
      </c>
      <c r="C42" s="82">
        <v>53.826581557552046</v>
      </c>
      <c r="D42" s="82">
        <v>45.069938312005107</v>
      </c>
      <c r="E42" s="82">
        <v>40.48766021223468</v>
      </c>
      <c r="F42" s="27"/>
      <c r="G42" s="38">
        <v>-24.781290134606124</v>
      </c>
      <c r="H42" s="24">
        <v>-10.167038765504287</v>
      </c>
    </row>
    <row r="43" spans="1:8" x14ac:dyDescent="0.2">
      <c r="A43" s="30" t="s">
        <v>21</v>
      </c>
      <c r="B43" s="31" t="s">
        <v>3</v>
      </c>
      <c r="C43" s="80">
        <v>34.491750088898641</v>
      </c>
      <c r="D43" s="80">
        <v>43.163339153619731</v>
      </c>
      <c r="E43" s="83">
        <v>47.029464021287289</v>
      </c>
      <c r="F43" s="22" t="s">
        <v>240</v>
      </c>
      <c r="G43" s="37">
        <v>36.349892075856076</v>
      </c>
      <c r="H43" s="33">
        <v>8.9569642744920372</v>
      </c>
    </row>
    <row r="44" spans="1:8" x14ac:dyDescent="0.2">
      <c r="A44" s="34"/>
      <c r="B44" s="25" t="s">
        <v>241</v>
      </c>
      <c r="C44" s="82">
        <v>27.744068652620882</v>
      </c>
      <c r="D44" s="82">
        <v>33.791719463687031</v>
      </c>
      <c r="E44" s="82">
        <v>37.149237156852273</v>
      </c>
      <c r="F44" s="27"/>
      <c r="G44" s="28">
        <v>33.899744922030095</v>
      </c>
      <c r="H44" s="29">
        <v>9.9359184630224888</v>
      </c>
    </row>
    <row r="45" spans="1:8" x14ac:dyDescent="0.2">
      <c r="A45" s="30" t="s">
        <v>22</v>
      </c>
      <c r="B45" s="31" t="s">
        <v>3</v>
      </c>
      <c r="C45" s="80">
        <v>3.6111542972530914</v>
      </c>
      <c r="D45" s="80">
        <v>3.1623911489308409</v>
      </c>
      <c r="E45" s="83">
        <v>3.210420114650717</v>
      </c>
      <c r="F45" s="22" t="s">
        <v>240</v>
      </c>
      <c r="G45" s="37">
        <v>-11.097121574317725</v>
      </c>
      <c r="H45" s="33">
        <v>1.5187547478468559</v>
      </c>
    </row>
    <row r="46" spans="1:8" x14ac:dyDescent="0.2">
      <c r="A46" s="34"/>
      <c r="B46" s="25" t="s">
        <v>241</v>
      </c>
      <c r="C46" s="82">
        <v>3.5832906099921811</v>
      </c>
      <c r="D46" s="82">
        <v>2.3917890936702069</v>
      </c>
      <c r="E46" s="82">
        <v>2.6371488549865063</v>
      </c>
      <c r="F46" s="27"/>
      <c r="G46" s="28">
        <v>-26.404270766298225</v>
      </c>
      <c r="H46" s="29">
        <v>10.258419605877293</v>
      </c>
    </row>
    <row r="47" spans="1:8" x14ac:dyDescent="0.2">
      <c r="A47" s="30" t="s">
        <v>189</v>
      </c>
      <c r="B47" s="31" t="s">
        <v>3</v>
      </c>
      <c r="C47" s="80">
        <v>516.77609510899038</v>
      </c>
      <c r="D47" s="80">
        <v>565.94371490292428</v>
      </c>
      <c r="E47" s="83">
        <v>524.51104018183355</v>
      </c>
      <c r="F47" s="22" t="s">
        <v>240</v>
      </c>
      <c r="G47" s="23">
        <v>1.496769131941349</v>
      </c>
      <c r="H47" s="24">
        <v>-7.320988577141037</v>
      </c>
    </row>
    <row r="48" spans="1:8" x14ac:dyDescent="0.2">
      <c r="A48" s="30"/>
      <c r="B48" s="25" t="s">
        <v>241</v>
      </c>
      <c r="C48" s="82">
        <v>398.51611117394498</v>
      </c>
      <c r="D48" s="82">
        <v>413.99380850329925</v>
      </c>
      <c r="E48" s="82">
        <v>390.37550325049409</v>
      </c>
      <c r="F48" s="27"/>
      <c r="G48" s="38">
        <v>-2.0427299411987008</v>
      </c>
      <c r="H48" s="24">
        <v>-5.7049899703069968</v>
      </c>
    </row>
    <row r="49" spans="1:8" x14ac:dyDescent="0.2">
      <c r="A49" s="39" t="s">
        <v>12</v>
      </c>
      <c r="B49" s="31" t="s">
        <v>3</v>
      </c>
      <c r="C49" s="80">
        <v>9.1074185128509839</v>
      </c>
      <c r="D49" s="80">
        <v>4.940653064130899</v>
      </c>
      <c r="E49" s="83">
        <v>4.1853098910271722</v>
      </c>
      <c r="F49" s="22" t="s">
        <v>240</v>
      </c>
      <c r="G49" s="37">
        <v>-54.04504706661379</v>
      </c>
      <c r="H49" s="33">
        <v>-15.288326528885662</v>
      </c>
    </row>
    <row r="50" spans="1:8" x14ac:dyDescent="0.2">
      <c r="A50" s="34"/>
      <c r="B50" s="25" t="s">
        <v>241</v>
      </c>
      <c r="C50" s="82">
        <v>5.3113320275867206</v>
      </c>
      <c r="D50" s="82">
        <v>4.0876319988748291</v>
      </c>
      <c r="E50" s="82">
        <v>3.0386452518867748</v>
      </c>
      <c r="F50" s="27"/>
      <c r="G50" s="28">
        <v>-42.789393769693838</v>
      </c>
      <c r="H50" s="29">
        <v>-25.66245560453585</v>
      </c>
    </row>
    <row r="51" spans="1:8" x14ac:dyDescent="0.2">
      <c r="A51" s="39" t="s">
        <v>23</v>
      </c>
      <c r="B51" s="31" t="s">
        <v>3</v>
      </c>
      <c r="C51" s="80">
        <v>160.26388859581527</v>
      </c>
      <c r="D51" s="80">
        <v>175.22798370011841</v>
      </c>
      <c r="E51" s="83">
        <v>187.39569329376673</v>
      </c>
      <c r="F51" s="22" t="s">
        <v>240</v>
      </c>
      <c r="G51" s="23">
        <v>16.929456121196296</v>
      </c>
      <c r="H51" s="24">
        <v>6.943930607837089</v>
      </c>
    </row>
    <row r="52" spans="1:8" x14ac:dyDescent="0.2">
      <c r="A52" s="34"/>
      <c r="B52" s="25" t="s">
        <v>241</v>
      </c>
      <c r="C52" s="82">
        <v>114.5146778900513</v>
      </c>
      <c r="D52" s="82">
        <v>118.44785464727963</v>
      </c>
      <c r="E52" s="82">
        <v>128.99401698471772</v>
      </c>
      <c r="F52" s="27"/>
      <c r="G52" s="28">
        <v>12.644090138880216</v>
      </c>
      <c r="H52" s="29">
        <v>8.903633053416641</v>
      </c>
    </row>
    <row r="53" spans="1:8" x14ac:dyDescent="0.2">
      <c r="A53" s="30" t="s">
        <v>24</v>
      </c>
      <c r="B53" s="31" t="s">
        <v>3</v>
      </c>
      <c r="C53" s="80">
        <v>482.65311635847701</v>
      </c>
      <c r="D53" s="80">
        <v>645.61334561598755</v>
      </c>
      <c r="E53" s="83">
        <v>631.29353747917185</v>
      </c>
      <c r="F53" s="22" t="s">
        <v>240</v>
      </c>
      <c r="G53" s="23">
        <v>30.796531936260493</v>
      </c>
      <c r="H53" s="24">
        <v>-2.2180161290118718</v>
      </c>
    </row>
    <row r="54" spans="1:8" ht="13.5" thickBot="1" x14ac:dyDescent="0.25">
      <c r="A54" s="41"/>
      <c r="B54" s="42" t="s">
        <v>241</v>
      </c>
      <c r="C54" s="86">
        <v>347.74346527003286</v>
      </c>
      <c r="D54" s="86">
        <v>454.64489788769208</v>
      </c>
      <c r="E54" s="86">
        <v>447.93401890606384</v>
      </c>
      <c r="F54" s="44"/>
      <c r="G54" s="45">
        <v>28.811628008086387</v>
      </c>
      <c r="H54" s="46">
        <v>-1.476070448124986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9">
        <v>15</v>
      </c>
    </row>
    <row r="62" spans="1:8"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ht="12.75" customHeight="1" x14ac:dyDescent="0.2">
      <c r="A7" s="206" t="s">
        <v>45</v>
      </c>
      <c r="B7" s="19" t="s">
        <v>3</v>
      </c>
      <c r="C7" s="20">
        <v>16571.543347459847</v>
      </c>
      <c r="D7" s="20">
        <v>19730</v>
      </c>
      <c r="E7" s="21">
        <v>22453.656987911771</v>
      </c>
      <c r="F7" s="22" t="s">
        <v>240</v>
      </c>
      <c r="G7" s="23">
        <v>35.495267502369103</v>
      </c>
      <c r="H7" s="24">
        <v>13.804647683283179</v>
      </c>
    </row>
    <row r="8" spans="1:8" ht="12.75" customHeight="1" x14ac:dyDescent="0.2">
      <c r="A8" s="207"/>
      <c r="B8" s="25" t="s">
        <v>241</v>
      </c>
      <c r="C8" s="26">
        <v>13638.057761732853</v>
      </c>
      <c r="D8" s="26">
        <v>15370.772092293204</v>
      </c>
      <c r="E8" s="26">
        <v>17809.5</v>
      </c>
      <c r="F8" s="27"/>
      <c r="G8" s="28">
        <v>30.586776439470981</v>
      </c>
      <c r="H8" s="29">
        <v>15.866007856102144</v>
      </c>
    </row>
    <row r="9" spans="1:8" x14ac:dyDescent="0.2">
      <c r="A9" s="30" t="s">
        <v>18</v>
      </c>
      <c r="B9" s="31" t="s">
        <v>3</v>
      </c>
      <c r="C9" s="20">
        <v>2580.9849043478262</v>
      </c>
      <c r="D9" s="20">
        <v>2349</v>
      </c>
      <c r="E9" s="21">
        <v>3029.1561303239114</v>
      </c>
      <c r="F9" s="22" t="s">
        <v>240</v>
      </c>
      <c r="G9" s="32">
        <v>17.364348982480053</v>
      </c>
      <c r="H9" s="33">
        <v>28.955135390545394</v>
      </c>
    </row>
    <row r="10" spans="1:8" x14ac:dyDescent="0.2">
      <c r="A10" s="34"/>
      <c r="B10" s="25" t="s">
        <v>241</v>
      </c>
      <c r="C10" s="26">
        <v>2106.1107999999999</v>
      </c>
      <c r="D10" s="26">
        <v>1822.0565217391304</v>
      </c>
      <c r="E10" s="26">
        <v>2389</v>
      </c>
      <c r="F10" s="27"/>
      <c r="G10" s="35">
        <v>13.431828942712798</v>
      </c>
      <c r="H10" s="29">
        <v>31.115581294905667</v>
      </c>
    </row>
    <row r="11" spans="1:8" x14ac:dyDescent="0.2">
      <c r="A11" s="30" t="s">
        <v>19</v>
      </c>
      <c r="B11" s="31" t="s">
        <v>3</v>
      </c>
      <c r="C11" s="20">
        <v>4867.6163478260869</v>
      </c>
      <c r="D11" s="20">
        <v>5293</v>
      </c>
      <c r="E11" s="21">
        <v>8212.577111938499</v>
      </c>
      <c r="F11" s="22" t="s">
        <v>240</v>
      </c>
      <c r="G11" s="37">
        <v>68.718660738459704</v>
      </c>
      <c r="H11" s="33">
        <v>55.159212392565621</v>
      </c>
    </row>
    <row r="12" spans="1:8" x14ac:dyDescent="0.2">
      <c r="A12" s="34"/>
      <c r="B12" s="25" t="s">
        <v>241</v>
      </c>
      <c r="C12" s="26">
        <v>4006.0360000000001</v>
      </c>
      <c r="D12" s="26">
        <v>4183.521739130435</v>
      </c>
      <c r="E12" s="26">
        <v>6578</v>
      </c>
      <c r="F12" s="27"/>
      <c r="G12" s="28">
        <v>64.20221885175269</v>
      </c>
      <c r="H12" s="29">
        <v>57.235946415023733</v>
      </c>
    </row>
    <row r="13" spans="1:8" x14ac:dyDescent="0.2">
      <c r="A13" s="30" t="s">
        <v>20</v>
      </c>
      <c r="B13" s="31" t="s">
        <v>3</v>
      </c>
      <c r="C13" s="20">
        <v>1141.9125465838508</v>
      </c>
      <c r="D13" s="20">
        <v>1022</v>
      </c>
      <c r="E13" s="21">
        <v>775.78085191298749</v>
      </c>
      <c r="F13" s="22" t="s">
        <v>240</v>
      </c>
      <c r="G13" s="23">
        <v>-32.063024070116768</v>
      </c>
      <c r="H13" s="24">
        <v>-24.091893159198875</v>
      </c>
    </row>
    <row r="14" spans="1:8" x14ac:dyDescent="0.2">
      <c r="A14" s="34"/>
      <c r="B14" s="25" t="s">
        <v>241</v>
      </c>
      <c r="C14" s="26">
        <v>961.58857142857141</v>
      </c>
      <c r="D14" s="26">
        <v>793.67701863354034</v>
      </c>
      <c r="E14" s="26">
        <v>618.5</v>
      </c>
      <c r="F14" s="27"/>
      <c r="G14" s="38">
        <v>-35.679352024625928</v>
      </c>
      <c r="H14" s="24">
        <v>-22.071575026216522</v>
      </c>
    </row>
    <row r="15" spans="1:8" x14ac:dyDescent="0.2">
      <c r="A15" s="30" t="s">
        <v>21</v>
      </c>
      <c r="B15" s="31" t="s">
        <v>3</v>
      </c>
      <c r="C15" s="20">
        <v>405.30782608695654</v>
      </c>
      <c r="D15" s="20">
        <v>558</v>
      </c>
      <c r="E15" s="21">
        <v>635.65646291654173</v>
      </c>
      <c r="F15" s="22" t="s">
        <v>240</v>
      </c>
      <c r="G15" s="37">
        <v>56.833009876341549</v>
      </c>
      <c r="H15" s="33">
        <v>13.91692883808993</v>
      </c>
    </row>
    <row r="16" spans="1:8" x14ac:dyDescent="0.2">
      <c r="A16" s="34"/>
      <c r="B16" s="25" t="s">
        <v>241</v>
      </c>
      <c r="C16" s="26">
        <v>341.755</v>
      </c>
      <c r="D16" s="26">
        <v>448.48913043478262</v>
      </c>
      <c r="E16" s="26">
        <v>519</v>
      </c>
      <c r="F16" s="27"/>
      <c r="G16" s="28">
        <v>51.863176837207931</v>
      </c>
      <c r="H16" s="29">
        <v>15.721868107898501</v>
      </c>
    </row>
    <row r="17" spans="1:8" x14ac:dyDescent="0.2">
      <c r="A17" s="30" t="s">
        <v>22</v>
      </c>
      <c r="B17" s="31" t="s">
        <v>3</v>
      </c>
      <c r="C17" s="20">
        <v>382.30782608695654</v>
      </c>
      <c r="D17" s="20">
        <v>374</v>
      </c>
      <c r="E17" s="21">
        <v>343.80886863386127</v>
      </c>
      <c r="F17" s="22" t="s">
        <v>240</v>
      </c>
      <c r="G17" s="37">
        <v>-10.070146313023315</v>
      </c>
      <c r="H17" s="33">
        <v>-8.0724950176841617</v>
      </c>
    </row>
    <row r="18" spans="1:8" x14ac:dyDescent="0.2">
      <c r="A18" s="34"/>
      <c r="B18" s="25" t="s">
        <v>241</v>
      </c>
      <c r="C18" s="26">
        <v>315.755</v>
      </c>
      <c r="D18" s="26">
        <v>280.48913043478262</v>
      </c>
      <c r="E18" s="26">
        <v>266</v>
      </c>
      <c r="F18" s="27"/>
      <c r="G18" s="28">
        <v>-15.757470190495795</v>
      </c>
      <c r="H18" s="29">
        <v>-5.1656655686882544</v>
      </c>
    </row>
    <row r="19" spans="1:8" x14ac:dyDescent="0.2">
      <c r="A19" s="30" t="s">
        <v>189</v>
      </c>
      <c r="B19" s="31" t="s">
        <v>3</v>
      </c>
      <c r="C19" s="20">
        <v>4367.781366459627</v>
      </c>
      <c r="D19" s="20">
        <v>6206</v>
      </c>
      <c r="E19" s="21">
        <v>6341.4125542750589</v>
      </c>
      <c r="F19" s="22" t="s">
        <v>240</v>
      </c>
      <c r="G19" s="23">
        <v>45.186125912139914</v>
      </c>
      <c r="H19" s="24">
        <v>2.1819618800364111</v>
      </c>
    </row>
    <row r="20" spans="1:8" x14ac:dyDescent="0.2">
      <c r="A20" s="30"/>
      <c r="B20" s="25" t="s">
        <v>241</v>
      </c>
      <c r="C20" s="26">
        <v>3752.4714285714285</v>
      </c>
      <c r="D20" s="26">
        <v>4693.1925465838513</v>
      </c>
      <c r="E20" s="26">
        <v>4995</v>
      </c>
      <c r="F20" s="27"/>
      <c r="G20" s="38">
        <v>33.112272673628439</v>
      </c>
      <c r="H20" s="24">
        <v>6.4307494401829359</v>
      </c>
    </row>
    <row r="21" spans="1:8" x14ac:dyDescent="0.2">
      <c r="A21" s="39" t="s">
        <v>12</v>
      </c>
      <c r="B21" s="31" t="s">
        <v>3</v>
      </c>
      <c r="C21" s="20">
        <v>47.38469565217391</v>
      </c>
      <c r="D21" s="20">
        <v>62</v>
      </c>
      <c r="E21" s="21">
        <v>55.74228084532357</v>
      </c>
      <c r="F21" s="22" t="s">
        <v>240</v>
      </c>
      <c r="G21" s="37">
        <v>17.637731081989628</v>
      </c>
      <c r="H21" s="33">
        <v>-10.093095410768441</v>
      </c>
    </row>
    <row r="22" spans="1:8" x14ac:dyDescent="0.2">
      <c r="A22" s="34"/>
      <c r="B22" s="25" t="s">
        <v>241</v>
      </c>
      <c r="C22" s="26">
        <v>58.253</v>
      </c>
      <c r="D22" s="26">
        <v>50.293478260869563</v>
      </c>
      <c r="E22" s="26">
        <v>51</v>
      </c>
      <c r="F22" s="27"/>
      <c r="G22" s="28">
        <v>-12.45086089986782</v>
      </c>
      <c r="H22" s="29">
        <v>1.4047979252215299</v>
      </c>
    </row>
    <row r="23" spans="1:8" x14ac:dyDescent="0.2">
      <c r="A23" s="39" t="s">
        <v>23</v>
      </c>
      <c r="B23" s="31" t="s">
        <v>3</v>
      </c>
      <c r="C23" s="20">
        <v>1685.3078260869565</v>
      </c>
      <c r="D23" s="20">
        <v>1699</v>
      </c>
      <c r="E23" s="21">
        <v>1682.1312715335991</v>
      </c>
      <c r="F23" s="22" t="s">
        <v>240</v>
      </c>
      <c r="G23" s="23">
        <v>-0.18848512444951382</v>
      </c>
      <c r="H23" s="24">
        <v>-0.99286218165984508</v>
      </c>
    </row>
    <row r="24" spans="1:8" x14ac:dyDescent="0.2">
      <c r="A24" s="34"/>
      <c r="B24" s="25" t="s">
        <v>241</v>
      </c>
      <c r="C24" s="26">
        <v>1251.7550000000001</v>
      </c>
      <c r="D24" s="26">
        <v>1245.4891304347825</v>
      </c>
      <c r="E24" s="26">
        <v>1238.5</v>
      </c>
      <c r="F24" s="27"/>
      <c r="G24" s="28">
        <v>-1.0589132857468257</v>
      </c>
      <c r="H24" s="29">
        <v>-0.56115547410217914</v>
      </c>
    </row>
    <row r="25" spans="1:8" x14ac:dyDescent="0.2">
      <c r="A25" s="30" t="s">
        <v>24</v>
      </c>
      <c r="B25" s="31" t="s">
        <v>3</v>
      </c>
      <c r="C25" s="20">
        <v>1670.6156521739131</v>
      </c>
      <c r="D25" s="20">
        <v>3046</v>
      </c>
      <c r="E25" s="21">
        <v>2559.3886793747079</v>
      </c>
      <c r="F25" s="22" t="s">
        <v>240</v>
      </c>
      <c r="G25" s="23">
        <v>53.200329234570859</v>
      </c>
      <c r="H25" s="24">
        <v>-15.975420900370722</v>
      </c>
    </row>
    <row r="26" spans="1:8" ht="13.5" thickBot="1" x14ac:dyDescent="0.25">
      <c r="A26" s="41"/>
      <c r="B26" s="42" t="s">
        <v>241</v>
      </c>
      <c r="C26" s="43">
        <v>1346.51</v>
      </c>
      <c r="D26" s="43">
        <v>2425.978260869565</v>
      </c>
      <c r="E26" s="43">
        <v>2046.5</v>
      </c>
      <c r="F26" s="44"/>
      <c r="G26" s="45">
        <v>51.985503263993593</v>
      </c>
      <c r="H26" s="46">
        <v>-15.642277879833316</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45</v>
      </c>
      <c r="B35" s="19" t="s">
        <v>3</v>
      </c>
      <c r="C35" s="80">
        <v>854.86210765784267</v>
      </c>
      <c r="D35" s="80">
        <v>879.94470515445778</v>
      </c>
      <c r="E35" s="83">
        <v>1052.3725207588589</v>
      </c>
      <c r="F35" s="22" t="s">
        <v>240</v>
      </c>
      <c r="G35" s="23">
        <v>23.104359326693839</v>
      </c>
      <c r="H35" s="24">
        <v>19.595301226812282</v>
      </c>
    </row>
    <row r="36" spans="1:8" ht="12.75" customHeight="1" x14ac:dyDescent="0.2">
      <c r="A36" s="207"/>
      <c r="B36" s="25" t="s">
        <v>241</v>
      </c>
      <c r="C36" s="82">
        <v>657.97074542674659</v>
      </c>
      <c r="D36" s="82">
        <v>672.1944678929309</v>
      </c>
      <c r="E36" s="82">
        <v>805.92872994047684</v>
      </c>
      <c r="F36" s="27"/>
      <c r="G36" s="28">
        <v>22.487015652613508</v>
      </c>
      <c r="H36" s="29">
        <v>19.895174452528749</v>
      </c>
    </row>
    <row r="37" spans="1:8" x14ac:dyDescent="0.2">
      <c r="A37" s="30" t="s">
        <v>18</v>
      </c>
      <c r="B37" s="31" t="s">
        <v>3</v>
      </c>
      <c r="C37" s="80">
        <v>369.27527649632418</v>
      </c>
      <c r="D37" s="80">
        <v>307.31515572809349</v>
      </c>
      <c r="E37" s="83">
        <v>348.53304219905948</v>
      </c>
      <c r="F37" s="22" t="s">
        <v>240</v>
      </c>
      <c r="G37" s="32">
        <v>-5.6170113780880655</v>
      </c>
      <c r="H37" s="33">
        <v>13.412253090255916</v>
      </c>
    </row>
    <row r="38" spans="1:8" x14ac:dyDescent="0.2">
      <c r="A38" s="34"/>
      <c r="B38" s="25" t="s">
        <v>241</v>
      </c>
      <c r="C38" s="82">
        <v>272.7852157232698</v>
      </c>
      <c r="D38" s="82">
        <v>229.92952935692873</v>
      </c>
      <c r="E38" s="82">
        <v>259.65706274726892</v>
      </c>
      <c r="F38" s="27"/>
      <c r="G38" s="35">
        <v>-4.8126336103635765</v>
      </c>
      <c r="H38" s="29">
        <v>12.928975879471722</v>
      </c>
    </row>
    <row r="39" spans="1:8" x14ac:dyDescent="0.2">
      <c r="A39" s="30" t="s">
        <v>19</v>
      </c>
      <c r="B39" s="31" t="s">
        <v>3</v>
      </c>
      <c r="C39" s="80">
        <v>251.67091707511867</v>
      </c>
      <c r="D39" s="80">
        <v>251.5509322107302</v>
      </c>
      <c r="E39" s="83">
        <v>409.13332742016854</v>
      </c>
      <c r="F39" s="22" t="s">
        <v>240</v>
      </c>
      <c r="G39" s="37">
        <v>62.566788477212299</v>
      </c>
      <c r="H39" s="33">
        <v>62.644329649085876</v>
      </c>
    </row>
    <row r="40" spans="1:8" x14ac:dyDescent="0.2">
      <c r="A40" s="34"/>
      <c r="B40" s="25" t="s">
        <v>241</v>
      </c>
      <c r="C40" s="82">
        <v>201.96742688893988</v>
      </c>
      <c r="D40" s="82">
        <v>196.41805889309165</v>
      </c>
      <c r="E40" s="82">
        <v>322.36548655271429</v>
      </c>
      <c r="F40" s="27"/>
      <c r="G40" s="28">
        <v>59.612612547656141</v>
      </c>
      <c r="H40" s="29">
        <v>64.122122155872916</v>
      </c>
    </row>
    <row r="41" spans="1:8" x14ac:dyDescent="0.2">
      <c r="A41" s="30" t="s">
        <v>20</v>
      </c>
      <c r="B41" s="31" t="s">
        <v>3</v>
      </c>
      <c r="C41" s="80">
        <v>36.015530267074269</v>
      </c>
      <c r="D41" s="80">
        <v>31.901874908978677</v>
      </c>
      <c r="E41" s="83">
        <v>26.991551041714978</v>
      </c>
      <c r="F41" s="22" t="s">
        <v>240</v>
      </c>
      <c r="G41" s="23">
        <v>-25.055799979735667</v>
      </c>
      <c r="H41" s="24">
        <v>-15.391960131727885</v>
      </c>
    </row>
    <row r="42" spans="1:8" x14ac:dyDescent="0.2">
      <c r="A42" s="34"/>
      <c r="B42" s="25" t="s">
        <v>241</v>
      </c>
      <c r="C42" s="82">
        <v>29.44299580128633</v>
      </c>
      <c r="D42" s="82">
        <v>25.955054901415039</v>
      </c>
      <c r="E42" s="82">
        <v>21.995201874608572</v>
      </c>
      <c r="F42" s="27"/>
      <c r="G42" s="38">
        <v>-25.295638993204534</v>
      </c>
      <c r="H42" s="24">
        <v>-15.256577348216595</v>
      </c>
    </row>
    <row r="43" spans="1:8" x14ac:dyDescent="0.2">
      <c r="A43" s="30" t="s">
        <v>21</v>
      </c>
      <c r="B43" s="31" t="s">
        <v>3</v>
      </c>
      <c r="C43" s="80">
        <v>7.0481779669671765</v>
      </c>
      <c r="D43" s="80">
        <v>10.766231630682437</v>
      </c>
      <c r="E43" s="83">
        <v>10.937411375874497</v>
      </c>
      <c r="F43" s="22" t="s">
        <v>240</v>
      </c>
      <c r="G43" s="37">
        <v>55.180692473076874</v>
      </c>
      <c r="H43" s="33">
        <v>1.5899689981053342</v>
      </c>
    </row>
    <row r="44" spans="1:8" x14ac:dyDescent="0.2">
      <c r="A44" s="34"/>
      <c r="B44" s="25" t="s">
        <v>241</v>
      </c>
      <c r="C44" s="82">
        <v>5.5032489350928939</v>
      </c>
      <c r="D44" s="82">
        <v>7.4736215738972112</v>
      </c>
      <c r="E44" s="82">
        <v>7.884033592772977</v>
      </c>
      <c r="F44" s="27"/>
      <c r="G44" s="28">
        <v>43.261438574918742</v>
      </c>
      <c r="H44" s="29">
        <v>5.4914744453906223</v>
      </c>
    </row>
    <row r="45" spans="1:8" x14ac:dyDescent="0.2">
      <c r="A45" s="30" t="s">
        <v>22</v>
      </c>
      <c r="B45" s="31" t="s">
        <v>3</v>
      </c>
      <c r="C45" s="80">
        <v>2.0929110289082646</v>
      </c>
      <c r="D45" s="80">
        <v>2.2689798245442843</v>
      </c>
      <c r="E45" s="83">
        <v>1.9817948371391461</v>
      </c>
      <c r="F45" s="22" t="s">
        <v>240</v>
      </c>
      <c r="G45" s="37">
        <v>-5.309169392980877</v>
      </c>
      <c r="H45" s="33">
        <v>-12.657009299887363</v>
      </c>
    </row>
    <row r="46" spans="1:8" x14ac:dyDescent="0.2">
      <c r="A46" s="34"/>
      <c r="B46" s="25" t="s">
        <v>241</v>
      </c>
      <c r="C46" s="82">
        <v>1.8615333141694987</v>
      </c>
      <c r="D46" s="82">
        <v>1.8550081254338027</v>
      </c>
      <c r="E46" s="82">
        <v>1.6650832975526531</v>
      </c>
      <c r="F46" s="27"/>
      <c r="G46" s="28">
        <v>-10.553129246816056</v>
      </c>
      <c r="H46" s="29">
        <v>-10.238490348215308</v>
      </c>
    </row>
    <row r="47" spans="1:8" x14ac:dyDescent="0.2">
      <c r="A47" s="30" t="s">
        <v>189</v>
      </c>
      <c r="B47" s="31" t="s">
        <v>3</v>
      </c>
      <c r="C47" s="80">
        <v>98.114514318619769</v>
      </c>
      <c r="D47" s="80">
        <v>141.95657027599358</v>
      </c>
      <c r="E47" s="83">
        <v>119.29059453107458</v>
      </c>
      <c r="F47" s="22" t="s">
        <v>240</v>
      </c>
      <c r="G47" s="23">
        <v>21.58302505956155</v>
      </c>
      <c r="H47" s="24">
        <v>-15.966838097631936</v>
      </c>
    </row>
    <row r="48" spans="1:8" x14ac:dyDescent="0.2">
      <c r="A48" s="30"/>
      <c r="B48" s="25" t="s">
        <v>241</v>
      </c>
      <c r="C48" s="82">
        <v>78.415562847706397</v>
      </c>
      <c r="D48" s="82">
        <v>107.76065325490836</v>
      </c>
      <c r="E48" s="82">
        <v>92.095511001324809</v>
      </c>
      <c r="F48" s="27"/>
      <c r="G48" s="38">
        <v>17.445450439712729</v>
      </c>
      <c r="H48" s="24">
        <v>-14.536977811861988</v>
      </c>
    </row>
    <row r="49" spans="1:8" x14ac:dyDescent="0.2">
      <c r="A49" s="39" t="s">
        <v>12</v>
      </c>
      <c r="B49" s="31" t="s">
        <v>3</v>
      </c>
      <c r="C49" s="80">
        <v>0.94551141068839095</v>
      </c>
      <c r="D49" s="80">
        <v>0.65521820632039296</v>
      </c>
      <c r="E49" s="83">
        <v>0.60562844012777672</v>
      </c>
      <c r="F49" s="22" t="s">
        <v>240</v>
      </c>
      <c r="G49" s="37">
        <v>-35.946998282459475</v>
      </c>
      <c r="H49" s="33">
        <v>-7.5684353264700803</v>
      </c>
    </row>
    <row r="50" spans="1:8" x14ac:dyDescent="0.2">
      <c r="A50" s="34"/>
      <c r="B50" s="25" t="s">
        <v>241</v>
      </c>
      <c r="C50" s="82">
        <v>1.2359023850578921</v>
      </c>
      <c r="D50" s="82">
        <v>0.69529794221346175</v>
      </c>
      <c r="E50" s="82">
        <v>0.68568195895325601</v>
      </c>
      <c r="F50" s="27"/>
      <c r="G50" s="28">
        <v>-44.519731716422143</v>
      </c>
      <c r="H50" s="29">
        <v>-1.3830018293443374</v>
      </c>
    </row>
    <row r="51" spans="1:8" x14ac:dyDescent="0.2">
      <c r="A51" s="39" t="s">
        <v>23</v>
      </c>
      <c r="B51" s="31" t="s">
        <v>3</v>
      </c>
      <c r="C51" s="80">
        <v>45.637182320147758</v>
      </c>
      <c r="D51" s="80">
        <v>50.875876129341307</v>
      </c>
      <c r="E51" s="83">
        <v>55.041902688983768</v>
      </c>
      <c r="F51" s="22" t="s">
        <v>240</v>
      </c>
      <c r="G51" s="23">
        <v>20.607583314108439</v>
      </c>
      <c r="H51" s="24">
        <v>8.1886089765829411</v>
      </c>
    </row>
    <row r="52" spans="1:8" x14ac:dyDescent="0.2">
      <c r="A52" s="34"/>
      <c r="B52" s="25" t="s">
        <v>241</v>
      </c>
      <c r="C52" s="82">
        <v>32.540507631021313</v>
      </c>
      <c r="D52" s="82">
        <v>34.720129092739718</v>
      </c>
      <c r="E52" s="82">
        <v>38.107983741107844</v>
      </c>
      <c r="F52" s="27"/>
      <c r="G52" s="28">
        <v>17.109370797826699</v>
      </c>
      <c r="H52" s="29">
        <v>9.7576095967815775</v>
      </c>
    </row>
    <row r="53" spans="1:8" x14ac:dyDescent="0.2">
      <c r="A53" s="30" t="s">
        <v>24</v>
      </c>
      <c r="B53" s="31" t="s">
        <v>3</v>
      </c>
      <c r="C53" s="80">
        <v>44.062086773994338</v>
      </c>
      <c r="D53" s="80">
        <v>82.653866239773521</v>
      </c>
      <c r="E53" s="83">
        <v>76.651932310304431</v>
      </c>
      <c r="F53" s="22" t="s">
        <v>240</v>
      </c>
      <c r="G53" s="23">
        <v>73.963463654074559</v>
      </c>
      <c r="H53" s="24">
        <v>-7.2615283501171888</v>
      </c>
    </row>
    <row r="54" spans="1:8" ht="13.5" thickBot="1" x14ac:dyDescent="0.25">
      <c r="A54" s="41"/>
      <c r="B54" s="42" t="s">
        <v>241</v>
      </c>
      <c r="C54" s="86">
        <v>34.218351900202563</v>
      </c>
      <c r="D54" s="86">
        <v>67.387114752302821</v>
      </c>
      <c r="E54" s="86">
        <v>61.472685174173542</v>
      </c>
      <c r="F54" s="44"/>
      <c r="G54" s="45">
        <v>79.648293270984936</v>
      </c>
      <c r="H54" s="46">
        <v>-8.7767959792746097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1">
        <v>16</v>
      </c>
    </row>
    <row r="62" spans="1:8"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165</v>
      </c>
      <c r="B7" s="19" t="s">
        <v>3</v>
      </c>
      <c r="C7" s="20">
        <v>46862.684981684979</v>
      </c>
      <c r="D7" s="20">
        <v>45810.752901417422</v>
      </c>
      <c r="E7" s="79">
        <v>48163.666222303335</v>
      </c>
      <c r="F7" s="22" t="s">
        <v>240</v>
      </c>
      <c r="G7" s="23">
        <v>2.7761559994413716</v>
      </c>
      <c r="H7" s="24">
        <v>5.1361594644586432</v>
      </c>
    </row>
    <row r="8" spans="1:8" x14ac:dyDescent="0.2">
      <c r="A8" s="207"/>
      <c r="B8" s="25" t="s">
        <v>241</v>
      </c>
      <c r="C8" s="26">
        <v>35803.787386526514</v>
      </c>
      <c r="D8" s="26">
        <v>33616.30625895843</v>
      </c>
      <c r="E8" s="26">
        <v>35814.894648829431</v>
      </c>
      <c r="F8" s="27"/>
      <c r="G8" s="28">
        <v>3.1022590384097271E-2</v>
      </c>
      <c r="H8" s="29">
        <v>6.5402438118408668</v>
      </c>
    </row>
    <row r="9" spans="1:8" x14ac:dyDescent="0.2">
      <c r="A9" s="30" t="s">
        <v>18</v>
      </c>
      <c r="B9" s="31" t="s">
        <v>3</v>
      </c>
      <c r="C9" s="20">
        <v>5139.9516666666668</v>
      </c>
      <c r="D9" s="20">
        <v>4788.3979602971012</v>
      </c>
      <c r="E9" s="36">
        <v>4826.6333705210436</v>
      </c>
      <c r="F9" s="22" t="s">
        <v>240</v>
      </c>
      <c r="G9" s="32">
        <v>-6.0957440159902205</v>
      </c>
      <c r="H9" s="33">
        <v>0.79850109662919522</v>
      </c>
    </row>
    <row r="10" spans="1:8" x14ac:dyDescent="0.2">
      <c r="A10" s="34"/>
      <c r="B10" s="25" t="s">
        <v>241</v>
      </c>
      <c r="C10" s="26">
        <v>3877.4954347826088</v>
      </c>
      <c r="D10" s="26">
        <v>3349.2339130434784</v>
      </c>
      <c r="E10" s="26">
        <v>3459.9651086956519</v>
      </c>
      <c r="F10" s="27"/>
      <c r="G10" s="35">
        <v>-10.768041719444739</v>
      </c>
      <c r="H10" s="29">
        <v>3.3061648880639467</v>
      </c>
    </row>
    <row r="11" spans="1:8" x14ac:dyDescent="0.2">
      <c r="A11" s="30" t="s">
        <v>19</v>
      </c>
      <c r="B11" s="31" t="s">
        <v>3</v>
      </c>
      <c r="C11" s="20">
        <v>20375.569090909092</v>
      </c>
      <c r="D11" s="20">
        <v>20821.120597335968</v>
      </c>
      <c r="E11" s="36">
        <v>25867.510085355108</v>
      </c>
      <c r="F11" s="22" t="s">
        <v>240</v>
      </c>
      <c r="G11" s="37">
        <v>26.953558793586467</v>
      </c>
      <c r="H11" s="33">
        <v>24.236877474619774</v>
      </c>
    </row>
    <row r="12" spans="1:8" x14ac:dyDescent="0.2">
      <c r="A12" s="34"/>
      <c r="B12" s="25" t="s">
        <v>241</v>
      </c>
      <c r="C12" s="26">
        <v>15550.71233201581</v>
      </c>
      <c r="D12" s="26">
        <v>15109.674624505929</v>
      </c>
      <c r="E12" s="26">
        <v>19084.476719367587</v>
      </c>
      <c r="F12" s="27"/>
      <c r="G12" s="28">
        <v>22.724131936235878</v>
      </c>
      <c r="H12" s="29">
        <v>26.306338115415429</v>
      </c>
    </row>
    <row r="13" spans="1:8" x14ac:dyDescent="0.2">
      <c r="A13" s="30" t="s">
        <v>20</v>
      </c>
      <c r="B13" s="31" t="s">
        <v>3</v>
      </c>
      <c r="C13" s="20">
        <v>2841.5709999999999</v>
      </c>
      <c r="D13" s="20">
        <v>2858.2387761782611</v>
      </c>
      <c r="E13" s="36">
        <v>2277.7509212297509</v>
      </c>
      <c r="F13" s="22" t="s">
        <v>240</v>
      </c>
      <c r="G13" s="23">
        <v>-19.84184378184635</v>
      </c>
      <c r="H13" s="24">
        <v>-20.309284857043266</v>
      </c>
    </row>
    <row r="14" spans="1:8" x14ac:dyDescent="0.2">
      <c r="A14" s="34"/>
      <c r="B14" s="25" t="s">
        <v>241</v>
      </c>
      <c r="C14" s="26">
        <v>2071.297260869565</v>
      </c>
      <c r="D14" s="26">
        <v>2219.940347826087</v>
      </c>
      <c r="E14" s="26">
        <v>1731.2790652173912</v>
      </c>
      <c r="F14" s="27"/>
      <c r="G14" s="38">
        <v>-16.415712127646444</v>
      </c>
      <c r="H14" s="24">
        <v>-22.012360966691077</v>
      </c>
    </row>
    <row r="15" spans="1:8" x14ac:dyDescent="0.2">
      <c r="A15" s="30" t="s">
        <v>21</v>
      </c>
      <c r="B15" s="31" t="s">
        <v>3</v>
      </c>
      <c r="C15" s="20">
        <v>1158.5709999999999</v>
      </c>
      <c r="D15" s="20">
        <v>1237.2387761782609</v>
      </c>
      <c r="E15" s="36">
        <v>1355.3137356012173</v>
      </c>
      <c r="F15" s="22" t="s">
        <v>240</v>
      </c>
      <c r="G15" s="37">
        <v>16.981500106701915</v>
      </c>
      <c r="H15" s="33">
        <v>9.5434253837146485</v>
      </c>
    </row>
    <row r="16" spans="1:8" x14ac:dyDescent="0.2">
      <c r="A16" s="34"/>
      <c r="B16" s="25" t="s">
        <v>241</v>
      </c>
      <c r="C16" s="26">
        <v>907.29726086956521</v>
      </c>
      <c r="D16" s="26">
        <v>930.94034782608696</v>
      </c>
      <c r="E16" s="26">
        <v>1033.2790652173912</v>
      </c>
      <c r="F16" s="27"/>
      <c r="G16" s="28">
        <v>13.88539454280766</v>
      </c>
      <c r="H16" s="29">
        <v>10.993047796272194</v>
      </c>
    </row>
    <row r="17" spans="1:8" x14ac:dyDescent="0.2">
      <c r="A17" s="30" t="s">
        <v>189</v>
      </c>
      <c r="B17" s="31" t="s">
        <v>3</v>
      </c>
      <c r="C17" s="20">
        <v>9831.9516666666659</v>
      </c>
      <c r="D17" s="20">
        <v>8556.3979602971012</v>
      </c>
      <c r="E17" s="36">
        <v>8574.8780243262954</v>
      </c>
      <c r="F17" s="22" t="s">
        <v>240</v>
      </c>
      <c r="G17" s="37">
        <v>-12.785596237237783</v>
      </c>
      <c r="H17" s="33">
        <v>0.2159794824287502</v>
      </c>
    </row>
    <row r="18" spans="1:8" x14ac:dyDescent="0.2">
      <c r="A18" s="34"/>
      <c r="B18" s="25" t="s">
        <v>241</v>
      </c>
      <c r="C18" s="26">
        <v>7701.4954347826088</v>
      </c>
      <c r="D18" s="26">
        <v>6427.2339130434784</v>
      </c>
      <c r="E18" s="26">
        <v>6530.4651086956519</v>
      </c>
      <c r="F18" s="27"/>
      <c r="G18" s="28">
        <v>-15.205233009659139</v>
      </c>
      <c r="H18" s="29">
        <v>1.6061527719206623</v>
      </c>
    </row>
    <row r="19" spans="1:8" x14ac:dyDescent="0.2">
      <c r="A19" s="39" t="s">
        <v>12</v>
      </c>
      <c r="B19" s="31" t="s">
        <v>3</v>
      </c>
      <c r="C19" s="20">
        <v>425.57100000000003</v>
      </c>
      <c r="D19" s="20">
        <v>306.23877617826088</v>
      </c>
      <c r="E19" s="36">
        <v>298.72533744080334</v>
      </c>
      <c r="F19" s="22" t="s">
        <v>240</v>
      </c>
      <c r="G19" s="37">
        <v>-29.805993020952243</v>
      </c>
      <c r="H19" s="33">
        <v>-2.453457668301283</v>
      </c>
    </row>
    <row r="20" spans="1:8" x14ac:dyDescent="0.2">
      <c r="A20" s="34"/>
      <c r="B20" s="25" t="s">
        <v>241</v>
      </c>
      <c r="C20" s="26">
        <v>349.29726086956521</v>
      </c>
      <c r="D20" s="26">
        <v>226.94034782608696</v>
      </c>
      <c r="E20" s="26">
        <v>228.77906521739132</v>
      </c>
      <c r="F20" s="27"/>
      <c r="G20" s="28">
        <v>-34.503046302781598</v>
      </c>
      <c r="H20" s="29">
        <v>0.81022057510611489</v>
      </c>
    </row>
    <row r="21" spans="1:8" x14ac:dyDescent="0.2">
      <c r="A21" s="39" t="s">
        <v>23</v>
      </c>
      <c r="B21" s="31" t="s">
        <v>3</v>
      </c>
      <c r="C21" s="20">
        <v>720.38066666666668</v>
      </c>
      <c r="D21" s="20">
        <v>800.15918411884059</v>
      </c>
      <c r="E21" s="36">
        <v>725.8854428897962</v>
      </c>
      <c r="F21" s="22" t="s">
        <v>240</v>
      </c>
      <c r="G21" s="23">
        <v>0.76414824520500702</v>
      </c>
      <c r="H21" s="24">
        <v>-9.2823706461404782</v>
      </c>
    </row>
    <row r="22" spans="1:8" x14ac:dyDescent="0.2">
      <c r="A22" s="34"/>
      <c r="B22" s="25" t="s">
        <v>241</v>
      </c>
      <c r="C22" s="26">
        <v>526.19817391304355</v>
      </c>
      <c r="D22" s="26">
        <v>580.29356521739123</v>
      </c>
      <c r="E22" s="26">
        <v>527.6860434782609</v>
      </c>
      <c r="F22" s="27"/>
      <c r="G22" s="38">
        <v>0.28275840528920071</v>
      </c>
      <c r="H22" s="24">
        <v>-9.0656738058817439</v>
      </c>
    </row>
    <row r="23" spans="1:8" x14ac:dyDescent="0.2">
      <c r="A23" s="30" t="s">
        <v>24</v>
      </c>
      <c r="B23" s="31" t="s">
        <v>3</v>
      </c>
      <c r="C23" s="20">
        <v>7460.7713000000003</v>
      </c>
      <c r="D23" s="20">
        <v>7531.5716328534781</v>
      </c>
      <c r="E23" s="36">
        <v>5569.6027584109961</v>
      </c>
      <c r="F23" s="22" t="s">
        <v>240</v>
      </c>
      <c r="G23" s="37">
        <v>-25.348163957109961</v>
      </c>
      <c r="H23" s="33">
        <v>-26.049926497202463</v>
      </c>
    </row>
    <row r="24" spans="1:8" ht="13.5" thickBot="1" x14ac:dyDescent="0.25">
      <c r="A24" s="41"/>
      <c r="B24" s="42" t="s">
        <v>241</v>
      </c>
      <c r="C24" s="43">
        <v>5665.7891782608704</v>
      </c>
      <c r="D24" s="43">
        <v>5443.2821043478261</v>
      </c>
      <c r="E24" s="43">
        <v>4091.1837195652174</v>
      </c>
      <c r="F24" s="44"/>
      <c r="G24" s="45">
        <v>-27.79145868570744</v>
      </c>
      <c r="H24" s="46">
        <v>-24.839763195492267</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165</v>
      </c>
      <c r="B35" s="19" t="s">
        <v>3</v>
      </c>
      <c r="C35" s="80">
        <v>5905.40679865111</v>
      </c>
      <c r="D35" s="80">
        <v>5870.5359812985043</v>
      </c>
      <c r="E35" s="81">
        <v>5952.3560548352316</v>
      </c>
      <c r="F35" s="22" t="s">
        <v>240</v>
      </c>
      <c r="G35" s="23">
        <v>0.79502154186643281</v>
      </c>
      <c r="H35" s="24">
        <v>1.3937411132029212</v>
      </c>
    </row>
    <row r="36" spans="1:8" ht="12.75" customHeight="1" x14ac:dyDescent="0.2">
      <c r="A36" s="207"/>
      <c r="B36" s="25" t="s">
        <v>241</v>
      </c>
      <c r="C36" s="82">
        <v>4767.1996395704164</v>
      </c>
      <c r="D36" s="82">
        <v>4539.8772908809287</v>
      </c>
      <c r="E36" s="82">
        <v>4668.5546809425568</v>
      </c>
      <c r="F36" s="27"/>
      <c r="G36" s="28">
        <v>-2.0692432892688544</v>
      </c>
      <c r="H36" s="29">
        <v>2.8343803547311097</v>
      </c>
    </row>
    <row r="37" spans="1:8" x14ac:dyDescent="0.2">
      <c r="A37" s="30" t="s">
        <v>18</v>
      </c>
      <c r="B37" s="31" t="s">
        <v>3</v>
      </c>
      <c r="C37" s="80">
        <v>2576.6457160675841</v>
      </c>
      <c r="D37" s="80">
        <v>2669.1624952873353</v>
      </c>
      <c r="E37" s="83">
        <v>2708.5936560319465</v>
      </c>
      <c r="F37" s="22" t="s">
        <v>240</v>
      </c>
      <c r="G37" s="32">
        <v>5.1209189971890225</v>
      </c>
      <c r="H37" s="33">
        <v>1.4772858832772613</v>
      </c>
    </row>
    <row r="38" spans="1:8" x14ac:dyDescent="0.2">
      <c r="A38" s="34"/>
      <c r="B38" s="25" t="s">
        <v>241</v>
      </c>
      <c r="C38" s="82">
        <v>2179.7303074690744</v>
      </c>
      <c r="D38" s="82">
        <v>2134.8806423306037</v>
      </c>
      <c r="E38" s="82">
        <v>2206.5216945636771</v>
      </c>
      <c r="F38" s="27"/>
      <c r="G38" s="35">
        <v>1.2291147672168137</v>
      </c>
      <c r="H38" s="29">
        <v>3.3557404012462371</v>
      </c>
    </row>
    <row r="39" spans="1:8" x14ac:dyDescent="0.2">
      <c r="A39" s="30" t="s">
        <v>19</v>
      </c>
      <c r="B39" s="31" t="s">
        <v>3</v>
      </c>
      <c r="C39" s="80">
        <v>1645.1894379127921</v>
      </c>
      <c r="D39" s="80">
        <v>1638.2983003385852</v>
      </c>
      <c r="E39" s="83">
        <v>1954.8855195188153</v>
      </c>
      <c r="F39" s="22" t="s">
        <v>240</v>
      </c>
      <c r="G39" s="37">
        <v>18.824341712218029</v>
      </c>
      <c r="H39" s="33">
        <v>19.324149888625357</v>
      </c>
    </row>
    <row r="40" spans="1:8" x14ac:dyDescent="0.2">
      <c r="A40" s="34"/>
      <c r="B40" s="25" t="s">
        <v>241</v>
      </c>
      <c r="C40" s="82">
        <v>1232.9442011853789</v>
      </c>
      <c r="D40" s="82">
        <v>1217.0668261708872</v>
      </c>
      <c r="E40" s="82">
        <v>1456.4908472825191</v>
      </c>
      <c r="F40" s="27"/>
      <c r="G40" s="28">
        <v>18.131124334922674</v>
      </c>
      <c r="H40" s="29">
        <v>19.672216509663912</v>
      </c>
    </row>
    <row r="41" spans="1:8" x14ac:dyDescent="0.2">
      <c r="A41" s="30" t="s">
        <v>20</v>
      </c>
      <c r="B41" s="31" t="s">
        <v>3</v>
      </c>
      <c r="C41" s="80">
        <v>143.94542710324436</v>
      </c>
      <c r="D41" s="80">
        <v>140.39008832816526</v>
      </c>
      <c r="E41" s="83">
        <v>117.3786826186606</v>
      </c>
      <c r="F41" s="22" t="s">
        <v>240</v>
      </c>
      <c r="G41" s="23">
        <v>-18.456122587019635</v>
      </c>
      <c r="H41" s="24">
        <v>-16.391047248089862</v>
      </c>
    </row>
    <row r="42" spans="1:8" x14ac:dyDescent="0.2">
      <c r="A42" s="34"/>
      <c r="B42" s="25" t="s">
        <v>241</v>
      </c>
      <c r="C42" s="82">
        <v>107.46660929082228</v>
      </c>
      <c r="D42" s="82">
        <v>117.56621459943445</v>
      </c>
      <c r="E42" s="82">
        <v>94.46429221583611</v>
      </c>
      <c r="F42" s="27"/>
      <c r="G42" s="38">
        <v>-12.098936740248092</v>
      </c>
      <c r="H42" s="24">
        <v>-19.650137126818294</v>
      </c>
    </row>
    <row r="43" spans="1:8" x14ac:dyDescent="0.2">
      <c r="A43" s="30" t="s">
        <v>21</v>
      </c>
      <c r="B43" s="31" t="s">
        <v>3</v>
      </c>
      <c r="C43" s="80">
        <v>30.028634972271494</v>
      </c>
      <c r="D43" s="80">
        <v>20.722429564660558</v>
      </c>
      <c r="E43" s="83">
        <v>23.013328624723542</v>
      </c>
      <c r="F43" s="22" t="s">
        <v>240</v>
      </c>
      <c r="G43" s="37">
        <v>-23.362055431510299</v>
      </c>
      <c r="H43" s="33">
        <v>11.055166349653405</v>
      </c>
    </row>
    <row r="44" spans="1:8" x14ac:dyDescent="0.2">
      <c r="A44" s="34"/>
      <c r="B44" s="25" t="s">
        <v>241</v>
      </c>
      <c r="C44" s="82">
        <v>26.838102886221662</v>
      </c>
      <c r="D44" s="82">
        <v>14.981208407038615</v>
      </c>
      <c r="E44" s="82">
        <v>17.769368585182121</v>
      </c>
      <c r="F44" s="27"/>
      <c r="G44" s="28">
        <v>-33.790519171514589</v>
      </c>
      <c r="H44" s="29">
        <v>18.611049939292926</v>
      </c>
    </row>
    <row r="45" spans="1:8" x14ac:dyDescent="0.2">
      <c r="A45" s="30" t="s">
        <v>189</v>
      </c>
      <c r="B45" s="31" t="s">
        <v>3</v>
      </c>
      <c r="C45" s="80">
        <v>778.23145115395801</v>
      </c>
      <c r="D45" s="80">
        <v>726.58150310037581</v>
      </c>
      <c r="E45" s="83">
        <v>631.65724395309121</v>
      </c>
      <c r="F45" s="22" t="s">
        <v>240</v>
      </c>
      <c r="G45" s="37">
        <v>-18.834269288850663</v>
      </c>
      <c r="H45" s="33">
        <v>-13.064502570219034</v>
      </c>
    </row>
    <row r="46" spans="1:8" x14ac:dyDescent="0.2">
      <c r="A46" s="34"/>
      <c r="B46" s="25" t="s">
        <v>241</v>
      </c>
      <c r="C46" s="82">
        <v>634.93835072217098</v>
      </c>
      <c r="D46" s="82">
        <v>569.61279042313561</v>
      </c>
      <c r="E46" s="82">
        <v>501.73708414323522</v>
      </c>
      <c r="F46" s="27"/>
      <c r="G46" s="28">
        <v>-20.978614132763326</v>
      </c>
      <c r="H46" s="29">
        <v>-11.916113440760185</v>
      </c>
    </row>
    <row r="47" spans="1:8" x14ac:dyDescent="0.2">
      <c r="A47" s="39" t="s">
        <v>12</v>
      </c>
      <c r="B47" s="31" t="s">
        <v>3</v>
      </c>
      <c r="C47" s="80">
        <v>14.599101522754497</v>
      </c>
      <c r="D47" s="80">
        <v>13.774586753330446</v>
      </c>
      <c r="E47" s="83">
        <v>20.283843073275165</v>
      </c>
      <c r="F47" s="22" t="s">
        <v>240</v>
      </c>
      <c r="G47" s="37">
        <v>38.938982249423361</v>
      </c>
      <c r="H47" s="33">
        <v>47.255547019375342</v>
      </c>
    </row>
    <row r="48" spans="1:8" x14ac:dyDescent="0.2">
      <c r="A48" s="34"/>
      <c r="B48" s="25" t="s">
        <v>241</v>
      </c>
      <c r="C48" s="82">
        <v>11.155681585018316</v>
      </c>
      <c r="D48" s="82">
        <v>7.5110301719169268</v>
      </c>
      <c r="E48" s="82">
        <v>12.227780051015104</v>
      </c>
      <c r="F48" s="27"/>
      <c r="G48" s="28">
        <v>9.6103358439037834</v>
      </c>
      <c r="H48" s="29">
        <v>62.79764254887013</v>
      </c>
    </row>
    <row r="49" spans="1:8" x14ac:dyDescent="0.2">
      <c r="A49" s="39" t="s">
        <v>23</v>
      </c>
      <c r="B49" s="31" t="s">
        <v>3</v>
      </c>
      <c r="C49" s="80">
        <v>29.990324041124733</v>
      </c>
      <c r="D49" s="80">
        <v>38.14258987904995</v>
      </c>
      <c r="E49" s="83">
        <v>34.031583882797712</v>
      </c>
      <c r="F49" s="22" t="s">
        <v>240</v>
      </c>
      <c r="G49" s="23">
        <v>13.475212325586526</v>
      </c>
      <c r="H49" s="24">
        <v>-10.77799386273513</v>
      </c>
    </row>
    <row r="50" spans="1:8" x14ac:dyDescent="0.2">
      <c r="A50" s="34"/>
      <c r="B50" s="25" t="s">
        <v>241</v>
      </c>
      <c r="C50" s="82">
        <v>21.498868418337249</v>
      </c>
      <c r="D50" s="82">
        <v>26.626410638165474</v>
      </c>
      <c r="E50" s="82">
        <v>23.965952021452367</v>
      </c>
      <c r="F50" s="27"/>
      <c r="G50" s="38">
        <v>11.475411426821154</v>
      </c>
      <c r="H50" s="24">
        <v>-9.991803449841214</v>
      </c>
    </row>
    <row r="51" spans="1:8" x14ac:dyDescent="0.2">
      <c r="A51" s="30" t="s">
        <v>24</v>
      </c>
      <c r="B51" s="31" t="s">
        <v>3</v>
      </c>
      <c r="C51" s="80">
        <v>686.77670587738146</v>
      </c>
      <c r="D51" s="80">
        <v>623.4639880470022</v>
      </c>
      <c r="E51" s="83">
        <v>474.27340042354592</v>
      </c>
      <c r="F51" s="22" t="s">
        <v>240</v>
      </c>
      <c r="G51" s="37">
        <v>-30.942124803483992</v>
      </c>
      <c r="H51" s="33">
        <v>-23.929303132775175</v>
      </c>
    </row>
    <row r="52" spans="1:8" ht="13.5" thickBot="1" x14ac:dyDescent="0.25">
      <c r="A52" s="41"/>
      <c r="B52" s="42" t="s">
        <v>241</v>
      </c>
      <c r="C52" s="86">
        <v>552.62751801339186</v>
      </c>
      <c r="D52" s="86">
        <v>451.63216813974611</v>
      </c>
      <c r="E52" s="86">
        <v>355.37766207964</v>
      </c>
      <c r="F52" s="44"/>
      <c r="G52" s="45">
        <v>-35.693093359308961</v>
      </c>
      <c r="H52" s="46">
        <v>-21.312588617541209</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9">
        <v>17</v>
      </c>
    </row>
    <row r="62" spans="1:8"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4" t="s">
        <v>1</v>
      </c>
      <c r="H5" s="205"/>
    </row>
    <row r="6" spans="1:9" x14ac:dyDescent="0.2">
      <c r="A6" s="12"/>
      <c r="B6" s="13"/>
      <c r="C6" s="14" t="s">
        <v>235</v>
      </c>
      <c r="D6" s="15" t="s">
        <v>236</v>
      </c>
      <c r="E6" s="15" t="s">
        <v>237</v>
      </c>
      <c r="F6" s="16"/>
      <c r="G6" s="17" t="s">
        <v>238</v>
      </c>
      <c r="H6" s="18" t="s">
        <v>239</v>
      </c>
    </row>
    <row r="7" spans="1:9" x14ac:dyDescent="0.2">
      <c r="A7" s="206" t="s">
        <v>58</v>
      </c>
      <c r="B7" s="19" t="s">
        <v>3</v>
      </c>
      <c r="C7" s="20">
        <v>9550.4275265306132</v>
      </c>
      <c r="D7" s="20">
        <v>8509.7790693877541</v>
      </c>
      <c r="E7" s="79">
        <v>8663.5162936021843</v>
      </c>
      <c r="F7" s="22" t="s">
        <v>240</v>
      </c>
      <c r="G7" s="23">
        <v>-9.2866128816184812</v>
      </c>
      <c r="H7" s="24">
        <v>1.8065947771484332</v>
      </c>
    </row>
    <row r="8" spans="1:9" x14ac:dyDescent="0.2">
      <c r="A8" s="207"/>
      <c r="B8" s="25" t="s">
        <v>241</v>
      </c>
      <c r="C8" s="26">
        <v>7040.4526530612238</v>
      </c>
      <c r="D8" s="26">
        <v>6161.3536816326532</v>
      </c>
      <c r="E8" s="26">
        <v>6310.199289795918</v>
      </c>
      <c r="F8" s="27"/>
      <c r="G8" s="28">
        <v>-10.372250184052973</v>
      </c>
      <c r="H8" s="29">
        <v>2.4157939286456127</v>
      </c>
    </row>
    <row r="9" spans="1:9" x14ac:dyDescent="0.2">
      <c r="A9" s="30" t="s">
        <v>9</v>
      </c>
      <c r="B9" s="31" t="s">
        <v>3</v>
      </c>
      <c r="C9" s="20">
        <v>9153.4100571428571</v>
      </c>
      <c r="D9" s="20">
        <v>8061.5764571428572</v>
      </c>
      <c r="E9" s="21">
        <v>8001.3569726592186</v>
      </c>
      <c r="F9" s="22" t="s">
        <v>240</v>
      </c>
      <c r="G9" s="32">
        <v>-12.586053473968803</v>
      </c>
      <c r="H9" s="33">
        <v>-0.74699390130179211</v>
      </c>
    </row>
    <row r="10" spans="1:9" x14ac:dyDescent="0.2">
      <c r="A10" s="34"/>
      <c r="B10" s="25" t="s">
        <v>241</v>
      </c>
      <c r="C10" s="26">
        <v>6743.7057142857138</v>
      </c>
      <c r="D10" s="26">
        <v>5855.4833142857142</v>
      </c>
      <c r="E10" s="26">
        <v>5839.2130857142856</v>
      </c>
      <c r="F10" s="27"/>
      <c r="G10" s="35">
        <v>-13.412397677071993</v>
      </c>
      <c r="H10" s="29">
        <v>-0.27786311903125238</v>
      </c>
    </row>
    <row r="11" spans="1:9" x14ac:dyDescent="0.2">
      <c r="A11" s="30" t="s">
        <v>46</v>
      </c>
      <c r="B11" s="31" t="s">
        <v>3</v>
      </c>
      <c r="C11" s="20">
        <v>399.01746938775511</v>
      </c>
      <c r="D11" s="20">
        <v>449.20261224489798</v>
      </c>
      <c r="E11" s="21">
        <v>669.3145085533987</v>
      </c>
      <c r="F11" s="22" t="s">
        <v>240</v>
      </c>
      <c r="G11" s="37">
        <v>67.74065295446394</v>
      </c>
      <c r="H11" s="33">
        <v>49.000582433946164</v>
      </c>
    </row>
    <row r="12" spans="1:9" ht="13.5" thickBot="1" x14ac:dyDescent="0.25">
      <c r="A12" s="56"/>
      <c r="B12" s="42" t="s">
        <v>241</v>
      </c>
      <c r="C12" s="43">
        <v>298.74693877551022</v>
      </c>
      <c r="D12" s="43">
        <v>306.87036734693879</v>
      </c>
      <c r="E12" s="43">
        <v>470.98620408163265</v>
      </c>
      <c r="F12" s="44"/>
      <c r="G12" s="57">
        <v>57.6539013293621</v>
      </c>
      <c r="H12" s="46">
        <v>53.480509751907448</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58</v>
      </c>
      <c r="B35" s="19" t="s">
        <v>3</v>
      </c>
      <c r="C35" s="80">
        <v>2097.286501513945</v>
      </c>
      <c r="D35" s="80">
        <v>1776.8332046777334</v>
      </c>
      <c r="E35" s="81">
        <v>1822.7987004265524</v>
      </c>
      <c r="F35" s="22" t="s">
        <v>240</v>
      </c>
      <c r="G35" s="23">
        <v>-13.087758915591706</v>
      </c>
      <c r="H35" s="24">
        <v>2.5869336315760449</v>
      </c>
    </row>
    <row r="36" spans="1:9" ht="12.75" customHeight="1" x14ac:dyDescent="0.2">
      <c r="A36" s="207"/>
      <c r="B36" s="25" t="s">
        <v>241</v>
      </c>
      <c r="C36" s="82">
        <v>1538.0958501144169</v>
      </c>
      <c r="D36" s="82">
        <v>1346.5649977752039</v>
      </c>
      <c r="E36" s="82">
        <v>1366.2038966588643</v>
      </c>
      <c r="F36" s="27"/>
      <c r="G36" s="28">
        <v>-11.175633393898423</v>
      </c>
      <c r="H36" s="29">
        <v>1.4584441832446089</v>
      </c>
    </row>
    <row r="37" spans="1:9" x14ac:dyDescent="0.2">
      <c r="A37" s="30" t="s">
        <v>9</v>
      </c>
      <c r="B37" s="31" t="s">
        <v>3</v>
      </c>
      <c r="C37" s="80">
        <v>1504.8281474900598</v>
      </c>
      <c r="D37" s="80">
        <v>1313.0264236824205</v>
      </c>
      <c r="E37" s="83">
        <v>1332.6582073947209</v>
      </c>
      <c r="F37" s="22" t="s">
        <v>240</v>
      </c>
      <c r="G37" s="32">
        <v>-11.44116957025993</v>
      </c>
      <c r="H37" s="33">
        <v>1.4951552655918761</v>
      </c>
    </row>
    <row r="38" spans="1:9" x14ac:dyDescent="0.2">
      <c r="A38" s="34"/>
      <c r="B38" s="25" t="s">
        <v>241</v>
      </c>
      <c r="C38" s="82">
        <v>1103.4278441091969</v>
      </c>
      <c r="D38" s="82">
        <v>978.72109732522586</v>
      </c>
      <c r="E38" s="82">
        <v>987.90478217487998</v>
      </c>
      <c r="F38" s="27"/>
      <c r="G38" s="35">
        <v>-10.469471343418874</v>
      </c>
      <c r="H38" s="29">
        <v>0.93833522897917021</v>
      </c>
    </row>
    <row r="39" spans="1:9" x14ac:dyDescent="0.2">
      <c r="A39" s="30" t="s">
        <v>46</v>
      </c>
      <c r="B39" s="31" t="s">
        <v>3</v>
      </c>
      <c r="C39" s="80">
        <v>592.45835402388502</v>
      </c>
      <c r="D39" s="80">
        <v>463.80678099531286</v>
      </c>
      <c r="E39" s="83">
        <v>489.86862793584669</v>
      </c>
      <c r="F39" s="22" t="s">
        <v>240</v>
      </c>
      <c r="G39" s="37">
        <v>-17.315938815152975</v>
      </c>
      <c r="H39" s="33">
        <v>5.619117272198153</v>
      </c>
    </row>
    <row r="40" spans="1:9" ht="13.5" thickBot="1" x14ac:dyDescent="0.25">
      <c r="A40" s="56"/>
      <c r="B40" s="42" t="s">
        <v>241</v>
      </c>
      <c r="C40" s="86">
        <v>434.66800600521998</v>
      </c>
      <c r="D40" s="86">
        <v>367.84390044997809</v>
      </c>
      <c r="E40" s="86">
        <v>378.29911448398514</v>
      </c>
      <c r="F40" s="44"/>
      <c r="G40" s="57">
        <v>-12.968263304973476</v>
      </c>
      <c r="H40" s="46">
        <v>2.8422964255265128</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1">
        <v>18</v>
      </c>
    </row>
    <row r="62" spans="1:9"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4" t="s">
        <v>1</v>
      </c>
      <c r="H5" s="205"/>
    </row>
    <row r="6" spans="1:9" x14ac:dyDescent="0.2">
      <c r="A6" s="12"/>
      <c r="B6" s="13"/>
      <c r="C6" s="14" t="s">
        <v>235</v>
      </c>
      <c r="D6" s="15" t="s">
        <v>236</v>
      </c>
      <c r="E6" s="15" t="s">
        <v>237</v>
      </c>
      <c r="F6" s="16"/>
      <c r="G6" s="17" t="s">
        <v>238</v>
      </c>
      <c r="H6" s="18" t="s">
        <v>239</v>
      </c>
    </row>
    <row r="7" spans="1:9" x14ac:dyDescent="0.2">
      <c r="A7" s="206" t="s">
        <v>57</v>
      </c>
      <c r="B7" s="19" t="s">
        <v>3</v>
      </c>
      <c r="C7" s="20">
        <v>5250</v>
      </c>
      <c r="D7" s="20">
        <v>5522</v>
      </c>
      <c r="E7" s="79">
        <v>5144.4495611508755</v>
      </c>
      <c r="F7" s="22" t="s">
        <v>240</v>
      </c>
      <c r="G7" s="23">
        <v>-2.010484549507126</v>
      </c>
      <c r="H7" s="24">
        <v>-6.8372046151598056</v>
      </c>
    </row>
    <row r="8" spans="1:9" x14ac:dyDescent="0.2">
      <c r="A8" s="207"/>
      <c r="B8" s="25" t="s">
        <v>241</v>
      </c>
      <c r="C8" s="26">
        <v>3867.6905142857145</v>
      </c>
      <c r="D8" s="26">
        <v>3966</v>
      </c>
      <c r="E8" s="26">
        <v>3726</v>
      </c>
      <c r="F8" s="27"/>
      <c r="G8" s="28">
        <v>-3.6634398166649049</v>
      </c>
      <c r="H8" s="29">
        <v>-6.0514372163388828</v>
      </c>
    </row>
    <row r="9" spans="1:9" x14ac:dyDescent="0.2">
      <c r="A9" s="30" t="s">
        <v>9</v>
      </c>
      <c r="B9" s="31" t="s">
        <v>3</v>
      </c>
      <c r="C9" s="20">
        <v>1759</v>
      </c>
      <c r="D9" s="20">
        <v>1891</v>
      </c>
      <c r="E9" s="21">
        <v>1764.8566776133537</v>
      </c>
      <c r="F9" s="22" t="s">
        <v>240</v>
      </c>
      <c r="G9" s="32">
        <v>0.33295495243625339</v>
      </c>
      <c r="H9" s="33">
        <v>-6.6707203800447559</v>
      </c>
    </row>
    <row r="10" spans="1:9" x14ac:dyDescent="0.2">
      <c r="A10" s="34"/>
      <c r="B10" s="25" t="s">
        <v>241</v>
      </c>
      <c r="C10" s="26">
        <v>1378.4603428571429</v>
      </c>
      <c r="D10" s="26">
        <v>1223</v>
      </c>
      <c r="E10" s="26">
        <v>1212</v>
      </c>
      <c r="F10" s="27"/>
      <c r="G10" s="35">
        <v>-12.075816596371538</v>
      </c>
      <c r="H10" s="29">
        <v>-0.89942763695829342</v>
      </c>
    </row>
    <row r="11" spans="1:9" x14ac:dyDescent="0.2">
      <c r="A11" s="30" t="s">
        <v>46</v>
      </c>
      <c r="B11" s="31" t="s">
        <v>3</v>
      </c>
      <c r="C11" s="20">
        <v>2718</v>
      </c>
      <c r="D11" s="20">
        <v>2194</v>
      </c>
      <c r="E11" s="21">
        <v>2615.8054091711306</v>
      </c>
      <c r="F11" s="22" t="s">
        <v>240</v>
      </c>
      <c r="G11" s="37">
        <v>-3.7599187207089528</v>
      </c>
      <c r="H11" s="33">
        <v>19.225406069787169</v>
      </c>
    </row>
    <row r="12" spans="1:9" x14ac:dyDescent="0.2">
      <c r="A12" s="34"/>
      <c r="B12" s="25" t="s">
        <v>241</v>
      </c>
      <c r="C12" s="26">
        <v>1709.2301714285713</v>
      </c>
      <c r="D12" s="26">
        <v>1637</v>
      </c>
      <c r="E12" s="26">
        <v>1837.5</v>
      </c>
      <c r="F12" s="27"/>
      <c r="G12" s="28">
        <v>7.5045380496777057</v>
      </c>
      <c r="H12" s="29">
        <v>12.248014660965197</v>
      </c>
    </row>
    <row r="13" spans="1:9" x14ac:dyDescent="0.2">
      <c r="A13" s="30" t="s">
        <v>24</v>
      </c>
      <c r="B13" s="31" t="s">
        <v>3</v>
      </c>
      <c r="C13" s="20">
        <v>861</v>
      </c>
      <c r="D13" s="20">
        <v>1442</v>
      </c>
      <c r="E13" s="21">
        <v>1131.0367269810147</v>
      </c>
      <c r="F13" s="22" t="s">
        <v>240</v>
      </c>
      <c r="G13" s="23">
        <v>31.363150636587079</v>
      </c>
      <c r="H13" s="24">
        <v>-21.564720736406755</v>
      </c>
    </row>
    <row r="14" spans="1:9" ht="13.5" thickBot="1" x14ac:dyDescent="0.25">
      <c r="A14" s="56"/>
      <c r="B14" s="42" t="s">
        <v>241</v>
      </c>
      <c r="C14" s="43">
        <v>848.11508571428567</v>
      </c>
      <c r="D14" s="43">
        <v>1119</v>
      </c>
      <c r="E14" s="43">
        <v>944.5</v>
      </c>
      <c r="F14" s="44"/>
      <c r="G14" s="57">
        <v>11.36460321355311</v>
      </c>
      <c r="H14" s="46">
        <v>-15.594280607685434</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57</v>
      </c>
      <c r="B35" s="19" t="s">
        <v>3</v>
      </c>
      <c r="C35" s="80">
        <v>1715.0155545624009</v>
      </c>
      <c r="D35" s="80">
        <v>2036.0218121420889</v>
      </c>
      <c r="E35" s="81">
        <v>2414.0997475707886</v>
      </c>
      <c r="F35" s="22" t="s">
        <v>240</v>
      </c>
      <c r="G35" s="23">
        <v>40.762557001225815</v>
      </c>
      <c r="H35" s="24">
        <v>18.569444255163731</v>
      </c>
    </row>
    <row r="36" spans="1:9" ht="12.75" customHeight="1" x14ac:dyDescent="0.2">
      <c r="A36" s="207"/>
      <c r="B36" s="25" t="s">
        <v>241</v>
      </c>
      <c r="C36" s="82">
        <v>1281.1842179109665</v>
      </c>
      <c r="D36" s="82">
        <v>1496.9494315651555</v>
      </c>
      <c r="E36" s="82">
        <v>1784.3249974431344</v>
      </c>
      <c r="F36" s="27"/>
      <c r="G36" s="28">
        <v>39.271540540248253</v>
      </c>
      <c r="H36" s="29">
        <v>19.197413073433594</v>
      </c>
    </row>
    <row r="37" spans="1:9" x14ac:dyDescent="0.2">
      <c r="A37" s="30" t="s">
        <v>9</v>
      </c>
      <c r="B37" s="31" t="s">
        <v>3</v>
      </c>
      <c r="C37" s="80">
        <v>315.91774839229686</v>
      </c>
      <c r="D37" s="80">
        <v>357.14071684871601</v>
      </c>
      <c r="E37" s="83">
        <v>389.25160986040419</v>
      </c>
      <c r="F37" s="22" t="s">
        <v>240</v>
      </c>
      <c r="G37" s="32">
        <v>23.212960285170055</v>
      </c>
      <c r="H37" s="33">
        <v>8.9911039253724283</v>
      </c>
    </row>
    <row r="38" spans="1:9" x14ac:dyDescent="0.2">
      <c r="A38" s="34"/>
      <c r="B38" s="25" t="s">
        <v>241</v>
      </c>
      <c r="C38" s="82">
        <v>239.37797705985324</v>
      </c>
      <c r="D38" s="82">
        <v>265.97273170646218</v>
      </c>
      <c r="E38" s="82">
        <v>291.55325470475083</v>
      </c>
      <c r="F38" s="27"/>
      <c r="G38" s="35">
        <v>21.796189560016145</v>
      </c>
      <c r="H38" s="29">
        <v>9.6177239050656738</v>
      </c>
    </row>
    <row r="39" spans="1:9" x14ac:dyDescent="0.2">
      <c r="A39" s="30" t="s">
        <v>46</v>
      </c>
      <c r="B39" s="31" t="s">
        <v>3</v>
      </c>
      <c r="C39" s="80">
        <v>1004.6419565647177</v>
      </c>
      <c r="D39" s="80">
        <v>1188.182864513248</v>
      </c>
      <c r="E39" s="83">
        <v>1436.4569739755125</v>
      </c>
      <c r="F39" s="22" t="s">
        <v>240</v>
      </c>
      <c r="G39" s="37">
        <v>42.981981251046619</v>
      </c>
      <c r="H39" s="33">
        <v>20.895277728481005</v>
      </c>
    </row>
    <row r="40" spans="1:9" x14ac:dyDescent="0.2">
      <c r="A40" s="34"/>
      <c r="B40" s="25" t="s">
        <v>241</v>
      </c>
      <c r="C40" s="82">
        <v>753.70770997011005</v>
      </c>
      <c r="D40" s="82">
        <v>870.43728876933767</v>
      </c>
      <c r="E40" s="82">
        <v>1060.6335779406247</v>
      </c>
      <c r="F40" s="27"/>
      <c r="G40" s="28">
        <v>40.722134576902022</v>
      </c>
      <c r="H40" s="29">
        <v>21.850659619625773</v>
      </c>
    </row>
    <row r="41" spans="1:9" x14ac:dyDescent="0.2">
      <c r="A41" s="30" t="s">
        <v>24</v>
      </c>
      <c r="B41" s="31" t="s">
        <v>3</v>
      </c>
      <c r="C41" s="80">
        <v>394.45584960538628</v>
      </c>
      <c r="D41" s="80">
        <v>490.69823078012507</v>
      </c>
      <c r="E41" s="83">
        <v>589.32016057569672</v>
      </c>
      <c r="F41" s="22" t="s">
        <v>240</v>
      </c>
      <c r="G41" s="23">
        <v>49.400791283803443</v>
      </c>
      <c r="H41" s="24">
        <v>20.098285180034154</v>
      </c>
    </row>
    <row r="42" spans="1:9" ht="13.5" thickBot="1" x14ac:dyDescent="0.25">
      <c r="A42" s="56"/>
      <c r="B42" s="42" t="s">
        <v>241</v>
      </c>
      <c r="C42" s="86">
        <v>288.09853088100317</v>
      </c>
      <c r="D42" s="86">
        <v>360.53941108935533</v>
      </c>
      <c r="E42" s="86">
        <v>432.13816479775886</v>
      </c>
      <c r="F42" s="44"/>
      <c r="G42" s="57">
        <v>49.996656864678755</v>
      </c>
      <c r="H42" s="46">
        <v>19.858787002527905</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9">
        <v>19</v>
      </c>
    </row>
    <row r="62" spans="1:9"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4" t="s">
        <v>1</v>
      </c>
      <c r="H5" s="205"/>
    </row>
    <row r="6" spans="1:9" x14ac:dyDescent="0.2">
      <c r="A6" s="12"/>
      <c r="B6" s="13"/>
      <c r="C6" s="14" t="s">
        <v>235</v>
      </c>
      <c r="D6" s="15" t="s">
        <v>236</v>
      </c>
      <c r="E6" s="15" t="s">
        <v>237</v>
      </c>
      <c r="F6" s="16"/>
      <c r="G6" s="17" t="s">
        <v>238</v>
      </c>
      <c r="H6" s="18" t="s">
        <v>239</v>
      </c>
    </row>
    <row r="7" spans="1:9" ht="12.75" customHeight="1" x14ac:dyDescent="0.2">
      <c r="A7" s="206" t="s">
        <v>60</v>
      </c>
      <c r="B7" s="19" t="s">
        <v>3</v>
      </c>
      <c r="C7" s="20">
        <v>27254.799999999999</v>
      </c>
      <c r="D7" s="20">
        <v>27600.996666666666</v>
      </c>
      <c r="E7" s="79">
        <v>31383.90301197629</v>
      </c>
      <c r="F7" s="22" t="s">
        <v>240</v>
      </c>
      <c r="G7" s="23">
        <v>15.150002979204729</v>
      </c>
      <c r="H7" s="24">
        <v>13.705687482938572</v>
      </c>
    </row>
    <row r="8" spans="1:9" ht="13.7" customHeight="1" thickBot="1" x14ac:dyDescent="0.25">
      <c r="A8" s="212"/>
      <c r="B8" s="42" t="s">
        <v>241</v>
      </c>
      <c r="C8" s="43">
        <v>19854.9175</v>
      </c>
      <c r="D8" s="43">
        <v>19809.1175</v>
      </c>
      <c r="E8" s="43">
        <v>22635.919999999998</v>
      </c>
      <c r="F8" s="44"/>
      <c r="G8" s="57">
        <v>14.006618259683009</v>
      </c>
      <c r="H8" s="46">
        <v>14.270209159999169</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60</v>
      </c>
      <c r="B35" s="19" t="s">
        <v>3</v>
      </c>
      <c r="C35" s="80">
        <v>750.93103671113693</v>
      </c>
      <c r="D35" s="80">
        <v>790.99551165503703</v>
      </c>
      <c r="E35" s="81">
        <v>929.50169781266095</v>
      </c>
      <c r="F35" s="22" t="s">
        <v>240</v>
      </c>
      <c r="G35" s="23">
        <v>23.779901531785441</v>
      </c>
      <c r="H35" s="24">
        <v>17.510363095211616</v>
      </c>
    </row>
    <row r="36" spans="1:9" ht="12.75" customHeight="1" thickBot="1" x14ac:dyDescent="0.25">
      <c r="A36" s="212"/>
      <c r="B36" s="42" t="s">
        <v>241</v>
      </c>
      <c r="C36" s="86">
        <v>567.3578591433693</v>
      </c>
      <c r="D36" s="86">
        <v>621.67456663159805</v>
      </c>
      <c r="E36" s="86">
        <v>720.86371230413943</v>
      </c>
      <c r="F36" s="44"/>
      <c r="G36" s="57">
        <v>27.056266285363947</v>
      </c>
      <c r="H36" s="46">
        <v>15.95515579959708</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1">
        <v>20</v>
      </c>
    </row>
    <row r="62" spans="1:9"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5" t="s">
        <v>1</v>
      </c>
      <c r="H5" s="216"/>
    </row>
    <row r="6" spans="1:8" x14ac:dyDescent="0.2">
      <c r="A6" s="108"/>
      <c r="B6" s="109"/>
      <c r="C6" s="110" t="s">
        <v>235</v>
      </c>
      <c r="D6" s="111" t="s">
        <v>236</v>
      </c>
      <c r="E6" s="111" t="s">
        <v>237</v>
      </c>
      <c r="F6" s="112"/>
      <c r="G6" s="113" t="s">
        <v>238</v>
      </c>
      <c r="H6" s="114" t="s">
        <v>239</v>
      </c>
    </row>
    <row r="7" spans="1:8" ht="12.75" customHeight="1" x14ac:dyDescent="0.2">
      <c r="A7" s="217" t="s">
        <v>193</v>
      </c>
      <c r="B7" s="115" t="s">
        <v>3</v>
      </c>
      <c r="C7" s="20">
        <v>6375</v>
      </c>
      <c r="D7" s="20">
        <v>6379</v>
      </c>
      <c r="E7" s="79">
        <v>7007.9100250797155</v>
      </c>
      <c r="F7" s="22" t="s">
        <v>240</v>
      </c>
      <c r="G7" s="116">
        <v>9.9280003934073164</v>
      </c>
      <c r="H7" s="117">
        <v>9.859069212724819</v>
      </c>
    </row>
    <row r="8" spans="1:8" ht="12.75" customHeight="1" x14ac:dyDescent="0.2">
      <c r="A8" s="218"/>
      <c r="B8" s="118" t="s">
        <v>241</v>
      </c>
      <c r="C8" s="26">
        <v>4618.1849056603769</v>
      </c>
      <c r="D8" s="26">
        <v>4715</v>
      </c>
      <c r="E8" s="26">
        <v>5145</v>
      </c>
      <c r="F8" s="27"/>
      <c r="G8" s="119">
        <v>11.407405833705809</v>
      </c>
      <c r="H8" s="120">
        <v>9.1198303287380611</v>
      </c>
    </row>
    <row r="9" spans="1:8" x14ac:dyDescent="0.2">
      <c r="A9" s="121" t="s">
        <v>194</v>
      </c>
      <c r="B9" s="122" t="s">
        <v>3</v>
      </c>
      <c r="C9" s="20">
        <v>2249</v>
      </c>
      <c r="D9" s="20">
        <v>2198</v>
      </c>
      <c r="E9" s="20">
        <v>2153.2185689448115</v>
      </c>
      <c r="F9" s="22" t="s">
        <v>240</v>
      </c>
      <c r="G9" s="123">
        <v>-4.2588453114801439</v>
      </c>
      <c r="H9" s="124">
        <v>-2.0373717495536141</v>
      </c>
    </row>
    <row r="10" spans="1:8" x14ac:dyDescent="0.2">
      <c r="A10" s="125"/>
      <c r="B10" s="118" t="s">
        <v>241</v>
      </c>
      <c r="C10" s="26">
        <v>1648.3408319999999</v>
      </c>
      <c r="D10" s="26">
        <v>1654</v>
      </c>
      <c r="E10" s="26">
        <v>1606</v>
      </c>
      <c r="F10" s="27"/>
      <c r="G10" s="126">
        <v>-2.5686939968978351</v>
      </c>
      <c r="H10" s="120">
        <v>-2.9020556227327745</v>
      </c>
    </row>
    <row r="11" spans="1:8" x14ac:dyDescent="0.2">
      <c r="A11" s="121" t="s">
        <v>195</v>
      </c>
      <c r="B11" s="122" t="s">
        <v>3</v>
      </c>
      <c r="C11" s="20">
        <v>545</v>
      </c>
      <c r="D11" s="20">
        <v>616</v>
      </c>
      <c r="E11" s="20">
        <v>642.85995895313056</v>
      </c>
      <c r="F11" s="22" t="s">
        <v>240</v>
      </c>
      <c r="G11" s="127">
        <v>17.955955771216622</v>
      </c>
      <c r="H11" s="124">
        <v>4.3603829469367668</v>
      </c>
    </row>
    <row r="12" spans="1:8" x14ac:dyDescent="0.2">
      <c r="A12" s="125"/>
      <c r="B12" s="118" t="s">
        <v>241</v>
      </c>
      <c r="C12" s="26">
        <v>406.75927999999999</v>
      </c>
      <c r="D12" s="26">
        <v>443</v>
      </c>
      <c r="E12" s="26">
        <v>468</v>
      </c>
      <c r="F12" s="27"/>
      <c r="G12" s="119">
        <v>15.055764677329535</v>
      </c>
      <c r="H12" s="120">
        <v>5.6433408577878197</v>
      </c>
    </row>
    <row r="13" spans="1:8" x14ac:dyDescent="0.2">
      <c r="A13" s="121" t="s">
        <v>228</v>
      </c>
      <c r="B13" s="122" t="s">
        <v>3</v>
      </c>
      <c r="C13" s="20">
        <v>166</v>
      </c>
      <c r="D13" s="20">
        <v>153</v>
      </c>
      <c r="E13" s="20">
        <v>275.62587276264338</v>
      </c>
      <c r="F13" s="22" t="s">
        <v>240</v>
      </c>
      <c r="G13" s="116">
        <v>66.039682387134548</v>
      </c>
      <c r="H13" s="117">
        <v>80.147629256629671</v>
      </c>
    </row>
    <row r="14" spans="1:8" x14ac:dyDescent="0.2">
      <c r="A14" s="125"/>
      <c r="B14" s="118" t="s">
        <v>241</v>
      </c>
      <c r="C14" s="26">
        <v>154.66480799999999</v>
      </c>
      <c r="D14" s="26">
        <v>102</v>
      </c>
      <c r="E14" s="26">
        <v>203</v>
      </c>
      <c r="F14" s="27"/>
      <c r="G14" s="128">
        <v>31.251577281885602</v>
      </c>
      <c r="H14" s="117">
        <v>99.019607843137265</v>
      </c>
    </row>
    <row r="15" spans="1:8" x14ac:dyDescent="0.2">
      <c r="A15" s="121" t="s">
        <v>196</v>
      </c>
      <c r="B15" s="122" t="s">
        <v>3</v>
      </c>
      <c r="C15" s="20">
        <v>2468</v>
      </c>
      <c r="D15" s="20">
        <v>2248</v>
      </c>
      <c r="E15" s="20">
        <v>2427.2961392931802</v>
      </c>
      <c r="F15" s="22" t="s">
        <v>240</v>
      </c>
      <c r="G15" s="127">
        <v>-1.6492650205356512</v>
      </c>
      <c r="H15" s="124">
        <v>7.9758069080596101</v>
      </c>
    </row>
    <row r="16" spans="1:8" x14ac:dyDescent="0.2">
      <c r="A16" s="125"/>
      <c r="B16" s="118" t="s">
        <v>241</v>
      </c>
      <c r="C16" s="26">
        <v>1874.83952</v>
      </c>
      <c r="D16" s="26">
        <v>1642</v>
      </c>
      <c r="E16" s="26">
        <v>1796</v>
      </c>
      <c r="F16" s="27"/>
      <c r="G16" s="119">
        <v>-4.2051343146425637</v>
      </c>
      <c r="H16" s="120">
        <v>9.3788063337393339</v>
      </c>
    </row>
    <row r="17" spans="1:9" x14ac:dyDescent="0.2">
      <c r="A17" s="121" t="s">
        <v>197</v>
      </c>
      <c r="B17" s="122" t="s">
        <v>3</v>
      </c>
      <c r="C17" s="20">
        <v>478</v>
      </c>
      <c r="D17" s="20">
        <v>489</v>
      </c>
      <c r="E17" s="20">
        <v>560.39739608476725</v>
      </c>
      <c r="F17" s="22" t="s">
        <v>240</v>
      </c>
      <c r="G17" s="127">
        <v>17.237948971708633</v>
      </c>
      <c r="H17" s="124">
        <v>14.600694495862427</v>
      </c>
    </row>
    <row r="18" spans="1:9" x14ac:dyDescent="0.2">
      <c r="A18" s="121"/>
      <c r="B18" s="118" t="s">
        <v>241</v>
      </c>
      <c r="C18" s="26">
        <v>331.83951999999999</v>
      </c>
      <c r="D18" s="26">
        <v>350</v>
      </c>
      <c r="E18" s="26">
        <v>397</v>
      </c>
      <c r="F18" s="27"/>
      <c r="G18" s="119">
        <v>19.636142193069702</v>
      </c>
      <c r="H18" s="120">
        <v>13.428571428571431</v>
      </c>
    </row>
    <row r="19" spans="1:9" x14ac:dyDescent="0.2">
      <c r="A19" s="129" t="s">
        <v>198</v>
      </c>
      <c r="B19" s="122" t="s">
        <v>3</v>
      </c>
      <c r="C19" s="20">
        <v>34</v>
      </c>
      <c r="D19" s="20">
        <v>20</v>
      </c>
      <c r="E19" s="20">
        <v>15.343370412506856</v>
      </c>
      <c r="F19" s="22" t="s">
        <v>240</v>
      </c>
      <c r="G19" s="116">
        <v>-54.872439963215129</v>
      </c>
      <c r="H19" s="117">
        <v>-23.283147937465714</v>
      </c>
    </row>
    <row r="20" spans="1:9" x14ac:dyDescent="0.2">
      <c r="A20" s="125"/>
      <c r="B20" s="118" t="s">
        <v>241</v>
      </c>
      <c r="C20" s="26">
        <v>161.73895200000001</v>
      </c>
      <c r="D20" s="26">
        <v>15</v>
      </c>
      <c r="E20" s="26">
        <v>16</v>
      </c>
      <c r="F20" s="27"/>
      <c r="G20" s="128">
        <v>-90.107515968076754</v>
      </c>
      <c r="H20" s="117">
        <v>6.6666666666666714</v>
      </c>
    </row>
    <row r="21" spans="1:9" x14ac:dyDescent="0.2">
      <c r="A21" s="129" t="s">
        <v>199</v>
      </c>
      <c r="B21" s="122" t="s">
        <v>3</v>
      </c>
      <c r="C21" s="20">
        <v>17</v>
      </c>
      <c r="D21" s="20">
        <v>13</v>
      </c>
      <c r="E21" s="20">
        <v>20.938883220550061</v>
      </c>
      <c r="F21" s="22" t="s">
        <v>240</v>
      </c>
      <c r="G21" s="127">
        <v>23.169901297353306</v>
      </c>
      <c r="H21" s="124">
        <v>61.068332465769714</v>
      </c>
    </row>
    <row r="22" spans="1:9" x14ac:dyDescent="0.2">
      <c r="A22" s="125"/>
      <c r="B22" s="118" t="s">
        <v>241</v>
      </c>
      <c r="C22" s="26">
        <v>18.127983999999998</v>
      </c>
      <c r="D22" s="26">
        <v>8</v>
      </c>
      <c r="E22" s="26">
        <v>15</v>
      </c>
      <c r="F22" s="27"/>
      <c r="G22" s="119">
        <v>-17.25500199029301</v>
      </c>
      <c r="H22" s="120">
        <v>87.5</v>
      </c>
    </row>
    <row r="23" spans="1:9" x14ac:dyDescent="0.2">
      <c r="A23" s="129" t="s">
        <v>200</v>
      </c>
      <c r="B23" s="122" t="s">
        <v>3</v>
      </c>
      <c r="C23" s="20">
        <v>396</v>
      </c>
      <c r="D23" s="20">
        <v>454</v>
      </c>
      <c r="E23" s="20">
        <v>494.71745242086956</v>
      </c>
      <c r="F23" s="22" t="s">
        <v>240</v>
      </c>
      <c r="G23" s="127">
        <v>24.928649601229694</v>
      </c>
      <c r="H23" s="124">
        <v>8.9686018548170949</v>
      </c>
    </row>
    <row r="24" spans="1:9" x14ac:dyDescent="0.2">
      <c r="A24" s="125"/>
      <c r="B24" s="118" t="s">
        <v>241</v>
      </c>
      <c r="C24" s="26">
        <v>209.91687999999999</v>
      </c>
      <c r="D24" s="26">
        <v>330</v>
      </c>
      <c r="E24" s="26">
        <v>320</v>
      </c>
      <c r="F24" s="27"/>
      <c r="G24" s="119">
        <v>52.441290095393953</v>
      </c>
      <c r="H24" s="120">
        <v>-3.0303030303030312</v>
      </c>
    </row>
    <row r="25" spans="1:9" x14ac:dyDescent="0.2">
      <c r="A25" s="121" t="s">
        <v>24</v>
      </c>
      <c r="B25" s="122" t="s">
        <v>3</v>
      </c>
      <c r="C25" s="20">
        <v>1581</v>
      </c>
      <c r="D25" s="20">
        <v>1553</v>
      </c>
      <c r="E25" s="20">
        <v>2560.7433766232803</v>
      </c>
      <c r="F25" s="22" t="s">
        <v>240</v>
      </c>
      <c r="G25" s="116">
        <v>61.969853043850748</v>
      </c>
      <c r="H25" s="117">
        <v>64.890107960288503</v>
      </c>
      <c r="I25" s="130"/>
    </row>
    <row r="26" spans="1:9" ht="13.5" thickBot="1" x14ac:dyDescent="0.25">
      <c r="A26" s="131"/>
      <c r="B26" s="132" t="s">
        <v>241</v>
      </c>
      <c r="C26" s="43">
        <v>1142.9598799999999</v>
      </c>
      <c r="D26" s="43">
        <v>1150</v>
      </c>
      <c r="E26" s="43">
        <v>1881</v>
      </c>
      <c r="F26" s="44"/>
      <c r="G26" s="133">
        <v>64.57270573661782</v>
      </c>
      <c r="H26" s="134">
        <v>63.565217391304344</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9" t="s">
        <v>16</v>
      </c>
      <c r="D33" s="215"/>
      <c r="E33" s="215"/>
      <c r="F33" s="220"/>
      <c r="G33" s="215" t="s">
        <v>1</v>
      </c>
      <c r="H33" s="216"/>
    </row>
    <row r="34" spans="1:8" x14ac:dyDescent="0.2">
      <c r="A34" s="108"/>
      <c r="B34" s="109"/>
      <c r="C34" s="110" t="s">
        <v>235</v>
      </c>
      <c r="D34" s="111" t="s">
        <v>236</v>
      </c>
      <c r="E34" s="111" t="s">
        <v>237</v>
      </c>
      <c r="F34" s="112"/>
      <c r="G34" s="113" t="s">
        <v>238</v>
      </c>
      <c r="H34" s="114" t="s">
        <v>239</v>
      </c>
    </row>
    <row r="35" spans="1:8" ht="12.75" customHeight="1" x14ac:dyDescent="0.2">
      <c r="A35" s="217" t="s">
        <v>193</v>
      </c>
      <c r="B35" s="115" t="s">
        <v>3</v>
      </c>
      <c r="C35" s="80">
        <v>1135.0357251820456</v>
      </c>
      <c r="D35" s="80">
        <v>1443.9436886190492</v>
      </c>
      <c r="E35" s="81">
        <v>1948.2586221185704</v>
      </c>
      <c r="F35" s="22" t="s">
        <v>240</v>
      </c>
      <c r="G35" s="116">
        <v>71.647339277016499</v>
      </c>
      <c r="H35" s="117">
        <v>34.926218901364166</v>
      </c>
    </row>
    <row r="36" spans="1:8" ht="12.75" customHeight="1" x14ac:dyDescent="0.2">
      <c r="A36" s="218"/>
      <c r="B36" s="118" t="s">
        <v>241</v>
      </c>
      <c r="C36" s="82">
        <v>802.08942815572084</v>
      </c>
      <c r="D36" s="82">
        <v>1072.5941125280387</v>
      </c>
      <c r="E36" s="82">
        <v>1422.9412700764178</v>
      </c>
      <c r="F36" s="27"/>
      <c r="G36" s="119">
        <v>77.404316791489038</v>
      </c>
      <c r="H36" s="120">
        <v>32.663535391093291</v>
      </c>
    </row>
    <row r="37" spans="1:8" x14ac:dyDescent="0.2">
      <c r="A37" s="121" t="s">
        <v>194</v>
      </c>
      <c r="B37" s="122" t="s">
        <v>3</v>
      </c>
      <c r="C37" s="80">
        <v>554.71764030581448</v>
      </c>
      <c r="D37" s="80">
        <v>688.24224737866768</v>
      </c>
      <c r="E37" s="80">
        <v>851.13184303281582</v>
      </c>
      <c r="F37" s="22" t="s">
        <v>240</v>
      </c>
      <c r="G37" s="123">
        <v>53.435149919441699</v>
      </c>
      <c r="H37" s="124">
        <v>23.667479913439109</v>
      </c>
    </row>
    <row r="38" spans="1:8" x14ac:dyDescent="0.2">
      <c r="A38" s="125"/>
      <c r="B38" s="118" t="s">
        <v>241</v>
      </c>
      <c r="C38" s="82">
        <v>411.46921080159314</v>
      </c>
      <c r="D38" s="82">
        <v>531.99841509250166</v>
      </c>
      <c r="E38" s="82">
        <v>648.80709197079409</v>
      </c>
      <c r="F38" s="27"/>
      <c r="G38" s="126">
        <v>57.68059308905211</v>
      </c>
      <c r="H38" s="120">
        <v>21.956583622148983</v>
      </c>
    </row>
    <row r="39" spans="1:8" x14ac:dyDescent="0.2">
      <c r="A39" s="121" t="s">
        <v>195</v>
      </c>
      <c r="B39" s="122" t="s">
        <v>3</v>
      </c>
      <c r="C39" s="80">
        <v>74.505171291976808</v>
      </c>
      <c r="D39" s="80">
        <v>109.81435476733347</v>
      </c>
      <c r="E39" s="80">
        <v>127.66955056235979</v>
      </c>
      <c r="F39" s="22" t="s">
        <v>240</v>
      </c>
      <c r="G39" s="127">
        <v>71.356629813034289</v>
      </c>
      <c r="H39" s="124">
        <v>16.259436967832301</v>
      </c>
    </row>
    <row r="40" spans="1:8" x14ac:dyDescent="0.2">
      <c r="A40" s="125"/>
      <c r="B40" s="118" t="s">
        <v>241</v>
      </c>
      <c r="C40" s="82">
        <v>47.224954892699145</v>
      </c>
      <c r="D40" s="82">
        <v>75.960946431562704</v>
      </c>
      <c r="E40" s="82">
        <v>85.70338790884928</v>
      </c>
      <c r="F40" s="27"/>
      <c r="G40" s="119">
        <v>81.479025450797849</v>
      </c>
      <c r="H40" s="120">
        <v>12.825592537955103</v>
      </c>
    </row>
    <row r="41" spans="1:8" x14ac:dyDescent="0.2">
      <c r="A41" s="121" t="s">
        <v>228</v>
      </c>
      <c r="B41" s="122" t="s">
        <v>3</v>
      </c>
      <c r="C41" s="80">
        <v>101.38107377481735</v>
      </c>
      <c r="D41" s="80">
        <v>139.54863849828592</v>
      </c>
      <c r="E41" s="80">
        <v>224.77896439060558</v>
      </c>
      <c r="F41" s="22" t="s">
        <v>240</v>
      </c>
      <c r="G41" s="116">
        <v>121.71689056073083</v>
      </c>
      <c r="H41" s="117">
        <v>61.075712962521351</v>
      </c>
    </row>
    <row r="42" spans="1:8" x14ac:dyDescent="0.2">
      <c r="A42" s="125"/>
      <c r="B42" s="118" t="s">
        <v>241</v>
      </c>
      <c r="C42" s="82">
        <v>91.943848707484221</v>
      </c>
      <c r="D42" s="82">
        <v>97.714580196964633</v>
      </c>
      <c r="E42" s="82">
        <v>170.3347856451702</v>
      </c>
      <c r="F42" s="27"/>
      <c r="G42" s="128">
        <v>85.259577491783801</v>
      </c>
      <c r="H42" s="117">
        <v>74.318699729174512</v>
      </c>
    </row>
    <row r="43" spans="1:8" x14ac:dyDescent="0.2">
      <c r="A43" s="121" t="s">
        <v>196</v>
      </c>
      <c r="B43" s="122" t="s">
        <v>3</v>
      </c>
      <c r="C43" s="80">
        <v>38.818838122840567</v>
      </c>
      <c r="D43" s="80">
        <v>54.389097560952472</v>
      </c>
      <c r="E43" s="80">
        <v>78.355376479665665</v>
      </c>
      <c r="F43" s="22" t="s">
        <v>240</v>
      </c>
      <c r="G43" s="127">
        <v>101.8488452222949</v>
      </c>
      <c r="H43" s="124">
        <v>44.064490851047481</v>
      </c>
    </row>
    <row r="44" spans="1:8" x14ac:dyDescent="0.2">
      <c r="A44" s="125"/>
      <c r="B44" s="118" t="s">
        <v>241</v>
      </c>
      <c r="C44" s="82">
        <v>23.611085444785108</v>
      </c>
      <c r="D44" s="82">
        <v>41.847031035401933</v>
      </c>
      <c r="E44" s="82">
        <v>55.394160876320917</v>
      </c>
      <c r="F44" s="27"/>
      <c r="G44" s="119">
        <v>134.61081874385243</v>
      </c>
      <c r="H44" s="120">
        <v>32.372977259625259</v>
      </c>
    </row>
    <row r="45" spans="1:8" x14ac:dyDescent="0.2">
      <c r="A45" s="121" t="s">
        <v>197</v>
      </c>
      <c r="B45" s="122" t="s">
        <v>3</v>
      </c>
      <c r="C45" s="80">
        <v>16.811149084568111</v>
      </c>
      <c r="D45" s="80">
        <v>22.229165078190498</v>
      </c>
      <c r="E45" s="80">
        <v>27.869563941619159</v>
      </c>
      <c r="F45" s="22" t="s">
        <v>240</v>
      </c>
      <c r="G45" s="127">
        <v>65.780243821656313</v>
      </c>
      <c r="H45" s="124">
        <v>25.373867365637466</v>
      </c>
    </row>
    <row r="46" spans="1:8" x14ac:dyDescent="0.2">
      <c r="A46" s="121"/>
      <c r="B46" s="118" t="s">
        <v>241</v>
      </c>
      <c r="C46" s="82">
        <v>11.277288868957019</v>
      </c>
      <c r="D46" s="82">
        <v>15.024930633080384</v>
      </c>
      <c r="E46" s="82">
        <v>18.789824931264182</v>
      </c>
      <c r="F46" s="27"/>
      <c r="G46" s="119">
        <v>66.616508183867779</v>
      </c>
      <c r="H46" s="120">
        <v>25.057648451931172</v>
      </c>
    </row>
    <row r="47" spans="1:8" x14ac:dyDescent="0.2">
      <c r="A47" s="129" t="s">
        <v>198</v>
      </c>
      <c r="B47" s="122" t="s">
        <v>3</v>
      </c>
      <c r="C47" s="80">
        <v>7.9401496045681137</v>
      </c>
      <c r="D47" s="80">
        <v>10.160402538190496</v>
      </c>
      <c r="E47" s="80">
        <v>13.30087308085939</v>
      </c>
      <c r="F47" s="22" t="s">
        <v>240</v>
      </c>
      <c r="G47" s="116">
        <v>67.514136927686508</v>
      </c>
      <c r="H47" s="117">
        <v>30.908918528223893</v>
      </c>
    </row>
    <row r="48" spans="1:8" x14ac:dyDescent="0.2">
      <c r="A48" s="125"/>
      <c r="B48" s="118" t="s">
        <v>241</v>
      </c>
      <c r="C48" s="82">
        <v>6.8681423089570197</v>
      </c>
      <c r="D48" s="82">
        <v>7.8563476330803859</v>
      </c>
      <c r="E48" s="82">
        <v>10.661651901264181</v>
      </c>
      <c r="F48" s="27"/>
      <c r="G48" s="128">
        <v>55.233415699029592</v>
      </c>
      <c r="H48" s="117">
        <v>35.707486470833089</v>
      </c>
    </row>
    <row r="49" spans="1:9" x14ac:dyDescent="0.2">
      <c r="A49" s="129" t="s">
        <v>199</v>
      </c>
      <c r="B49" s="122" t="s">
        <v>3</v>
      </c>
      <c r="C49" s="80">
        <v>6.4212137045681139</v>
      </c>
      <c r="D49" s="80">
        <v>9.1592425381904956</v>
      </c>
      <c r="E49" s="80">
        <v>14.598674010078614</v>
      </c>
      <c r="F49" s="22" t="s">
        <v>240</v>
      </c>
      <c r="G49" s="127">
        <v>127.35069539412737</v>
      </c>
      <c r="H49" s="124">
        <v>59.387350528253791</v>
      </c>
    </row>
    <row r="50" spans="1:9" x14ac:dyDescent="0.2">
      <c r="A50" s="125"/>
      <c r="B50" s="118" t="s">
        <v>241</v>
      </c>
      <c r="C50" s="82">
        <v>3.4031803089570198</v>
      </c>
      <c r="D50" s="82">
        <v>7.266397633080385</v>
      </c>
      <c r="E50" s="82">
        <v>9.9359979012641819</v>
      </c>
      <c r="F50" s="27"/>
      <c r="G50" s="119">
        <v>191.9621353918003</v>
      </c>
      <c r="H50" s="120">
        <v>36.738978555624328</v>
      </c>
    </row>
    <row r="51" spans="1:9" x14ac:dyDescent="0.2">
      <c r="A51" s="129" t="s">
        <v>200</v>
      </c>
      <c r="B51" s="122" t="s">
        <v>3</v>
      </c>
      <c r="C51" s="80">
        <v>118.30875302284059</v>
      </c>
      <c r="D51" s="80">
        <v>158.73555769095245</v>
      </c>
      <c r="E51" s="80">
        <v>168.78419855440359</v>
      </c>
      <c r="F51" s="22" t="s">
        <v>240</v>
      </c>
      <c r="G51" s="127">
        <v>42.66416832389254</v>
      </c>
      <c r="H51" s="124">
        <v>6.3304284242445448</v>
      </c>
    </row>
    <row r="52" spans="1:9" x14ac:dyDescent="0.2">
      <c r="A52" s="125"/>
      <c r="B52" s="118" t="s">
        <v>241</v>
      </c>
      <c r="C52" s="82">
        <v>83.322540544785099</v>
      </c>
      <c r="D52" s="82">
        <v>115.20709616540195</v>
      </c>
      <c r="E52" s="82">
        <v>121.26623350632093</v>
      </c>
      <c r="F52" s="27"/>
      <c r="G52" s="119">
        <v>45.538329380561123</v>
      </c>
      <c r="H52" s="120">
        <v>5.2593438621349549</v>
      </c>
    </row>
    <row r="53" spans="1:9" x14ac:dyDescent="0.2">
      <c r="A53" s="121" t="s">
        <v>24</v>
      </c>
      <c r="B53" s="122" t="s">
        <v>3</v>
      </c>
      <c r="C53" s="80">
        <v>216.13173627005128</v>
      </c>
      <c r="D53" s="80">
        <v>251.66498256828595</v>
      </c>
      <c r="E53" s="80">
        <v>453.7833907441356</v>
      </c>
      <c r="F53" s="22" t="s">
        <v>240</v>
      </c>
      <c r="G53" s="116">
        <v>109.9568525082982</v>
      </c>
      <c r="H53" s="117">
        <v>80.312487702180618</v>
      </c>
      <c r="I53" s="130"/>
    </row>
    <row r="54" spans="1:9" ht="13.5" thickBot="1" x14ac:dyDescent="0.25">
      <c r="A54" s="131"/>
      <c r="B54" s="132" t="s">
        <v>241</v>
      </c>
      <c r="C54" s="86">
        <v>126.65917627750314</v>
      </c>
      <c r="D54" s="86">
        <v>179.71836770696464</v>
      </c>
      <c r="E54" s="86">
        <v>302.0481354351702</v>
      </c>
      <c r="F54" s="44"/>
      <c r="G54" s="133">
        <v>138.47315631786498</v>
      </c>
      <c r="H54" s="134">
        <v>68.06748207710595</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3">
        <v>21</v>
      </c>
    </row>
    <row r="62" spans="1:9" ht="12.75" customHeight="1" x14ac:dyDescent="0.2">
      <c r="A62" s="144" t="s">
        <v>243</v>
      </c>
      <c r="G62" s="145"/>
      <c r="H62" s="21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5" t="s">
        <v>1</v>
      </c>
      <c r="H5" s="216"/>
    </row>
    <row r="6" spans="1:8" x14ac:dyDescent="0.2">
      <c r="A6" s="108"/>
      <c r="B6" s="109"/>
      <c r="C6" s="110" t="s">
        <v>235</v>
      </c>
      <c r="D6" s="111" t="s">
        <v>236</v>
      </c>
      <c r="E6" s="111" t="s">
        <v>237</v>
      </c>
      <c r="F6" s="112"/>
      <c r="G6" s="113" t="s">
        <v>238</v>
      </c>
      <c r="H6" s="114" t="s">
        <v>239</v>
      </c>
    </row>
    <row r="7" spans="1:8" ht="12.75" customHeight="1" x14ac:dyDescent="0.2">
      <c r="A7" s="217" t="s">
        <v>201</v>
      </c>
      <c r="B7" s="115" t="s">
        <v>3</v>
      </c>
      <c r="C7" s="20">
        <v>1628</v>
      </c>
      <c r="D7" s="20">
        <v>1472</v>
      </c>
      <c r="E7" s="79">
        <v>1955.1009670701915</v>
      </c>
      <c r="F7" s="22" t="s">
        <v>240</v>
      </c>
      <c r="G7" s="116">
        <v>20.092196994483501</v>
      </c>
      <c r="H7" s="117">
        <v>32.819359175964109</v>
      </c>
    </row>
    <row r="8" spans="1:8" ht="12.75" customHeight="1" x14ac:dyDescent="0.2">
      <c r="A8" s="218"/>
      <c r="B8" s="118" t="s">
        <v>241</v>
      </c>
      <c r="C8" s="26">
        <v>1103.6732954545455</v>
      </c>
      <c r="D8" s="26">
        <v>1127</v>
      </c>
      <c r="E8" s="26">
        <v>1435</v>
      </c>
      <c r="F8" s="27"/>
      <c r="G8" s="119">
        <v>30.020360727220293</v>
      </c>
      <c r="H8" s="120">
        <v>27.329192546583855</v>
      </c>
    </row>
    <row r="9" spans="1:8" x14ac:dyDescent="0.2">
      <c r="A9" s="121" t="s">
        <v>202</v>
      </c>
      <c r="B9" s="122" t="s">
        <v>3</v>
      </c>
      <c r="C9" s="20">
        <v>545</v>
      </c>
      <c r="D9" s="20">
        <v>477</v>
      </c>
      <c r="E9" s="20">
        <v>590.77037170277686</v>
      </c>
      <c r="F9" s="22" t="s">
        <v>240</v>
      </c>
      <c r="G9" s="123">
        <v>8.398233339959063</v>
      </c>
      <c r="H9" s="124">
        <v>23.851230964942729</v>
      </c>
    </row>
    <row r="10" spans="1:8" x14ac:dyDescent="0.2">
      <c r="A10" s="125"/>
      <c r="B10" s="118" t="s">
        <v>241</v>
      </c>
      <c r="C10" s="26">
        <v>394.45462500000002</v>
      </c>
      <c r="D10" s="26">
        <v>363</v>
      </c>
      <c r="E10" s="26">
        <v>442</v>
      </c>
      <c r="F10" s="27"/>
      <c r="G10" s="126">
        <v>12.053445944511367</v>
      </c>
      <c r="H10" s="120">
        <v>21.763085399449039</v>
      </c>
    </row>
    <row r="11" spans="1:8" x14ac:dyDescent="0.2">
      <c r="A11" s="121" t="s">
        <v>203</v>
      </c>
      <c r="B11" s="122" t="s">
        <v>3</v>
      </c>
      <c r="C11" s="20">
        <v>145</v>
      </c>
      <c r="D11" s="20">
        <v>121</v>
      </c>
      <c r="E11" s="20">
        <v>172.35533570782829</v>
      </c>
      <c r="F11" s="22" t="s">
        <v>240</v>
      </c>
      <c r="G11" s="127">
        <v>18.865748764019514</v>
      </c>
      <c r="H11" s="124">
        <v>42.442426204816769</v>
      </c>
    </row>
    <row r="12" spans="1:8" x14ac:dyDescent="0.2">
      <c r="A12" s="125"/>
      <c r="B12" s="118" t="s">
        <v>241</v>
      </c>
      <c r="C12" s="26">
        <v>115.484875</v>
      </c>
      <c r="D12" s="26">
        <v>84</v>
      </c>
      <c r="E12" s="26">
        <v>125</v>
      </c>
      <c r="F12" s="27"/>
      <c r="G12" s="119">
        <v>8.2392824168532712</v>
      </c>
      <c r="H12" s="120">
        <v>48.809523809523824</v>
      </c>
    </row>
    <row r="13" spans="1:8" x14ac:dyDescent="0.2">
      <c r="A13" s="121" t="s">
        <v>204</v>
      </c>
      <c r="B13" s="122" t="s">
        <v>3</v>
      </c>
      <c r="C13" s="20">
        <v>61</v>
      </c>
      <c r="D13" s="20">
        <v>66</v>
      </c>
      <c r="E13" s="20">
        <v>88.945075938935219</v>
      </c>
      <c r="F13" s="22" t="s">
        <v>240</v>
      </c>
      <c r="G13" s="116">
        <v>45.811599899893793</v>
      </c>
      <c r="H13" s="117">
        <v>34.765266574144277</v>
      </c>
    </row>
    <row r="14" spans="1:8" x14ac:dyDescent="0.2">
      <c r="A14" s="125"/>
      <c r="B14" s="118" t="s">
        <v>241</v>
      </c>
      <c r="C14" s="26">
        <v>37.404062500000002</v>
      </c>
      <c r="D14" s="26">
        <v>52</v>
      </c>
      <c r="E14" s="26">
        <v>64</v>
      </c>
      <c r="F14" s="27"/>
      <c r="G14" s="128">
        <v>71.104408779126572</v>
      </c>
      <c r="H14" s="117">
        <v>23.07692307692308</v>
      </c>
    </row>
    <row r="15" spans="1:8" x14ac:dyDescent="0.2">
      <c r="A15" s="121" t="s">
        <v>205</v>
      </c>
      <c r="B15" s="122" t="s">
        <v>3</v>
      </c>
      <c r="C15" s="20">
        <v>10</v>
      </c>
      <c r="D15" s="20">
        <v>7</v>
      </c>
      <c r="E15" s="20">
        <v>12.673888429878515</v>
      </c>
      <c r="F15" s="22" t="s">
        <v>240</v>
      </c>
      <c r="G15" s="127">
        <v>26.738884298785152</v>
      </c>
      <c r="H15" s="124">
        <v>81.055548998264499</v>
      </c>
    </row>
    <row r="16" spans="1:8" x14ac:dyDescent="0.2">
      <c r="A16" s="125"/>
      <c r="B16" s="118" t="s">
        <v>241</v>
      </c>
      <c r="C16" s="26">
        <v>3.4040625000000002</v>
      </c>
      <c r="D16" s="26">
        <v>3</v>
      </c>
      <c r="E16" s="26">
        <v>5</v>
      </c>
      <c r="F16" s="27"/>
      <c r="G16" s="119">
        <v>46.883319563022127</v>
      </c>
      <c r="H16" s="120">
        <v>66.666666666666686</v>
      </c>
    </row>
    <row r="17" spans="1:9" x14ac:dyDescent="0.2">
      <c r="A17" s="121" t="s">
        <v>206</v>
      </c>
      <c r="B17" s="122" t="s">
        <v>3</v>
      </c>
      <c r="C17" s="20">
        <v>69</v>
      </c>
      <c r="D17" s="20">
        <v>68</v>
      </c>
      <c r="E17" s="20">
        <v>101.97029292923675</v>
      </c>
      <c r="F17" s="22" t="s">
        <v>240</v>
      </c>
      <c r="G17" s="127">
        <v>47.783033230777903</v>
      </c>
      <c r="H17" s="124">
        <v>49.95631313123053</v>
      </c>
    </row>
    <row r="18" spans="1:9" x14ac:dyDescent="0.2">
      <c r="A18" s="125"/>
      <c r="B18" s="118" t="s">
        <v>241</v>
      </c>
      <c r="C18" s="26">
        <v>53.202031250000005</v>
      </c>
      <c r="D18" s="26">
        <v>47</v>
      </c>
      <c r="E18" s="26">
        <v>73</v>
      </c>
      <c r="F18" s="27"/>
      <c r="G18" s="119">
        <v>37.212806136983716</v>
      </c>
      <c r="H18" s="120">
        <v>55.319148936170194</v>
      </c>
    </row>
    <row r="19" spans="1:9" x14ac:dyDescent="0.2">
      <c r="A19" s="121" t="s">
        <v>207</v>
      </c>
      <c r="B19" s="122" t="s">
        <v>3</v>
      </c>
      <c r="C19" s="20">
        <v>809</v>
      </c>
      <c r="D19" s="20">
        <v>775</v>
      </c>
      <c r="E19" s="20">
        <v>1034.5540737622869</v>
      </c>
      <c r="F19" s="22" t="s">
        <v>240</v>
      </c>
      <c r="G19" s="116">
        <v>27.880602442804303</v>
      </c>
      <c r="H19" s="117">
        <v>33.490848227391865</v>
      </c>
    </row>
    <row r="20" spans="1:9" ht="13.5" thickBot="1" x14ac:dyDescent="0.25">
      <c r="A20" s="131"/>
      <c r="B20" s="132" t="s">
        <v>241</v>
      </c>
      <c r="C20" s="43">
        <v>510.01015625000002</v>
      </c>
      <c r="D20" s="43">
        <v>579</v>
      </c>
      <c r="E20" s="43">
        <v>728</v>
      </c>
      <c r="F20" s="44"/>
      <c r="G20" s="133">
        <v>42.742255439153297</v>
      </c>
      <c r="H20" s="134">
        <v>25.734024179620036</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9" t="s">
        <v>16</v>
      </c>
      <c r="D33" s="215"/>
      <c r="E33" s="215"/>
      <c r="F33" s="220"/>
      <c r="G33" s="215" t="s">
        <v>1</v>
      </c>
      <c r="H33" s="216"/>
    </row>
    <row r="34" spans="1:8" x14ac:dyDescent="0.2">
      <c r="A34" s="108"/>
      <c r="B34" s="109"/>
      <c r="C34" s="110" t="s">
        <v>235</v>
      </c>
      <c r="D34" s="111" t="s">
        <v>236</v>
      </c>
      <c r="E34" s="111" t="s">
        <v>237</v>
      </c>
      <c r="F34" s="112"/>
      <c r="G34" s="113" t="s">
        <v>238</v>
      </c>
      <c r="H34" s="114" t="s">
        <v>239</v>
      </c>
    </row>
    <row r="35" spans="1:8" ht="12.75" customHeight="1" x14ac:dyDescent="0.2">
      <c r="A35" s="217" t="s">
        <v>201</v>
      </c>
      <c r="B35" s="115" t="s">
        <v>3</v>
      </c>
      <c r="C35" s="80">
        <v>454.12308686202283</v>
      </c>
      <c r="D35" s="80">
        <v>590.18061211961322</v>
      </c>
      <c r="E35" s="81">
        <v>596.16058992425383</v>
      </c>
      <c r="F35" s="22" t="s">
        <v>240</v>
      </c>
      <c r="G35" s="116">
        <v>31.277313832182784</v>
      </c>
      <c r="H35" s="117">
        <v>1.013245383165625</v>
      </c>
    </row>
    <row r="36" spans="1:8" ht="12.75" customHeight="1" x14ac:dyDescent="0.2">
      <c r="A36" s="218"/>
      <c r="B36" s="118" t="s">
        <v>241</v>
      </c>
      <c r="C36" s="82">
        <v>339.56913184407614</v>
      </c>
      <c r="D36" s="82">
        <v>494.28345973779921</v>
      </c>
      <c r="E36" s="82">
        <v>480.08089587660135</v>
      </c>
      <c r="F36" s="27"/>
      <c r="G36" s="119">
        <v>41.379427885407921</v>
      </c>
      <c r="H36" s="120">
        <v>-2.8733641762424895</v>
      </c>
    </row>
    <row r="37" spans="1:8" x14ac:dyDescent="0.2">
      <c r="A37" s="121" t="s">
        <v>202</v>
      </c>
      <c r="B37" s="122" t="s">
        <v>3</v>
      </c>
      <c r="C37" s="80">
        <v>231.35037240273277</v>
      </c>
      <c r="D37" s="80">
        <v>292.01322818698333</v>
      </c>
      <c r="E37" s="80">
        <v>305.80900485171816</v>
      </c>
      <c r="F37" s="22" t="s">
        <v>240</v>
      </c>
      <c r="G37" s="123">
        <v>32.184358155848741</v>
      </c>
      <c r="H37" s="124">
        <v>4.7243670262434421</v>
      </c>
    </row>
    <row r="38" spans="1:8" x14ac:dyDescent="0.2">
      <c r="A38" s="125"/>
      <c r="B38" s="118" t="s">
        <v>241</v>
      </c>
      <c r="C38" s="82">
        <v>173.73364400268264</v>
      </c>
      <c r="D38" s="82">
        <v>247.37767701316753</v>
      </c>
      <c r="E38" s="82">
        <v>248.45634000289681</v>
      </c>
      <c r="F38" s="27"/>
      <c r="G38" s="126">
        <v>43.009916950259992</v>
      </c>
      <c r="H38" s="120">
        <v>0.43603893558750428</v>
      </c>
    </row>
    <row r="39" spans="1:8" x14ac:dyDescent="0.2">
      <c r="A39" s="121" t="s">
        <v>203</v>
      </c>
      <c r="B39" s="122" t="s">
        <v>3</v>
      </c>
      <c r="C39" s="80">
        <v>51.983363836543852</v>
      </c>
      <c r="D39" s="80">
        <v>76.889624110334239</v>
      </c>
      <c r="E39" s="80">
        <v>87.571915955336493</v>
      </c>
      <c r="F39" s="22" t="s">
        <v>240</v>
      </c>
      <c r="G39" s="127">
        <v>68.461425910599104</v>
      </c>
      <c r="H39" s="124">
        <v>13.893021286816932</v>
      </c>
    </row>
    <row r="40" spans="1:8" x14ac:dyDescent="0.2">
      <c r="A40" s="125"/>
      <c r="B40" s="118" t="s">
        <v>241</v>
      </c>
      <c r="C40" s="82">
        <v>42.441868603492935</v>
      </c>
      <c r="D40" s="82">
        <v>60.286528075425856</v>
      </c>
      <c r="E40" s="82">
        <v>69.582157733022228</v>
      </c>
      <c r="F40" s="27"/>
      <c r="G40" s="119">
        <v>63.946970344504734</v>
      </c>
      <c r="H40" s="120">
        <v>15.419082760855616</v>
      </c>
    </row>
    <row r="41" spans="1:8" x14ac:dyDescent="0.2">
      <c r="A41" s="121" t="s">
        <v>204</v>
      </c>
      <c r="B41" s="122" t="s">
        <v>3</v>
      </c>
      <c r="C41" s="80">
        <v>24.609239050341593</v>
      </c>
      <c r="D41" s="80">
        <v>39.094210398372915</v>
      </c>
      <c r="E41" s="80">
        <v>38.654055902101973</v>
      </c>
      <c r="F41" s="22" t="s">
        <v>240</v>
      </c>
      <c r="G41" s="116">
        <v>57.071317089609209</v>
      </c>
      <c r="H41" s="117">
        <v>-1.1258815353622253</v>
      </c>
    </row>
    <row r="42" spans="1:8" x14ac:dyDescent="0.2">
      <c r="A42" s="125"/>
      <c r="B42" s="118" t="s">
        <v>241</v>
      </c>
      <c r="C42" s="82">
        <v>18.328579719085329</v>
      </c>
      <c r="D42" s="82">
        <v>32.062046501645945</v>
      </c>
      <c r="E42" s="82">
        <v>30.667032125362098</v>
      </c>
      <c r="F42" s="27"/>
      <c r="G42" s="128">
        <v>67.318104268760578</v>
      </c>
      <c r="H42" s="117">
        <v>-4.3509835724685644</v>
      </c>
    </row>
    <row r="43" spans="1:8" x14ac:dyDescent="0.2">
      <c r="A43" s="121" t="s">
        <v>205</v>
      </c>
      <c r="B43" s="122" t="s">
        <v>3</v>
      </c>
      <c r="C43" s="80">
        <v>3.7942195786202273</v>
      </c>
      <c r="D43" s="80">
        <v>4.1513737711961305</v>
      </c>
      <c r="E43" s="80">
        <v>4.4127264412447849</v>
      </c>
      <c r="F43" s="22" t="s">
        <v>240</v>
      </c>
      <c r="G43" s="127">
        <v>16.301293317596503</v>
      </c>
      <c r="H43" s="124">
        <v>6.2955706822166206</v>
      </c>
    </row>
    <row r="44" spans="1:8" x14ac:dyDescent="0.2">
      <c r="A44" s="125"/>
      <c r="B44" s="118" t="s">
        <v>241</v>
      </c>
      <c r="C44" s="82">
        <v>2.6657738884407607</v>
      </c>
      <c r="D44" s="82">
        <v>3.3864963573779923</v>
      </c>
      <c r="E44" s="82">
        <v>3.4162771607660138</v>
      </c>
      <c r="F44" s="27"/>
      <c r="G44" s="119">
        <v>28.153298206556826</v>
      </c>
      <c r="H44" s="120">
        <v>0.87939865410278628</v>
      </c>
    </row>
    <row r="45" spans="1:8" x14ac:dyDescent="0.2">
      <c r="A45" s="121" t="s">
        <v>206</v>
      </c>
      <c r="B45" s="122" t="s">
        <v>3</v>
      </c>
      <c r="C45" s="80">
        <v>29.722355893101138</v>
      </c>
      <c r="D45" s="80">
        <v>31.627181855980659</v>
      </c>
      <c r="E45" s="80">
        <v>40.179489193126358</v>
      </c>
      <c r="F45" s="22" t="s">
        <v>240</v>
      </c>
      <c r="G45" s="127">
        <v>35.182720164024516</v>
      </c>
      <c r="H45" s="124">
        <v>27.041003451050344</v>
      </c>
    </row>
    <row r="46" spans="1:8" x14ac:dyDescent="0.2">
      <c r="A46" s="125"/>
      <c r="B46" s="118" t="s">
        <v>241</v>
      </c>
      <c r="C46" s="82">
        <v>24.042244442203806</v>
      </c>
      <c r="D46" s="82">
        <v>26.012621786889959</v>
      </c>
      <c r="E46" s="82">
        <v>32.862758803830069</v>
      </c>
      <c r="F46" s="27"/>
      <c r="G46" s="119">
        <v>36.687566266245568</v>
      </c>
      <c r="H46" s="120">
        <v>26.333896956101881</v>
      </c>
    </row>
    <row r="47" spans="1:8" x14ac:dyDescent="0.2">
      <c r="A47" s="121" t="s">
        <v>207</v>
      </c>
      <c r="B47" s="122" t="s">
        <v>3</v>
      </c>
      <c r="C47" s="80">
        <v>112.66353610068319</v>
      </c>
      <c r="D47" s="80">
        <v>146.40499379674583</v>
      </c>
      <c r="E47" s="80">
        <v>119.73718943600787</v>
      </c>
      <c r="F47" s="22" t="s">
        <v>240</v>
      </c>
      <c r="G47" s="116">
        <v>6.2785649910750436</v>
      </c>
      <c r="H47" s="117">
        <v>-18.215092032831123</v>
      </c>
    </row>
    <row r="48" spans="1:8" ht="13.5" thickBot="1" x14ac:dyDescent="0.25">
      <c r="A48" s="131"/>
      <c r="B48" s="132" t="s">
        <v>241</v>
      </c>
      <c r="C48" s="86">
        <v>78.357021188170648</v>
      </c>
      <c r="D48" s="86">
        <v>125.15809000329187</v>
      </c>
      <c r="E48" s="86">
        <v>95.096330050724191</v>
      </c>
      <c r="F48" s="44"/>
      <c r="G48" s="133">
        <v>21.362870370422698</v>
      </c>
      <c r="H48" s="134">
        <v>-24.019030613024711</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3">
        <v>22</v>
      </c>
    </row>
    <row r="62" spans="1:9" ht="12.75" customHeight="1" x14ac:dyDescent="0.2">
      <c r="A62" s="144" t="s">
        <v>243</v>
      </c>
      <c r="G62" s="145"/>
      <c r="H62" s="21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5" t="s">
        <v>1</v>
      </c>
      <c r="H5" s="216"/>
    </row>
    <row r="6" spans="1:8" x14ac:dyDescent="0.2">
      <c r="A6" s="108"/>
      <c r="B6" s="109"/>
      <c r="C6" s="110" t="s">
        <v>235</v>
      </c>
      <c r="D6" s="111" t="s">
        <v>236</v>
      </c>
      <c r="E6" s="111" t="s">
        <v>237</v>
      </c>
      <c r="F6" s="112"/>
      <c r="G6" s="113" t="s">
        <v>238</v>
      </c>
      <c r="H6" s="114" t="s">
        <v>239</v>
      </c>
    </row>
    <row r="7" spans="1:8" ht="12.75" customHeight="1" x14ac:dyDescent="0.2">
      <c r="A7" s="217" t="s">
        <v>208</v>
      </c>
      <c r="B7" s="115" t="s">
        <v>3</v>
      </c>
      <c r="C7" s="20">
        <v>335300.03885714285</v>
      </c>
      <c r="D7" s="20">
        <v>343016</v>
      </c>
      <c r="E7" s="79">
        <v>449516.88484563242</v>
      </c>
      <c r="F7" s="22" t="s">
        <v>240</v>
      </c>
      <c r="G7" s="116">
        <v>34.064071802017452</v>
      </c>
      <c r="H7" s="117">
        <v>31.048372334127976</v>
      </c>
    </row>
    <row r="8" spans="1:8" ht="12.75" customHeight="1" x14ac:dyDescent="0.2">
      <c r="A8" s="218"/>
      <c r="B8" s="118" t="s">
        <v>241</v>
      </c>
      <c r="C8" s="26">
        <v>228573.55542857142</v>
      </c>
      <c r="D8" s="26">
        <v>233131.40685714287</v>
      </c>
      <c r="E8" s="26">
        <v>305821</v>
      </c>
      <c r="F8" s="27"/>
      <c r="G8" s="119">
        <v>33.795442533407225</v>
      </c>
      <c r="H8" s="120">
        <v>31.179665632695929</v>
      </c>
    </row>
    <row r="9" spans="1:8" x14ac:dyDescent="0.2">
      <c r="A9" s="121" t="s">
        <v>227</v>
      </c>
      <c r="B9" s="122" t="s">
        <v>3</v>
      </c>
      <c r="C9" s="20">
        <v>13975.547999999999</v>
      </c>
      <c r="D9" s="20">
        <v>12932</v>
      </c>
      <c r="E9" s="20">
        <v>13384.371337422383</v>
      </c>
      <c r="F9" s="22" t="s">
        <v>240</v>
      </c>
      <c r="G9" s="123">
        <v>-4.2300785813738031</v>
      </c>
      <c r="H9" s="124">
        <v>3.4980771529723427</v>
      </c>
    </row>
    <row r="10" spans="1:8" x14ac:dyDescent="0.2">
      <c r="A10" s="125"/>
      <c r="B10" s="118" t="s">
        <v>241</v>
      </c>
      <c r="C10" s="26">
        <v>9813.0920000000006</v>
      </c>
      <c r="D10" s="26">
        <v>10206.232</v>
      </c>
      <c r="E10" s="26">
        <v>10144</v>
      </c>
      <c r="F10" s="27"/>
      <c r="G10" s="126">
        <v>3.3721073847060552</v>
      </c>
      <c r="H10" s="120">
        <v>-0.60974510475560351</v>
      </c>
    </row>
    <row r="11" spans="1:8" x14ac:dyDescent="0.2">
      <c r="A11" s="121" t="s">
        <v>230</v>
      </c>
      <c r="B11" s="122" t="s">
        <v>3</v>
      </c>
      <c r="C11" s="20">
        <v>180322.87040000001</v>
      </c>
      <c r="D11" s="20">
        <v>166709</v>
      </c>
      <c r="E11" s="20">
        <v>240680.78500954295</v>
      </c>
      <c r="F11" s="22" t="s">
        <v>240</v>
      </c>
      <c r="G11" s="127">
        <v>33.472134996328748</v>
      </c>
      <c r="H11" s="124">
        <v>44.371800568381389</v>
      </c>
    </row>
    <row r="12" spans="1:8" x14ac:dyDescent="0.2">
      <c r="A12" s="125"/>
      <c r="B12" s="118" t="s">
        <v>241</v>
      </c>
      <c r="C12" s="26">
        <v>126483.24160000001</v>
      </c>
      <c r="D12" s="26">
        <v>112355.7136</v>
      </c>
      <c r="E12" s="26">
        <v>164355</v>
      </c>
      <c r="F12" s="27"/>
      <c r="G12" s="119">
        <v>29.942115588536581</v>
      </c>
      <c r="H12" s="120">
        <v>46.280945342151256</v>
      </c>
    </row>
    <row r="13" spans="1:8" x14ac:dyDescent="0.2">
      <c r="A13" s="121" t="s">
        <v>209</v>
      </c>
      <c r="B13" s="122" t="s">
        <v>3</v>
      </c>
      <c r="C13" s="20">
        <v>129041.1704</v>
      </c>
      <c r="D13" s="20">
        <v>135318</v>
      </c>
      <c r="E13" s="20">
        <v>149421.10580733247</v>
      </c>
      <c r="F13" s="22" t="s">
        <v>240</v>
      </c>
      <c r="G13" s="116">
        <v>15.793359083894714</v>
      </c>
      <c r="H13" s="117">
        <v>10.422194983174805</v>
      </c>
    </row>
    <row r="14" spans="1:8" x14ac:dyDescent="0.2">
      <c r="A14" s="125"/>
      <c r="B14" s="118" t="s">
        <v>241</v>
      </c>
      <c r="C14" s="26">
        <v>91388.241599999994</v>
      </c>
      <c r="D14" s="26">
        <v>94269.713600000003</v>
      </c>
      <c r="E14" s="26">
        <v>104664</v>
      </c>
      <c r="F14" s="27"/>
      <c r="G14" s="128">
        <v>14.526768616587546</v>
      </c>
      <c r="H14" s="117">
        <v>11.026114329894369</v>
      </c>
    </row>
    <row r="15" spans="1:8" x14ac:dyDescent="0.2">
      <c r="A15" s="121" t="s">
        <v>210</v>
      </c>
      <c r="B15" s="122" t="s">
        <v>3</v>
      </c>
      <c r="C15" s="20">
        <v>14239.4784</v>
      </c>
      <c r="D15" s="20">
        <v>18521</v>
      </c>
      <c r="E15" s="20">
        <v>27135.926620704275</v>
      </c>
      <c r="F15" s="22" t="s">
        <v>240</v>
      </c>
      <c r="G15" s="127">
        <v>90.568262814347719</v>
      </c>
      <c r="H15" s="124">
        <v>46.514370826112383</v>
      </c>
    </row>
    <row r="16" spans="1:8" x14ac:dyDescent="0.2">
      <c r="A16" s="125"/>
      <c r="B16" s="118" t="s">
        <v>241</v>
      </c>
      <c r="C16" s="26">
        <v>8950.873599999999</v>
      </c>
      <c r="D16" s="26">
        <v>11906.785599999999</v>
      </c>
      <c r="E16" s="26">
        <v>17314</v>
      </c>
      <c r="F16" s="27"/>
      <c r="G16" s="119">
        <v>93.433633114872748</v>
      </c>
      <c r="H16" s="120">
        <v>45.41288120615863</v>
      </c>
    </row>
    <row r="17" spans="1:9" x14ac:dyDescent="0.2">
      <c r="A17" s="121" t="s">
        <v>211</v>
      </c>
      <c r="B17" s="122" t="s">
        <v>3</v>
      </c>
      <c r="C17" s="20">
        <v>15982.9568</v>
      </c>
      <c r="D17" s="20">
        <v>23038</v>
      </c>
      <c r="E17" s="20">
        <v>28380.929345890843</v>
      </c>
      <c r="F17" s="22" t="s">
        <v>240</v>
      </c>
      <c r="G17" s="116">
        <v>77.569955928873213</v>
      </c>
      <c r="H17" s="117">
        <v>23.191810686217735</v>
      </c>
    </row>
    <row r="18" spans="1:9" ht="13.5" thickBot="1" x14ac:dyDescent="0.25">
      <c r="A18" s="131"/>
      <c r="B18" s="132" t="s">
        <v>241</v>
      </c>
      <c r="C18" s="43">
        <v>10420.7472</v>
      </c>
      <c r="D18" s="43">
        <v>17691.571199999998</v>
      </c>
      <c r="E18" s="43">
        <v>20575</v>
      </c>
      <c r="F18" s="44"/>
      <c r="G18" s="133">
        <v>97.44265555160959</v>
      </c>
      <c r="H18" s="134">
        <v>16.298319507088223</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9" t="s">
        <v>16</v>
      </c>
      <c r="D33" s="215"/>
      <c r="E33" s="215"/>
      <c r="F33" s="220"/>
      <c r="G33" s="215" t="s">
        <v>1</v>
      </c>
      <c r="H33" s="216"/>
    </row>
    <row r="34" spans="1:8" x14ac:dyDescent="0.2">
      <c r="A34" s="108"/>
      <c r="B34" s="109"/>
      <c r="C34" s="110" t="s">
        <v>235</v>
      </c>
      <c r="D34" s="111" t="s">
        <v>236</v>
      </c>
      <c r="E34" s="111" t="s">
        <v>237</v>
      </c>
      <c r="F34" s="112"/>
      <c r="G34" s="113" t="s">
        <v>238</v>
      </c>
      <c r="H34" s="114" t="s">
        <v>239</v>
      </c>
    </row>
    <row r="35" spans="1:8" ht="12.75" customHeight="1" x14ac:dyDescent="0.2">
      <c r="A35" s="217" t="s">
        <v>208</v>
      </c>
      <c r="B35" s="115" t="s">
        <v>3</v>
      </c>
      <c r="C35" s="80">
        <v>1333.7987954130613</v>
      </c>
      <c r="D35" s="80">
        <v>1456.5722955892095</v>
      </c>
      <c r="E35" s="81">
        <v>1708.1490644053224</v>
      </c>
      <c r="F35" s="22" t="s">
        <v>240</v>
      </c>
      <c r="G35" s="116">
        <v>28.066472265506093</v>
      </c>
      <c r="H35" s="117">
        <v>17.271835361549677</v>
      </c>
    </row>
    <row r="36" spans="1:8" ht="12.75" customHeight="1" x14ac:dyDescent="0.2">
      <c r="A36" s="218"/>
      <c r="B36" s="118" t="s">
        <v>241</v>
      </c>
      <c r="C36" s="82">
        <v>953.43436993335831</v>
      </c>
      <c r="D36" s="82">
        <v>992.97695116972739</v>
      </c>
      <c r="E36" s="82">
        <v>1182.7403741772175</v>
      </c>
      <c r="F36" s="27"/>
      <c r="G36" s="119">
        <v>24.050528434367948</v>
      </c>
      <c r="H36" s="120">
        <v>19.110556673440286</v>
      </c>
    </row>
    <row r="37" spans="1:8" x14ac:dyDescent="0.2">
      <c r="A37" s="121" t="s">
        <v>227</v>
      </c>
      <c r="B37" s="122" t="s">
        <v>3</v>
      </c>
      <c r="C37" s="80">
        <v>384.05710009564029</v>
      </c>
      <c r="D37" s="80">
        <v>443.4755699491252</v>
      </c>
      <c r="E37" s="80">
        <v>529.50217685168525</v>
      </c>
      <c r="F37" s="22" t="s">
        <v>240</v>
      </c>
      <c r="G37" s="123">
        <v>37.870690769634336</v>
      </c>
      <c r="H37" s="124">
        <v>19.398274162526903</v>
      </c>
    </row>
    <row r="38" spans="1:8" x14ac:dyDescent="0.2">
      <c r="A38" s="125"/>
      <c r="B38" s="118" t="s">
        <v>241</v>
      </c>
      <c r="C38" s="82">
        <v>270.29392557854186</v>
      </c>
      <c r="D38" s="82">
        <v>295.67739086050733</v>
      </c>
      <c r="E38" s="82">
        <v>359.34079379125092</v>
      </c>
      <c r="F38" s="27"/>
      <c r="G38" s="126">
        <v>32.944457786874636</v>
      </c>
      <c r="H38" s="120">
        <v>21.531373347642344</v>
      </c>
    </row>
    <row r="39" spans="1:8" x14ac:dyDescent="0.2">
      <c r="A39" s="121" t="s">
        <v>230</v>
      </c>
      <c r="B39" s="122" t="s">
        <v>3</v>
      </c>
      <c r="C39" s="80">
        <v>273.20901626826992</v>
      </c>
      <c r="D39" s="80">
        <v>269.37084535231759</v>
      </c>
      <c r="E39" s="80">
        <v>318.11857870688294</v>
      </c>
      <c r="F39" s="22" t="s">
        <v>240</v>
      </c>
      <c r="G39" s="127">
        <v>16.437803939279718</v>
      </c>
      <c r="H39" s="124">
        <v>18.096885463163929</v>
      </c>
    </row>
    <row r="40" spans="1:8" x14ac:dyDescent="0.2">
      <c r="A40" s="125"/>
      <c r="B40" s="118" t="s">
        <v>241</v>
      </c>
      <c r="C40" s="82">
        <v>207.51924276333961</v>
      </c>
      <c r="D40" s="82">
        <v>183.98409064243182</v>
      </c>
      <c r="E40" s="82">
        <v>224.83228826181474</v>
      </c>
      <c r="F40" s="27"/>
      <c r="G40" s="119">
        <v>8.3428626993494674</v>
      </c>
      <c r="H40" s="120">
        <v>22.202027075683574</v>
      </c>
    </row>
    <row r="41" spans="1:8" x14ac:dyDescent="0.2">
      <c r="A41" s="121" t="s">
        <v>209</v>
      </c>
      <c r="B41" s="122" t="s">
        <v>3</v>
      </c>
      <c r="C41" s="80">
        <v>448.97767258984481</v>
      </c>
      <c r="D41" s="80">
        <v>501.75703808684722</v>
      </c>
      <c r="E41" s="80">
        <v>589.55737469044232</v>
      </c>
      <c r="F41" s="22" t="s">
        <v>240</v>
      </c>
      <c r="G41" s="116">
        <v>31.311067494668379</v>
      </c>
      <c r="H41" s="117">
        <v>17.498575991752816</v>
      </c>
    </row>
    <row r="42" spans="1:8" x14ac:dyDescent="0.2">
      <c r="A42" s="125"/>
      <c r="B42" s="118" t="s">
        <v>241</v>
      </c>
      <c r="C42" s="82">
        <v>317.48926013014113</v>
      </c>
      <c r="D42" s="82">
        <v>339.99546620781541</v>
      </c>
      <c r="E42" s="82">
        <v>405.1289090214305</v>
      </c>
      <c r="F42" s="27"/>
      <c r="G42" s="128">
        <v>27.603972762847235</v>
      </c>
      <c r="H42" s="117">
        <v>19.157150399706666</v>
      </c>
    </row>
    <row r="43" spans="1:8" x14ac:dyDescent="0.2">
      <c r="A43" s="121" t="s">
        <v>210</v>
      </c>
      <c r="B43" s="122" t="s">
        <v>3</v>
      </c>
      <c r="C43" s="80">
        <v>82.138112313861384</v>
      </c>
      <c r="D43" s="80">
        <v>98.631765388184192</v>
      </c>
      <c r="E43" s="80">
        <v>125.71509434699091</v>
      </c>
      <c r="F43" s="22" t="s">
        <v>240</v>
      </c>
      <c r="G43" s="127">
        <v>53.053303522018723</v>
      </c>
      <c r="H43" s="124">
        <v>27.459032951722094</v>
      </c>
    </row>
    <row r="44" spans="1:8" x14ac:dyDescent="0.2">
      <c r="A44" s="125"/>
      <c r="B44" s="118" t="s">
        <v>241</v>
      </c>
      <c r="C44" s="82">
        <v>53.207112212267162</v>
      </c>
      <c r="D44" s="82">
        <v>64.775150881794545</v>
      </c>
      <c r="E44" s="82">
        <v>82.182821036544411</v>
      </c>
      <c r="F44" s="27"/>
      <c r="G44" s="119">
        <v>54.458337653583015</v>
      </c>
      <c r="H44" s="120">
        <v>26.873993989634059</v>
      </c>
    </row>
    <row r="45" spans="1:8" x14ac:dyDescent="0.2">
      <c r="A45" s="121" t="s">
        <v>211</v>
      </c>
      <c r="B45" s="122" t="s">
        <v>3</v>
      </c>
      <c r="C45" s="80">
        <v>145.41689414544481</v>
      </c>
      <c r="D45" s="80">
        <v>143.33707681273535</v>
      </c>
      <c r="E45" s="80">
        <v>149.3413562748421</v>
      </c>
      <c r="F45" s="22" t="s">
        <v>240</v>
      </c>
      <c r="G45" s="116">
        <v>2.6987662970384036</v>
      </c>
      <c r="H45" s="117">
        <v>4.1889227795200128</v>
      </c>
    </row>
    <row r="46" spans="1:8" ht="13.5" thickBot="1" x14ac:dyDescent="0.25">
      <c r="A46" s="131"/>
      <c r="B46" s="132" t="s">
        <v>241</v>
      </c>
      <c r="C46" s="86">
        <v>104.92482924906868</v>
      </c>
      <c r="D46" s="86">
        <v>108.54485257717819</v>
      </c>
      <c r="E46" s="86">
        <v>111.25556206617678</v>
      </c>
      <c r="F46" s="44"/>
      <c r="G46" s="133">
        <v>6.0335888677791587</v>
      </c>
      <c r="H46" s="134">
        <v>2.4973173988800568</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3">
        <v>23</v>
      </c>
    </row>
    <row r="62" spans="1:9" ht="12.75" customHeight="1" x14ac:dyDescent="0.2">
      <c r="A62" s="144" t="s">
        <v>243</v>
      </c>
      <c r="G62" s="145"/>
      <c r="H62" s="214"/>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2021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1">
        <v>1</v>
      </c>
      <c r="I61" s="77"/>
    </row>
    <row r="62" spans="1:14" ht="12.75" customHeight="1" x14ac:dyDescent="0.2">
      <c r="B62" s="54" t="str">
        <f>+B124</f>
        <v>Skadestatistikk for landbasert forsikring 3. kvartal 2021</v>
      </c>
      <c r="H62" s="202"/>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1">
        <v>2</v>
      </c>
      <c r="I123"/>
      <c r="J123" s="69"/>
      <c r="K123" s="69"/>
      <c r="L123" s="69"/>
    </row>
    <row r="124" spans="2:13" ht="12.75" customHeight="1" x14ac:dyDescent="0.2">
      <c r="B124" s="54" t="str">
        <f>"Skadestatistikk for landbasert forsikring 3. kvartal 2021"</f>
        <v>Skadestatistikk for landbasert forsikring 3. kvartal 2021</v>
      </c>
      <c r="H124" s="202"/>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61</v>
      </c>
      <c r="B7" s="19" t="s">
        <v>3</v>
      </c>
      <c r="C7" s="20">
        <v>351332</v>
      </c>
      <c r="D7" s="20">
        <v>447542</v>
      </c>
      <c r="E7" s="79">
        <v>138480.49491691409</v>
      </c>
      <c r="F7" s="22" t="s">
        <v>240</v>
      </c>
      <c r="G7" s="23">
        <v>-60.584149773742759</v>
      </c>
      <c r="H7" s="24">
        <v>-69.057542104000504</v>
      </c>
    </row>
    <row r="8" spans="1:8" x14ac:dyDescent="0.2">
      <c r="A8" s="207"/>
      <c r="B8" s="25" t="s">
        <v>241</v>
      </c>
      <c r="C8" s="26">
        <v>271454.89423076925</v>
      </c>
      <c r="D8" s="26">
        <v>375186</v>
      </c>
      <c r="E8" s="26">
        <v>112892.84615384616</v>
      </c>
      <c r="F8" s="27"/>
      <c r="G8" s="28">
        <v>-58.411931944069615</v>
      </c>
      <c r="H8" s="29">
        <v>-69.910165583511599</v>
      </c>
    </row>
    <row r="9" spans="1:8" x14ac:dyDescent="0.2">
      <c r="A9" s="30" t="s">
        <v>62</v>
      </c>
      <c r="B9" s="31" t="s">
        <v>3</v>
      </c>
      <c r="C9" s="20">
        <v>103744</v>
      </c>
      <c r="D9" s="20">
        <v>68338</v>
      </c>
      <c r="E9" s="21">
        <v>64321.590955128137</v>
      </c>
      <c r="F9" s="22" t="s">
        <v>240</v>
      </c>
      <c r="G9" s="32">
        <v>-37.999700266879877</v>
      </c>
      <c r="H9" s="33">
        <v>-5.8772703984194266</v>
      </c>
    </row>
    <row r="10" spans="1:8" x14ac:dyDescent="0.2">
      <c r="A10" s="34"/>
      <c r="B10" s="25" t="s">
        <v>241</v>
      </c>
      <c r="C10" s="26">
        <v>80999.640625</v>
      </c>
      <c r="D10" s="26">
        <v>49122</v>
      </c>
      <c r="E10" s="26">
        <v>47491.137499999997</v>
      </c>
      <c r="F10" s="27"/>
      <c r="G10" s="35">
        <v>-41.368705918255429</v>
      </c>
      <c r="H10" s="29">
        <v>-3.3200246325475291</v>
      </c>
    </row>
    <row r="11" spans="1:8" x14ac:dyDescent="0.2">
      <c r="A11" s="30" t="s">
        <v>47</v>
      </c>
      <c r="B11" s="31" t="s">
        <v>3</v>
      </c>
      <c r="C11" s="20">
        <v>12745</v>
      </c>
      <c r="D11" s="20">
        <v>12266</v>
      </c>
      <c r="E11" s="21">
        <v>11266.215372438917</v>
      </c>
      <c r="F11" s="22" t="s">
        <v>240</v>
      </c>
      <c r="G11" s="37">
        <v>-11.60286094594808</v>
      </c>
      <c r="H11" s="33">
        <v>-8.1508611410491056</v>
      </c>
    </row>
    <row r="12" spans="1:8" x14ac:dyDescent="0.2">
      <c r="A12" s="34"/>
      <c r="B12" s="25" t="s">
        <v>241</v>
      </c>
      <c r="C12" s="26">
        <v>9855.2734375</v>
      </c>
      <c r="D12" s="26">
        <v>7847</v>
      </c>
      <c r="E12" s="26">
        <v>7647.6062499999998</v>
      </c>
      <c r="F12" s="27"/>
      <c r="G12" s="28">
        <v>-22.400871995085126</v>
      </c>
      <c r="H12" s="29">
        <v>-2.5410188607110911</v>
      </c>
    </row>
    <row r="13" spans="1:8" x14ac:dyDescent="0.2">
      <c r="A13" s="30" t="s">
        <v>48</v>
      </c>
      <c r="B13" s="31" t="s">
        <v>3</v>
      </c>
      <c r="C13" s="20">
        <v>103618</v>
      </c>
      <c r="D13" s="20">
        <v>97572</v>
      </c>
      <c r="E13" s="21">
        <v>23455.481694886825</v>
      </c>
      <c r="F13" s="22" t="s">
        <v>240</v>
      </c>
      <c r="G13" s="23">
        <v>-77.363506635056822</v>
      </c>
      <c r="H13" s="24">
        <v>-75.960847686952377</v>
      </c>
    </row>
    <row r="14" spans="1:8" x14ac:dyDescent="0.2">
      <c r="A14" s="34"/>
      <c r="B14" s="25" t="s">
        <v>241</v>
      </c>
      <c r="C14" s="26">
        <v>83410.34375</v>
      </c>
      <c r="D14" s="26">
        <v>82809</v>
      </c>
      <c r="E14" s="26">
        <v>19552.625</v>
      </c>
      <c r="F14" s="27"/>
      <c r="G14" s="38">
        <v>-76.558512864299274</v>
      </c>
      <c r="H14" s="24">
        <v>-76.388285089784929</v>
      </c>
    </row>
    <row r="15" spans="1:8" x14ac:dyDescent="0.2">
      <c r="A15" s="30" t="s">
        <v>49</v>
      </c>
      <c r="B15" s="31" t="s">
        <v>3</v>
      </c>
      <c r="C15" s="20">
        <v>86209</v>
      </c>
      <c r="D15" s="20">
        <v>292729</v>
      </c>
      <c r="E15" s="21">
        <v>53041.856758456925</v>
      </c>
      <c r="F15" s="22" t="s">
        <v>240</v>
      </c>
      <c r="G15" s="37">
        <v>-38.472947420272916</v>
      </c>
      <c r="H15" s="33">
        <v>-81.880217963216182</v>
      </c>
    </row>
    <row r="16" spans="1:8" x14ac:dyDescent="0.2">
      <c r="A16" s="34"/>
      <c r="B16" s="25" t="s">
        <v>241</v>
      </c>
      <c r="C16" s="26">
        <v>67136.184374999997</v>
      </c>
      <c r="D16" s="26">
        <v>201049</v>
      </c>
      <c r="E16" s="26">
        <v>37922.182499999995</v>
      </c>
      <c r="F16" s="27"/>
      <c r="G16" s="28">
        <v>-43.514540105259002</v>
      </c>
      <c r="H16" s="29">
        <v>-81.137840775134421</v>
      </c>
    </row>
    <row r="17" spans="1:9" x14ac:dyDescent="0.2">
      <c r="A17" s="30" t="s">
        <v>50</v>
      </c>
      <c r="B17" s="31" t="s">
        <v>3</v>
      </c>
      <c r="C17" s="20">
        <v>59651</v>
      </c>
      <c r="D17" s="20">
        <v>52061</v>
      </c>
      <c r="E17" s="21">
        <v>23843.96509292307</v>
      </c>
      <c r="F17" s="22" t="s">
        <v>240</v>
      </c>
      <c r="G17" s="37">
        <v>-60.027551771264406</v>
      </c>
      <c r="H17" s="33">
        <v>-54.199947959272642</v>
      </c>
    </row>
    <row r="18" spans="1:9" ht="13.5" thickBot="1" x14ac:dyDescent="0.25">
      <c r="A18" s="56"/>
      <c r="B18" s="42" t="s">
        <v>241</v>
      </c>
      <c r="C18" s="43">
        <v>47464.728125000001</v>
      </c>
      <c r="D18" s="43">
        <v>43827</v>
      </c>
      <c r="E18" s="43">
        <v>19692.227500000001</v>
      </c>
      <c r="F18" s="44"/>
      <c r="G18" s="57">
        <v>-58.511871282313386</v>
      </c>
      <c r="H18" s="46">
        <v>-55.068274123257346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61</v>
      </c>
      <c r="B35" s="19" t="s">
        <v>3</v>
      </c>
      <c r="C35" s="80">
        <v>2298.9281077959999</v>
      </c>
      <c r="D35" s="80">
        <v>2302.5662864483884</v>
      </c>
      <c r="E35" s="81">
        <v>520.13513001007811</v>
      </c>
      <c r="F35" s="22" t="s">
        <v>240</v>
      </c>
      <c r="G35" s="23">
        <v>-77.374884919357669</v>
      </c>
      <c r="H35" s="24">
        <v>-77.410633818826355</v>
      </c>
    </row>
    <row r="36" spans="1:9" ht="12.75" customHeight="1" x14ac:dyDescent="0.2">
      <c r="A36" s="207"/>
      <c r="B36" s="25" t="s">
        <v>241</v>
      </c>
      <c r="C36" s="82">
        <v>1851.6828579688095</v>
      </c>
      <c r="D36" s="82">
        <v>2135.9802845817821</v>
      </c>
      <c r="E36" s="82">
        <v>459.27839719113013</v>
      </c>
      <c r="F36" s="27"/>
      <c r="G36" s="28">
        <v>-75.196703084731666</v>
      </c>
      <c r="H36" s="29">
        <v>-78.49800391387717</v>
      </c>
    </row>
    <row r="37" spans="1:9" x14ac:dyDescent="0.2">
      <c r="A37" s="30" t="s">
        <v>62</v>
      </c>
      <c r="B37" s="31" t="s">
        <v>3</v>
      </c>
      <c r="C37" s="80">
        <v>340.69064907730865</v>
      </c>
      <c r="D37" s="80">
        <v>163.35888456341638</v>
      </c>
      <c r="E37" s="83">
        <v>122.06337601198392</v>
      </c>
      <c r="F37" s="22" t="s">
        <v>240</v>
      </c>
      <c r="G37" s="32">
        <v>-64.171785652888403</v>
      </c>
      <c r="H37" s="33">
        <v>-25.27900986946409</v>
      </c>
    </row>
    <row r="38" spans="1:9" x14ac:dyDescent="0.2">
      <c r="A38" s="34"/>
      <c r="B38" s="25" t="s">
        <v>241</v>
      </c>
      <c r="C38" s="82">
        <v>277.89400847189705</v>
      </c>
      <c r="D38" s="82">
        <v>147.27004715431721</v>
      </c>
      <c r="E38" s="82">
        <v>106.31254480076691</v>
      </c>
      <c r="F38" s="27"/>
      <c r="G38" s="35">
        <v>-61.743491561633249</v>
      </c>
      <c r="H38" s="29">
        <v>-27.811155862965748</v>
      </c>
    </row>
    <row r="39" spans="1:9" x14ac:dyDescent="0.2">
      <c r="A39" s="30" t="s">
        <v>47</v>
      </c>
      <c r="B39" s="31" t="s">
        <v>3</v>
      </c>
      <c r="C39" s="80">
        <v>228.75983207302215</v>
      </c>
      <c r="D39" s="80">
        <v>175.90463846252982</v>
      </c>
      <c r="E39" s="83">
        <v>125.74878264768169</v>
      </c>
      <c r="F39" s="22" t="s">
        <v>240</v>
      </c>
      <c r="G39" s="37">
        <v>-45.030217277156602</v>
      </c>
      <c r="H39" s="33">
        <v>-28.51309451145147</v>
      </c>
    </row>
    <row r="40" spans="1:9" x14ac:dyDescent="0.2">
      <c r="A40" s="34"/>
      <c r="B40" s="25" t="s">
        <v>241</v>
      </c>
      <c r="C40" s="82">
        <v>198.50519969623775</v>
      </c>
      <c r="D40" s="82">
        <v>139.79453207412979</v>
      </c>
      <c r="E40" s="82">
        <v>102.81911970091025</v>
      </c>
      <c r="F40" s="27"/>
      <c r="G40" s="28">
        <v>-48.20331162193785</v>
      </c>
      <c r="H40" s="29">
        <v>-26.449827346331645</v>
      </c>
    </row>
    <row r="41" spans="1:9" x14ac:dyDescent="0.2">
      <c r="A41" s="30" t="s">
        <v>48</v>
      </c>
      <c r="B41" s="31" t="s">
        <v>3</v>
      </c>
      <c r="C41" s="80">
        <v>1066.8003560881793</v>
      </c>
      <c r="D41" s="80">
        <v>483.38381541670361</v>
      </c>
      <c r="E41" s="83">
        <v>116.54936033630685</v>
      </c>
      <c r="F41" s="22" t="s">
        <v>240</v>
      </c>
      <c r="G41" s="23">
        <v>-89.074866757292952</v>
      </c>
      <c r="H41" s="24">
        <v>-75.88885754566796</v>
      </c>
    </row>
    <row r="42" spans="1:9" x14ac:dyDescent="0.2">
      <c r="A42" s="34"/>
      <c r="B42" s="25" t="s">
        <v>241</v>
      </c>
      <c r="C42" s="82">
        <v>843.43466548925153</v>
      </c>
      <c r="D42" s="82">
        <v>475.12685719037836</v>
      </c>
      <c r="E42" s="82">
        <v>105.96727281476291</v>
      </c>
      <c r="F42" s="27"/>
      <c r="G42" s="38">
        <v>-87.436220355812097</v>
      </c>
      <c r="H42" s="24">
        <v>-77.697056857322025</v>
      </c>
    </row>
    <row r="43" spans="1:9" x14ac:dyDescent="0.2">
      <c r="A43" s="30" t="s">
        <v>49</v>
      </c>
      <c r="B43" s="31" t="s">
        <v>3</v>
      </c>
      <c r="C43" s="80">
        <v>496.37535018128125</v>
      </c>
      <c r="D43" s="80">
        <v>1242.5624347699079</v>
      </c>
      <c r="E43" s="83">
        <v>101.97033033387534</v>
      </c>
      <c r="F43" s="22" t="s">
        <v>240</v>
      </c>
      <c r="G43" s="37">
        <v>-79.457011655265575</v>
      </c>
      <c r="H43" s="33">
        <v>-91.793544736224234</v>
      </c>
    </row>
    <row r="44" spans="1:9" x14ac:dyDescent="0.2">
      <c r="A44" s="34"/>
      <c r="B44" s="25" t="s">
        <v>241</v>
      </c>
      <c r="C44" s="82">
        <v>397.43314041206412</v>
      </c>
      <c r="D44" s="82">
        <v>1150.0427771963373</v>
      </c>
      <c r="E44" s="82">
        <v>89.713891747499034</v>
      </c>
      <c r="F44" s="27"/>
      <c r="G44" s="28">
        <v>-77.426670645914825</v>
      </c>
      <c r="H44" s="29">
        <v>-92.199082197080486</v>
      </c>
    </row>
    <row r="45" spans="1:9" x14ac:dyDescent="0.2">
      <c r="A45" s="30" t="s">
        <v>50</v>
      </c>
      <c r="B45" s="31" t="s">
        <v>3</v>
      </c>
      <c r="C45" s="80">
        <v>166.30192037620884</v>
      </c>
      <c r="D45" s="80">
        <v>237.35651323583056</v>
      </c>
      <c r="E45" s="83">
        <v>60.981090667486399</v>
      </c>
      <c r="F45" s="22" t="s">
        <v>240</v>
      </c>
      <c r="G45" s="37">
        <v>-63.331096520392109</v>
      </c>
      <c r="H45" s="33">
        <v>-74.30822949151711</v>
      </c>
    </row>
    <row r="46" spans="1:9" ht="13.5" thickBot="1" x14ac:dyDescent="0.25">
      <c r="A46" s="56"/>
      <c r="B46" s="42" t="s">
        <v>241</v>
      </c>
      <c r="C46" s="86">
        <v>134.41584389935917</v>
      </c>
      <c r="D46" s="86">
        <v>223.74607096661893</v>
      </c>
      <c r="E46" s="86">
        <v>54.465568127190956</v>
      </c>
      <c r="F46" s="44"/>
      <c r="G46" s="57">
        <v>-59.479800485446624</v>
      </c>
      <c r="H46" s="46">
        <v>-75.657419193154567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9">
        <v>24</v>
      </c>
    </row>
    <row r="62" spans="1:9"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51</v>
      </c>
      <c r="B7" s="19" t="s">
        <v>3</v>
      </c>
      <c r="C7" s="20">
        <v>10785.192019950126</v>
      </c>
      <c r="D7" s="20">
        <v>13466</v>
      </c>
      <c r="E7" s="79">
        <v>12839.131200693029</v>
      </c>
      <c r="F7" s="22" t="s">
        <v>240</v>
      </c>
      <c r="G7" s="23">
        <v>19.044066873761608</v>
      </c>
      <c r="H7" s="24">
        <v>-4.6551967867738853</v>
      </c>
    </row>
    <row r="8" spans="1:8" x14ac:dyDescent="0.2">
      <c r="A8" s="207"/>
      <c r="B8" s="25" t="s">
        <v>241</v>
      </c>
      <c r="C8" s="26">
        <v>8920.4557356608475</v>
      </c>
      <c r="D8" s="26">
        <v>11333.992503086036</v>
      </c>
      <c r="E8" s="26">
        <v>10743.278054862843</v>
      </c>
      <c r="F8" s="27"/>
      <c r="G8" s="28">
        <v>20.434183781832942</v>
      </c>
      <c r="H8" s="29">
        <v>-5.2118831741096727</v>
      </c>
    </row>
    <row r="9" spans="1:8" x14ac:dyDescent="0.2">
      <c r="A9" s="30" t="s">
        <v>12</v>
      </c>
      <c r="B9" s="31" t="s">
        <v>3</v>
      </c>
      <c r="C9" s="20">
        <v>308.33100000000002</v>
      </c>
      <c r="D9" s="20">
        <v>369.60400000000004</v>
      </c>
      <c r="E9" s="21">
        <v>307.38155464294834</v>
      </c>
      <c r="F9" s="22" t="s">
        <v>240</v>
      </c>
      <c r="G9" s="32">
        <v>-0.30793055419393056</v>
      </c>
      <c r="H9" s="33">
        <v>-16.834895011161052</v>
      </c>
    </row>
    <row r="10" spans="1:8" x14ac:dyDescent="0.2">
      <c r="A10" s="34"/>
      <c r="B10" s="25" t="s">
        <v>241</v>
      </c>
      <c r="C10" s="26">
        <v>218.075875</v>
      </c>
      <c r="D10" s="26">
        <v>294.20269937374997</v>
      </c>
      <c r="E10" s="26">
        <v>234.8545</v>
      </c>
      <c r="F10" s="27"/>
      <c r="G10" s="35">
        <v>7.6939390934462608</v>
      </c>
      <c r="H10" s="29">
        <v>-20.172554330766033</v>
      </c>
    </row>
    <row r="11" spans="1:8" x14ac:dyDescent="0.2">
      <c r="A11" s="30" t="s">
        <v>18</v>
      </c>
      <c r="B11" s="31" t="s">
        <v>3</v>
      </c>
      <c r="C11" s="20">
        <v>294.5324</v>
      </c>
      <c r="D11" s="20">
        <v>315.64159999999998</v>
      </c>
      <c r="E11" s="21">
        <v>299.54352567722157</v>
      </c>
      <c r="F11" s="22" t="s">
        <v>240</v>
      </c>
      <c r="G11" s="37">
        <v>1.7013835072886963</v>
      </c>
      <c r="H11" s="33">
        <v>-5.1001117478743083</v>
      </c>
    </row>
    <row r="12" spans="1:8" x14ac:dyDescent="0.2">
      <c r="A12" s="34"/>
      <c r="B12" s="25" t="s">
        <v>241</v>
      </c>
      <c r="C12" s="26">
        <v>240.83035000000001</v>
      </c>
      <c r="D12" s="26">
        <v>257.4810797495</v>
      </c>
      <c r="E12" s="26">
        <v>244.54179999999999</v>
      </c>
      <c r="F12" s="27"/>
      <c r="G12" s="28">
        <v>1.5411055957025326</v>
      </c>
      <c r="H12" s="29">
        <v>-5.0253322543499053</v>
      </c>
    </row>
    <row r="13" spans="1:8" x14ac:dyDescent="0.2">
      <c r="A13" s="30" t="s">
        <v>63</v>
      </c>
      <c r="B13" s="31" t="s">
        <v>3</v>
      </c>
      <c r="C13" s="20">
        <v>1188.99125</v>
      </c>
      <c r="D13" s="20">
        <v>1446.0149999999999</v>
      </c>
      <c r="E13" s="21">
        <v>1126.435928575595</v>
      </c>
      <c r="F13" s="22" t="s">
        <v>240</v>
      </c>
      <c r="G13" s="23">
        <v>-5.261209569406418</v>
      </c>
      <c r="H13" s="24">
        <v>-22.100674711147875</v>
      </c>
    </row>
    <row r="14" spans="1:8" x14ac:dyDescent="0.2">
      <c r="A14" s="34"/>
      <c r="B14" s="25" t="s">
        <v>241</v>
      </c>
      <c r="C14" s="26">
        <v>907.53453124999999</v>
      </c>
      <c r="D14" s="26">
        <v>1129.5101226515626</v>
      </c>
      <c r="E14" s="26">
        <v>873.07937500000003</v>
      </c>
      <c r="F14" s="27"/>
      <c r="G14" s="38">
        <v>-3.7965669694730906</v>
      </c>
      <c r="H14" s="24">
        <v>-22.702828643056591</v>
      </c>
    </row>
    <row r="15" spans="1:8" x14ac:dyDescent="0.2">
      <c r="A15" s="30" t="s">
        <v>52</v>
      </c>
      <c r="B15" s="31" t="s">
        <v>3</v>
      </c>
      <c r="C15" s="20">
        <v>5801.2924999999996</v>
      </c>
      <c r="D15" s="20">
        <v>7391.07</v>
      </c>
      <c r="E15" s="21">
        <v>7818.2389731164758</v>
      </c>
      <c r="F15" s="22" t="s">
        <v>240</v>
      </c>
      <c r="G15" s="37">
        <v>34.767191502867263</v>
      </c>
      <c r="H15" s="33">
        <v>5.7795281754397649</v>
      </c>
    </row>
    <row r="16" spans="1:8" x14ac:dyDescent="0.2">
      <c r="A16" s="34"/>
      <c r="B16" s="25" t="s">
        <v>241</v>
      </c>
      <c r="C16" s="26">
        <v>4982.8278124999997</v>
      </c>
      <c r="D16" s="26">
        <v>6204.0472390406248</v>
      </c>
      <c r="E16" s="26">
        <v>6612.7037499999997</v>
      </c>
      <c r="F16" s="27"/>
      <c r="G16" s="28">
        <v>32.709858715391846</v>
      </c>
      <c r="H16" s="29">
        <v>6.586934225577707</v>
      </c>
    </row>
    <row r="17" spans="1:9" x14ac:dyDescent="0.2">
      <c r="A17" s="30" t="s">
        <v>50</v>
      </c>
      <c r="B17" s="31" t="s">
        <v>3</v>
      </c>
      <c r="C17" s="20">
        <v>3958.6549999999997</v>
      </c>
      <c r="D17" s="20">
        <v>5109.0200000000004</v>
      </c>
      <c r="E17" s="21">
        <v>4583.6421261447949</v>
      </c>
      <c r="F17" s="22" t="s">
        <v>240</v>
      </c>
      <c r="G17" s="37">
        <v>15.787865478168598</v>
      </c>
      <c r="H17" s="33">
        <v>-10.283339541736098</v>
      </c>
    </row>
    <row r="18" spans="1:9" ht="13.5" thickBot="1" x14ac:dyDescent="0.25">
      <c r="A18" s="56"/>
      <c r="B18" s="42" t="s">
        <v>241</v>
      </c>
      <c r="C18" s="43">
        <v>3214.379375</v>
      </c>
      <c r="D18" s="43">
        <v>3946.0134968687498</v>
      </c>
      <c r="E18" s="43">
        <v>3598.7725</v>
      </c>
      <c r="F18" s="44"/>
      <c r="G18" s="57">
        <v>11.958548763398525</v>
      </c>
      <c r="H18" s="46">
        <v>-8.7997924270733847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51</v>
      </c>
      <c r="B35" s="19" t="s">
        <v>3</v>
      </c>
      <c r="C35" s="80">
        <v>506.53855755591945</v>
      </c>
      <c r="D35" s="80">
        <v>607.81922434697947</v>
      </c>
      <c r="E35" s="81">
        <v>583.75452117319298</v>
      </c>
      <c r="F35" s="22" t="s">
        <v>240</v>
      </c>
      <c r="G35" s="23">
        <v>15.243847179145732</v>
      </c>
      <c r="H35" s="24">
        <v>-3.9591875692383383</v>
      </c>
    </row>
    <row r="36" spans="1:9" ht="12.75" customHeight="1" x14ac:dyDescent="0.2">
      <c r="A36" s="207"/>
      <c r="B36" s="25" t="s">
        <v>241</v>
      </c>
      <c r="C36" s="82">
        <v>434.7220534550143</v>
      </c>
      <c r="D36" s="82">
        <v>517.48476821085421</v>
      </c>
      <c r="E36" s="82">
        <v>498.3207626355229</v>
      </c>
      <c r="F36" s="27"/>
      <c r="G36" s="28">
        <v>14.629740698694476</v>
      </c>
      <c r="H36" s="29">
        <v>-3.7032984838546525</v>
      </c>
    </row>
    <row r="37" spans="1:9" x14ac:dyDescent="0.2">
      <c r="A37" s="30" t="s">
        <v>12</v>
      </c>
      <c r="B37" s="31" t="s">
        <v>3</v>
      </c>
      <c r="C37" s="80">
        <v>7.1079572424110644</v>
      </c>
      <c r="D37" s="80">
        <v>5.9674288797066728</v>
      </c>
      <c r="E37" s="83">
        <v>5.0959084324938946</v>
      </c>
      <c r="F37" s="22" t="s">
        <v>240</v>
      </c>
      <c r="G37" s="32">
        <v>-28.306990901856778</v>
      </c>
      <c r="H37" s="33">
        <v>-14.60462227168793</v>
      </c>
    </row>
    <row r="38" spans="1:9" x14ac:dyDescent="0.2">
      <c r="A38" s="34"/>
      <c r="B38" s="25" t="s">
        <v>241</v>
      </c>
      <c r="C38" s="82">
        <v>5.0469536634268586</v>
      </c>
      <c r="D38" s="82">
        <v>4.8707521748679836</v>
      </c>
      <c r="E38" s="82">
        <v>3.9619086397263823</v>
      </c>
      <c r="F38" s="27"/>
      <c r="G38" s="35">
        <v>-21.499009027234379</v>
      </c>
      <c r="H38" s="29">
        <v>-18.659202983700041</v>
      </c>
    </row>
    <row r="39" spans="1:9" x14ac:dyDescent="0.2">
      <c r="A39" s="30" t="s">
        <v>18</v>
      </c>
      <c r="B39" s="31" t="s">
        <v>3</v>
      </c>
      <c r="C39" s="80">
        <v>27.304542334659359</v>
      </c>
      <c r="D39" s="80">
        <v>26.560843062390411</v>
      </c>
      <c r="E39" s="83">
        <v>31.232889146044478</v>
      </c>
      <c r="F39" s="22" t="s">
        <v>240</v>
      </c>
      <c r="G39" s="37">
        <v>14.387154940145706</v>
      </c>
      <c r="H39" s="33">
        <v>17.589976615876267</v>
      </c>
    </row>
    <row r="40" spans="1:9" x14ac:dyDescent="0.2">
      <c r="A40" s="34"/>
      <c r="B40" s="25" t="s">
        <v>241</v>
      </c>
      <c r="C40" s="82">
        <v>21.850404275216036</v>
      </c>
      <c r="D40" s="82">
        <v>21.051609168325886</v>
      </c>
      <c r="E40" s="82">
        <v>24.833895285738553</v>
      </c>
      <c r="F40" s="27"/>
      <c r="G40" s="28">
        <v>13.654168467292664</v>
      </c>
      <c r="H40" s="29">
        <v>17.966731603128324</v>
      </c>
    </row>
    <row r="41" spans="1:9" x14ac:dyDescent="0.2">
      <c r="A41" s="30" t="s">
        <v>63</v>
      </c>
      <c r="B41" s="31" t="s">
        <v>3</v>
      </c>
      <c r="C41" s="80">
        <v>61.887289375612987</v>
      </c>
      <c r="D41" s="80">
        <v>71.392452973212713</v>
      </c>
      <c r="E41" s="83">
        <v>51.950366787733785</v>
      </c>
      <c r="F41" s="22" t="s">
        <v>240</v>
      </c>
      <c r="G41" s="23">
        <v>-16.056483791960844</v>
      </c>
      <c r="H41" s="24">
        <v>-27.232691097998583</v>
      </c>
    </row>
    <row r="42" spans="1:9" x14ac:dyDescent="0.2">
      <c r="A42" s="34"/>
      <c r="B42" s="25" t="s">
        <v>241</v>
      </c>
      <c r="C42" s="82">
        <v>50.372280240914698</v>
      </c>
      <c r="D42" s="82">
        <v>60.094664385305052</v>
      </c>
      <c r="E42" s="82">
        <v>43.23675113045811</v>
      </c>
      <c r="F42" s="27"/>
      <c r="G42" s="38">
        <v>-14.165586859140802</v>
      </c>
      <c r="H42" s="24">
        <v>-28.052262920981065</v>
      </c>
    </row>
    <row r="43" spans="1:9" x14ac:dyDescent="0.2">
      <c r="A43" s="30" t="s">
        <v>52</v>
      </c>
      <c r="B43" s="31" t="s">
        <v>3</v>
      </c>
      <c r="C43" s="80">
        <v>277.98505848710886</v>
      </c>
      <c r="D43" s="80">
        <v>339.77249401097197</v>
      </c>
      <c r="E43" s="83">
        <v>356.43138971837874</v>
      </c>
      <c r="F43" s="22" t="s">
        <v>240</v>
      </c>
      <c r="G43" s="37">
        <v>28.219621463902428</v>
      </c>
      <c r="H43" s="33">
        <v>4.9029559487734105</v>
      </c>
    </row>
    <row r="44" spans="1:9" x14ac:dyDescent="0.2">
      <c r="A44" s="34"/>
      <c r="B44" s="25" t="s">
        <v>241</v>
      </c>
      <c r="C44" s="82">
        <v>245.61919172368127</v>
      </c>
      <c r="D44" s="82">
        <v>294.13964879098774</v>
      </c>
      <c r="E44" s="82">
        <v>310.65595650609174</v>
      </c>
      <c r="F44" s="27"/>
      <c r="G44" s="28">
        <v>26.478698315877566</v>
      </c>
      <c r="H44" s="29">
        <v>5.6151245787473982</v>
      </c>
    </row>
    <row r="45" spans="1:9" x14ac:dyDescent="0.2">
      <c r="A45" s="30" t="s">
        <v>50</v>
      </c>
      <c r="B45" s="31" t="s">
        <v>3</v>
      </c>
      <c r="C45" s="80">
        <v>132.25371011612714</v>
      </c>
      <c r="D45" s="80">
        <v>164.12600542069765</v>
      </c>
      <c r="E45" s="83">
        <v>137.71313193034356</v>
      </c>
      <c r="F45" s="22" t="s">
        <v>240</v>
      </c>
      <c r="G45" s="37">
        <v>4.1279914260421862</v>
      </c>
      <c r="H45" s="33">
        <v>-16.093045963466309</v>
      </c>
    </row>
    <row r="46" spans="1:9" ht="13.5" thickBot="1" x14ac:dyDescent="0.25">
      <c r="A46" s="56"/>
      <c r="B46" s="42" t="s">
        <v>241</v>
      </c>
      <c r="C46" s="86">
        <v>111.83322355177548</v>
      </c>
      <c r="D46" s="86">
        <v>137.32809369136746</v>
      </c>
      <c r="E46" s="86">
        <v>115.63225107350824</v>
      </c>
      <c r="F46" s="44"/>
      <c r="G46" s="57">
        <v>3.3970473183882746</v>
      </c>
      <c r="H46" s="46">
        <v>-15.79854641150024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1">
        <v>25</v>
      </c>
    </row>
    <row r="62" spans="1:9"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ht="12.75" customHeight="1" x14ac:dyDescent="0.2">
      <c r="A7" s="206" t="s">
        <v>64</v>
      </c>
      <c r="B7" s="19" t="s">
        <v>3</v>
      </c>
      <c r="C7" s="20">
        <v>11204.776</v>
      </c>
      <c r="D7" s="20">
        <v>11603.98</v>
      </c>
      <c r="E7" s="79">
        <v>11996.034495254113</v>
      </c>
      <c r="F7" s="22" t="s">
        <v>240</v>
      </c>
      <c r="G7" s="23">
        <v>7.0617966414867368</v>
      </c>
      <c r="H7" s="24">
        <v>3.378620915014622</v>
      </c>
    </row>
    <row r="8" spans="1:8" ht="12.75" customHeight="1" x14ac:dyDescent="0.2">
      <c r="A8" s="207"/>
      <c r="B8" s="25" t="s">
        <v>241</v>
      </c>
      <c r="C8" s="26">
        <v>7645.16</v>
      </c>
      <c r="D8" s="26">
        <v>8411.9601644300001</v>
      </c>
      <c r="E8" s="26">
        <v>8518.8459999999995</v>
      </c>
      <c r="F8" s="27"/>
      <c r="G8" s="28">
        <v>11.427962266322737</v>
      </c>
      <c r="H8" s="29">
        <v>1.270641247470067</v>
      </c>
    </row>
    <row r="9" spans="1:8" x14ac:dyDescent="0.2">
      <c r="A9" s="30" t="s">
        <v>53</v>
      </c>
      <c r="B9" s="31" t="s">
        <v>3</v>
      </c>
      <c r="C9" s="20">
        <v>6.1577599999999997</v>
      </c>
      <c r="D9" s="20">
        <v>2.2198000000000002</v>
      </c>
      <c r="E9" s="21">
        <v>8.7520608790248505E-2</v>
      </c>
      <c r="F9" s="22" t="s">
        <v>240</v>
      </c>
      <c r="G9" s="32">
        <v>-98.578694057737735</v>
      </c>
      <c r="H9" s="33">
        <v>-96.057275034226123</v>
      </c>
    </row>
    <row r="10" spans="1:8" x14ac:dyDescent="0.2">
      <c r="A10" s="34"/>
      <c r="B10" s="25" t="s">
        <v>241</v>
      </c>
      <c r="C10" s="26">
        <v>4.1116000000000001</v>
      </c>
      <c r="D10" s="26">
        <v>277.15960164429998</v>
      </c>
      <c r="E10" s="26">
        <v>0.17346</v>
      </c>
      <c r="F10" s="27"/>
      <c r="G10" s="35">
        <v>-95.781204397314909</v>
      </c>
      <c r="H10" s="29">
        <v>-99.937415121478409</v>
      </c>
    </row>
    <row r="11" spans="1:8" x14ac:dyDescent="0.2">
      <c r="A11" s="30" t="s">
        <v>54</v>
      </c>
      <c r="B11" s="31" t="s">
        <v>3</v>
      </c>
      <c r="C11" s="20">
        <v>845.78880000000004</v>
      </c>
      <c r="D11" s="20">
        <v>760.09899999999993</v>
      </c>
      <c r="E11" s="21">
        <v>1286.7122800645093</v>
      </c>
      <c r="F11" s="22" t="s">
        <v>240</v>
      </c>
      <c r="G11" s="37">
        <v>52.13162908571374</v>
      </c>
      <c r="H11" s="33">
        <v>69.282196143464148</v>
      </c>
    </row>
    <row r="12" spans="1:8" x14ac:dyDescent="0.2">
      <c r="A12" s="34"/>
      <c r="B12" s="25" t="s">
        <v>241</v>
      </c>
      <c r="C12" s="26">
        <v>625.55799999999999</v>
      </c>
      <c r="D12" s="26">
        <v>239.7980082215</v>
      </c>
      <c r="E12" s="26">
        <v>501.8673</v>
      </c>
      <c r="F12" s="27"/>
      <c r="G12" s="28">
        <v>-19.772858791670799</v>
      </c>
      <c r="H12" s="29">
        <v>109.28751815837776</v>
      </c>
    </row>
    <row r="13" spans="1:8" x14ac:dyDescent="0.2">
      <c r="A13" s="30" t="s">
        <v>66</v>
      </c>
      <c r="B13" s="31" t="s">
        <v>3</v>
      </c>
      <c r="C13" s="20">
        <v>99.315519999999992</v>
      </c>
      <c r="D13" s="20">
        <v>60.439599999999999</v>
      </c>
      <c r="E13" s="21">
        <v>16.774088501045991</v>
      </c>
      <c r="F13" s="22" t="s">
        <v>240</v>
      </c>
      <c r="G13" s="23">
        <v>-83.110304914029555</v>
      </c>
      <c r="H13" s="24">
        <v>-72.246526282361245</v>
      </c>
    </row>
    <row r="14" spans="1:8" x14ac:dyDescent="0.2">
      <c r="A14" s="34"/>
      <c r="B14" s="25" t="s">
        <v>241</v>
      </c>
      <c r="C14" s="26">
        <v>70.223199999999991</v>
      </c>
      <c r="D14" s="26">
        <v>144.31920328859999</v>
      </c>
      <c r="E14" s="26">
        <v>22.346920000000001</v>
      </c>
      <c r="F14" s="27"/>
      <c r="G14" s="38">
        <v>-68.177297531300184</v>
      </c>
      <c r="H14" s="24">
        <v>-84.51562959690672</v>
      </c>
    </row>
    <row r="15" spans="1:8" x14ac:dyDescent="0.2">
      <c r="A15" s="30" t="s">
        <v>55</v>
      </c>
      <c r="B15" s="31" t="s">
        <v>3</v>
      </c>
      <c r="C15" s="20">
        <v>8441.6208000000006</v>
      </c>
      <c r="D15" s="20">
        <v>8522.5839999999989</v>
      </c>
      <c r="E15" s="21">
        <v>8693.1018075666725</v>
      </c>
      <c r="F15" s="22" t="s">
        <v>240</v>
      </c>
      <c r="G15" s="37">
        <v>2.9790606984700219</v>
      </c>
      <c r="H15" s="33">
        <v>2.0007759098258617</v>
      </c>
    </row>
    <row r="16" spans="1:8" x14ac:dyDescent="0.2">
      <c r="A16" s="34"/>
      <c r="B16" s="25" t="s">
        <v>241</v>
      </c>
      <c r="C16" s="26">
        <v>6247.9279999999999</v>
      </c>
      <c r="D16" s="26">
        <v>6101.7681315440004</v>
      </c>
      <c r="E16" s="26">
        <v>6292.3768</v>
      </c>
      <c r="F16" s="27"/>
      <c r="G16" s="28">
        <v>0.71141664884741829</v>
      </c>
      <c r="H16" s="29">
        <v>3.1238268047358133</v>
      </c>
    </row>
    <row r="17" spans="1:9" x14ac:dyDescent="0.2">
      <c r="A17" s="30" t="s">
        <v>67</v>
      </c>
      <c r="B17" s="31" t="s">
        <v>3</v>
      </c>
      <c r="C17" s="20">
        <v>858.78880000000004</v>
      </c>
      <c r="D17" s="20">
        <v>805.09899999999993</v>
      </c>
      <c r="E17" s="21">
        <v>787.72165214917231</v>
      </c>
      <c r="F17" s="22" t="s">
        <v>240</v>
      </c>
      <c r="G17" s="37">
        <v>-8.2752765116205182</v>
      </c>
      <c r="H17" s="33">
        <v>-2.1584113072836573</v>
      </c>
    </row>
    <row r="18" spans="1:9" x14ac:dyDescent="0.2">
      <c r="A18" s="30"/>
      <c r="B18" s="25" t="s">
        <v>241</v>
      </c>
      <c r="C18" s="26">
        <v>608.55799999999999</v>
      </c>
      <c r="D18" s="26">
        <v>580.79800822150003</v>
      </c>
      <c r="E18" s="26">
        <v>564.8673</v>
      </c>
      <c r="F18" s="27"/>
      <c r="G18" s="28">
        <v>-7.1793814229703656</v>
      </c>
      <c r="H18" s="29">
        <v>-2.7428999404255023</v>
      </c>
    </row>
    <row r="19" spans="1:9" x14ac:dyDescent="0.2">
      <c r="A19" s="39" t="s">
        <v>56</v>
      </c>
      <c r="B19" s="31" t="s">
        <v>3</v>
      </c>
      <c r="C19" s="20">
        <v>94.157759999999996</v>
      </c>
      <c r="D19" s="20">
        <v>97.219800000000006</v>
      </c>
      <c r="E19" s="21">
        <v>91.956470026815467</v>
      </c>
      <c r="F19" s="22" t="s">
        <v>240</v>
      </c>
      <c r="G19" s="23">
        <v>-2.3378741945268615</v>
      </c>
      <c r="H19" s="24">
        <v>-5.413845711660116</v>
      </c>
    </row>
    <row r="20" spans="1:9" x14ac:dyDescent="0.2">
      <c r="A20" s="34"/>
      <c r="B20" s="25" t="s">
        <v>241</v>
      </c>
      <c r="C20" s="26">
        <v>65.111599999999996</v>
      </c>
      <c r="D20" s="26">
        <v>68.159601644299997</v>
      </c>
      <c r="E20" s="26">
        <v>64.173460000000006</v>
      </c>
      <c r="F20" s="27"/>
      <c r="G20" s="38">
        <v>-1.4408185331031547</v>
      </c>
      <c r="H20" s="24">
        <v>-5.8482466859213815</v>
      </c>
    </row>
    <row r="21" spans="1:9" x14ac:dyDescent="0.2">
      <c r="A21" s="39" t="s">
        <v>68</v>
      </c>
      <c r="B21" s="31" t="s">
        <v>3</v>
      </c>
      <c r="C21" s="20">
        <v>11.15776</v>
      </c>
      <c r="D21" s="20">
        <v>9.2197999999999993</v>
      </c>
      <c r="E21" s="21">
        <v>5.0758522481230477</v>
      </c>
      <c r="F21" s="22" t="s">
        <v>240</v>
      </c>
      <c r="G21" s="37">
        <v>-54.508322027691506</v>
      </c>
      <c r="H21" s="33">
        <v>-44.946178353944255</v>
      </c>
    </row>
    <row r="22" spans="1:9" x14ac:dyDescent="0.2">
      <c r="A22" s="34"/>
      <c r="B22" s="25" t="s">
        <v>241</v>
      </c>
      <c r="C22" s="26">
        <v>9.1115999999999993</v>
      </c>
      <c r="D22" s="26">
        <v>5.1596016443000003</v>
      </c>
      <c r="E22" s="26">
        <v>3.1734599999999999</v>
      </c>
      <c r="F22" s="27"/>
      <c r="G22" s="28">
        <v>-65.171210325299626</v>
      </c>
      <c r="H22" s="29">
        <v>-38.49408890886302</v>
      </c>
    </row>
    <row r="23" spans="1:9" x14ac:dyDescent="0.2">
      <c r="A23" s="30" t="s">
        <v>69</v>
      </c>
      <c r="B23" s="31" t="s">
        <v>3</v>
      </c>
      <c r="C23" s="20">
        <v>1446.7888</v>
      </c>
      <c r="D23" s="20">
        <v>1367.0989999999999</v>
      </c>
      <c r="E23" s="21">
        <v>1499.3074093318546</v>
      </c>
      <c r="F23" s="22" t="s">
        <v>240</v>
      </c>
      <c r="G23" s="23">
        <v>3.6300121573967488</v>
      </c>
      <c r="H23" s="24">
        <v>9.6707267968051127</v>
      </c>
    </row>
    <row r="24" spans="1:9" ht="13.5" thickBot="1" x14ac:dyDescent="0.25">
      <c r="A24" s="56"/>
      <c r="B24" s="42" t="s">
        <v>241</v>
      </c>
      <c r="C24" s="43">
        <v>1009.558</v>
      </c>
      <c r="D24" s="43">
        <v>1017.7980082215</v>
      </c>
      <c r="E24" s="43">
        <v>1091.8672999999999</v>
      </c>
      <c r="F24" s="44"/>
      <c r="G24" s="57">
        <v>8.1530035916707959</v>
      </c>
      <c r="H24" s="46">
        <v>7.2774058487232338</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64</v>
      </c>
      <c r="B35" s="19" t="s">
        <v>3</v>
      </c>
      <c r="C35" s="80">
        <v>1202.7935045741631</v>
      </c>
      <c r="D35" s="80">
        <v>1394.3954936555808</v>
      </c>
      <c r="E35" s="81">
        <v>1634.243739801628</v>
      </c>
      <c r="F35" s="22" t="s">
        <v>240</v>
      </c>
      <c r="G35" s="23">
        <v>35.870682173347404</v>
      </c>
      <c r="H35" s="24">
        <v>17.200876454158291</v>
      </c>
    </row>
    <row r="36" spans="1:8" ht="12.75" customHeight="1" x14ac:dyDescent="0.2">
      <c r="A36" s="207"/>
      <c r="B36" s="25" t="s">
        <v>241</v>
      </c>
      <c r="C36" s="82">
        <v>893.73782567895353</v>
      </c>
      <c r="D36" s="82">
        <v>973.35082171501472</v>
      </c>
      <c r="E36" s="82">
        <v>1164.2826107355788</v>
      </c>
      <c r="F36" s="27"/>
      <c r="G36" s="28">
        <v>30.271157523303685</v>
      </c>
      <c r="H36" s="29">
        <v>19.615927244418202</v>
      </c>
    </row>
    <row r="37" spans="1:8" x14ac:dyDescent="0.2">
      <c r="A37" s="30" t="s">
        <v>53</v>
      </c>
      <c r="B37" s="31" t="s">
        <v>3</v>
      </c>
      <c r="C37" s="80">
        <v>0.134134343800104</v>
      </c>
      <c r="D37" s="80">
        <v>7.6027626367869916E-2</v>
      </c>
      <c r="E37" s="83">
        <v>2.6341299870499605E-2</v>
      </c>
      <c r="F37" s="22" t="s">
        <v>240</v>
      </c>
      <c r="G37" s="32">
        <v>-80.362001912235712</v>
      </c>
      <c r="H37" s="33">
        <v>-65.352989263345307</v>
      </c>
    </row>
    <row r="38" spans="1:8" x14ac:dyDescent="0.2">
      <c r="A38" s="34"/>
      <c r="B38" s="25" t="s">
        <v>241</v>
      </c>
      <c r="C38" s="82">
        <v>9.5976001786922838E-2</v>
      </c>
      <c r="D38" s="82">
        <v>9.3366897186945668</v>
      </c>
      <c r="E38" s="82">
        <v>5.5891996618912775E-2</v>
      </c>
      <c r="F38" s="27"/>
      <c r="G38" s="35">
        <v>-41.764612425719626</v>
      </c>
      <c r="H38" s="29">
        <v>-99.401372453161827</v>
      </c>
    </row>
    <row r="39" spans="1:8" x14ac:dyDescent="0.2">
      <c r="A39" s="30" t="s">
        <v>54</v>
      </c>
      <c r="B39" s="31" t="s">
        <v>3</v>
      </c>
      <c r="C39" s="80">
        <v>57.991080964356613</v>
      </c>
      <c r="D39" s="80">
        <v>71.708466618889048</v>
      </c>
      <c r="E39" s="83">
        <v>100.56067798566502</v>
      </c>
      <c r="F39" s="22" t="s">
        <v>240</v>
      </c>
      <c r="G39" s="37">
        <v>73.407145225441127</v>
      </c>
      <c r="H39" s="33">
        <v>40.235432058696233</v>
      </c>
    </row>
    <row r="40" spans="1:8" x14ac:dyDescent="0.2">
      <c r="A40" s="34"/>
      <c r="B40" s="25" t="s">
        <v>241</v>
      </c>
      <c r="C40" s="82">
        <v>39.771447991734718</v>
      </c>
      <c r="D40" s="82">
        <v>33.263575185525625</v>
      </c>
      <c r="E40" s="82">
        <v>52.287850004499923</v>
      </c>
      <c r="F40" s="27"/>
      <c r="G40" s="28">
        <v>31.470823027027734</v>
      </c>
      <c r="H40" s="29">
        <v>57.192513771798531</v>
      </c>
    </row>
    <row r="41" spans="1:8" x14ac:dyDescent="0.2">
      <c r="A41" s="30" t="s">
        <v>66</v>
      </c>
      <c r="B41" s="31" t="s">
        <v>3</v>
      </c>
      <c r="C41" s="80">
        <v>13.468025871353923</v>
      </c>
      <c r="D41" s="80">
        <v>16.644909976128837</v>
      </c>
      <c r="E41" s="83">
        <v>11.439809666510911</v>
      </c>
      <c r="F41" s="22" t="s">
        <v>240</v>
      </c>
      <c r="G41" s="23">
        <v>-15.059491451950407</v>
      </c>
      <c r="H41" s="24">
        <v>-31.271423618888775</v>
      </c>
    </row>
    <row r="42" spans="1:8" x14ac:dyDescent="0.2">
      <c r="A42" s="34"/>
      <c r="B42" s="25" t="s">
        <v>241</v>
      </c>
      <c r="C42" s="82">
        <v>11.293760402113962</v>
      </c>
      <c r="D42" s="82">
        <v>11.423546466672093</v>
      </c>
      <c r="E42" s="82">
        <v>8.3570179404450258</v>
      </c>
      <c r="F42" s="27"/>
      <c r="G42" s="38">
        <v>-26.003229722486736</v>
      </c>
      <c r="H42" s="24">
        <v>-26.843927454346911</v>
      </c>
    </row>
    <row r="43" spans="1:8" x14ac:dyDescent="0.2">
      <c r="A43" s="30" t="s">
        <v>55</v>
      </c>
      <c r="B43" s="31" t="s">
        <v>3</v>
      </c>
      <c r="C43" s="80">
        <v>759.299213361076</v>
      </c>
      <c r="D43" s="80">
        <v>931.02751570303553</v>
      </c>
      <c r="E43" s="83">
        <v>1128.3943456370005</v>
      </c>
      <c r="F43" s="22" t="s">
        <v>240</v>
      </c>
      <c r="G43" s="37">
        <v>48.609971639784305</v>
      </c>
      <c r="H43" s="33">
        <v>21.198818145017938</v>
      </c>
    </row>
    <row r="44" spans="1:8" x14ac:dyDescent="0.2">
      <c r="A44" s="34"/>
      <c r="B44" s="25" t="s">
        <v>241</v>
      </c>
      <c r="C44" s="82">
        <v>572.42747298262861</v>
      </c>
      <c r="D44" s="82">
        <v>632.68119507409972</v>
      </c>
      <c r="E44" s="82">
        <v>792.86233380108104</v>
      </c>
      <c r="F44" s="27"/>
      <c r="G44" s="28">
        <v>38.508784295393497</v>
      </c>
      <c r="H44" s="29">
        <v>25.317828311337891</v>
      </c>
    </row>
    <row r="45" spans="1:8" x14ac:dyDescent="0.2">
      <c r="A45" s="30" t="s">
        <v>67</v>
      </c>
      <c r="B45" s="31" t="s">
        <v>3</v>
      </c>
      <c r="C45" s="80">
        <v>205.76448864684261</v>
      </c>
      <c r="D45" s="80">
        <v>211.08535407145371</v>
      </c>
      <c r="E45" s="83">
        <v>231.4272479164045</v>
      </c>
      <c r="F45" s="22" t="s">
        <v>240</v>
      </c>
      <c r="G45" s="37">
        <v>12.471908752733015</v>
      </c>
      <c r="H45" s="33">
        <v>9.6368096850835627</v>
      </c>
    </row>
    <row r="46" spans="1:8" x14ac:dyDescent="0.2">
      <c r="A46" s="30"/>
      <c r="B46" s="25" t="s">
        <v>241</v>
      </c>
      <c r="C46" s="82">
        <v>141.24184520156302</v>
      </c>
      <c r="D46" s="82">
        <v>154.62336389736777</v>
      </c>
      <c r="E46" s="82">
        <v>165.81286996881883</v>
      </c>
      <c r="F46" s="27"/>
      <c r="G46" s="28">
        <v>17.396420113452265</v>
      </c>
      <c r="H46" s="29">
        <v>7.2366205141405118</v>
      </c>
    </row>
    <row r="47" spans="1:8" x14ac:dyDescent="0.2">
      <c r="A47" s="39" t="s">
        <v>56</v>
      </c>
      <c r="B47" s="31" t="s">
        <v>3</v>
      </c>
      <c r="C47" s="80">
        <v>10.318568645070682</v>
      </c>
      <c r="D47" s="80">
        <v>13.040535450521411</v>
      </c>
      <c r="E47" s="83">
        <v>10.586406407277217</v>
      </c>
      <c r="F47" s="22" t="s">
        <v>240</v>
      </c>
      <c r="G47" s="23">
        <v>2.5956871676623905</v>
      </c>
      <c r="H47" s="24">
        <v>-18.819235241955255</v>
      </c>
    </row>
    <row r="48" spans="1:8" x14ac:dyDescent="0.2">
      <c r="A48" s="34"/>
      <c r="B48" s="25" t="s">
        <v>241</v>
      </c>
      <c r="C48" s="82">
        <v>10.120398241512479</v>
      </c>
      <c r="D48" s="82">
        <v>10.39136734964209</v>
      </c>
      <c r="E48" s="82">
        <v>8.9983226723224252</v>
      </c>
      <c r="F48" s="27"/>
      <c r="G48" s="38">
        <v>-11.087266947534275</v>
      </c>
      <c r="H48" s="24">
        <v>-13.405788001207043</v>
      </c>
    </row>
    <row r="49" spans="1:9" x14ac:dyDescent="0.2">
      <c r="A49" s="39" t="s">
        <v>68</v>
      </c>
      <c r="B49" s="31" t="s">
        <v>3</v>
      </c>
      <c r="C49" s="80">
        <v>4.4052246519785063</v>
      </c>
      <c r="D49" s="80">
        <v>3.8139490570951859</v>
      </c>
      <c r="E49" s="83">
        <v>2.8331022015150769</v>
      </c>
      <c r="F49" s="22" t="s">
        <v>240</v>
      </c>
      <c r="G49" s="37">
        <v>-35.687679395813475</v>
      </c>
      <c r="H49" s="33">
        <v>-25.717355971376037</v>
      </c>
    </row>
    <row r="50" spans="1:9" x14ac:dyDescent="0.2">
      <c r="A50" s="34"/>
      <c r="B50" s="25" t="s">
        <v>241</v>
      </c>
      <c r="C50" s="82">
        <v>4.1459632938712172</v>
      </c>
      <c r="D50" s="82">
        <v>3.2052446452779773</v>
      </c>
      <c r="E50" s="82">
        <v>2.4690411052655974</v>
      </c>
      <c r="F50" s="27"/>
      <c r="G50" s="28">
        <v>-40.447106492344851</v>
      </c>
      <c r="H50" s="29">
        <v>-22.96871601039777</v>
      </c>
    </row>
    <row r="51" spans="1:9" x14ac:dyDescent="0.2">
      <c r="A51" s="30" t="s">
        <v>69</v>
      </c>
      <c r="B51" s="31" t="s">
        <v>3</v>
      </c>
      <c r="C51" s="80">
        <v>151.4127680896845</v>
      </c>
      <c r="D51" s="80">
        <v>146.9987351520891</v>
      </c>
      <c r="E51" s="83">
        <v>169.16992962298315</v>
      </c>
      <c r="F51" s="22" t="s">
        <v>240</v>
      </c>
      <c r="G51" s="23">
        <v>11.727651344951795</v>
      </c>
      <c r="H51" s="24">
        <v>15.082574994917536</v>
      </c>
    </row>
    <row r="52" spans="1:9" ht="13.5" thickBot="1" x14ac:dyDescent="0.25">
      <c r="A52" s="56"/>
      <c r="B52" s="42" t="s">
        <v>241</v>
      </c>
      <c r="C52" s="86">
        <v>114.64096156374244</v>
      </c>
      <c r="D52" s="86">
        <v>118.42583937773482</v>
      </c>
      <c r="E52" s="86">
        <v>133.43928324652711</v>
      </c>
      <c r="F52" s="44"/>
      <c r="G52" s="57">
        <v>16.397561069245285</v>
      </c>
      <c r="H52" s="46">
        <v>12.677506824253896</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9">
        <v>26</v>
      </c>
    </row>
    <row r="62" spans="1:9"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1">
        <v>27</v>
      </c>
      <c r="H52" s="54" t="str">
        <f>+Innhold!B123</f>
        <v>Finans Norge / Skadeforsikringsstatistikk</v>
      </c>
      <c r="N52" s="201">
        <v>28</v>
      </c>
    </row>
    <row r="53" spans="1:14" ht="12.75" customHeight="1" x14ac:dyDescent="0.2">
      <c r="A53" s="54" t="str">
        <f>+Innhold!B124</f>
        <v>Skadestatistikk for landbasert forsikring 3. kvartal 2021</v>
      </c>
      <c r="G53" s="202"/>
      <c r="H53" s="54" t="str">
        <f>+Innhold!B124</f>
        <v>Skadestatistikk for landbasert forsikring 3. kvartal 2021</v>
      </c>
      <c r="N53" s="202"/>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
      <c r="A48" s="197" t="s">
        <v>231</v>
      </c>
      <c r="B48" s="6"/>
      <c r="C48" s="6"/>
      <c r="D48" s="6"/>
      <c r="E48" s="6"/>
      <c r="F48" s="6"/>
      <c r="G48" s="6"/>
      <c r="M48" s="77"/>
    </row>
    <row r="49" spans="1:13" ht="15.6" customHeight="1" x14ac:dyDescent="0.2">
      <c r="A49" s="197" t="s">
        <v>232</v>
      </c>
      <c r="B49" s="6"/>
      <c r="C49" s="6"/>
      <c r="D49" s="6"/>
      <c r="E49" s="6"/>
      <c r="F49" s="6"/>
      <c r="G49" s="6"/>
      <c r="M49" s="77"/>
    </row>
    <row r="50" spans="1:13" ht="15.6" customHeight="1" x14ac:dyDescent="0.2">
      <c r="A50" s="198" t="s">
        <v>233</v>
      </c>
      <c r="B50" s="199"/>
      <c r="C50" s="199"/>
      <c r="D50" s="199"/>
      <c r="E50" s="199"/>
      <c r="F50" s="199"/>
      <c r="G50" s="199"/>
      <c r="H50" s="77"/>
    </row>
    <row r="51" spans="1:13" ht="15.6" customHeight="1" x14ac:dyDescent="0.2">
      <c r="A51" s="54" t="str">
        <f>+Innhold!B123</f>
        <v>Finans Norge / Skadeforsikringsstatistikk</v>
      </c>
      <c r="G51" s="201">
        <v>3</v>
      </c>
      <c r="H51" s="77"/>
    </row>
    <row r="52" spans="1:13" ht="15.6" customHeight="1" x14ac:dyDescent="0.2">
      <c r="A52" s="54" t="str">
        <f>+Innhold!B124</f>
        <v>Skadestatistikk for landbasert forsikring 3. kvartal 2021</v>
      </c>
      <c r="G52" s="202"/>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9"/>
  <sheetViews>
    <sheetView showGridLines="0" showRowColHeaders="0" zoomScaleNormal="100" workbookViewId="0"/>
  </sheetViews>
  <sheetFormatPr defaultColWidth="11.42578125" defaultRowHeight="12.75" x14ac:dyDescent="0.2"/>
  <cols>
    <col min="1" max="1" width="26.42578125" style="166" customWidth="1"/>
    <col min="2" max="2" width="8.140625" style="166" customWidth="1"/>
    <col min="3" max="4" width="10.42578125" style="166" customWidth="1"/>
    <col min="5" max="5" width="9.85546875" style="166" customWidth="1"/>
    <col min="6" max="6" width="1.5703125" style="166" customWidth="1"/>
    <col min="7" max="7" width="7.5703125" style="166" customWidth="1"/>
    <col min="8" max="8" width="8.85546875" style="166" customWidth="1"/>
    <col min="9" max="21" width="11.42578125" style="166" customWidth="1"/>
    <col min="22" max="22" width="15.42578125" style="166" customWidth="1"/>
    <col min="23" max="16384" width="11.42578125" style="166"/>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5">
      <c r="A3" s="147"/>
      <c r="B3" s="2"/>
      <c r="C3" s="2"/>
      <c r="D3" s="2"/>
      <c r="E3" s="2"/>
      <c r="F3" s="2"/>
      <c r="G3" s="2"/>
    </row>
    <row r="4" spans="1:36" s="1" customFormat="1" ht="12.75" customHeight="1" x14ac:dyDescent="0.2">
      <c r="A4" s="203" t="s">
        <v>90</v>
      </c>
      <c r="B4" s="2"/>
      <c r="C4" s="2"/>
      <c r="D4" s="2"/>
      <c r="E4" s="2"/>
      <c r="F4" s="2"/>
      <c r="G4" s="2"/>
      <c r="H4" s="67"/>
    </row>
    <row r="5" spans="1:36" s="1" customFormat="1" ht="12.75" customHeight="1" x14ac:dyDescent="0.2">
      <c r="A5" s="203"/>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ht="15.75" x14ac:dyDescent="0.25">
      <c r="A8" s="147"/>
      <c r="B8" s="2"/>
      <c r="C8" s="2"/>
      <c r="D8" s="2"/>
      <c r="E8" s="2"/>
      <c r="F8" s="2"/>
      <c r="G8" s="2"/>
      <c r="H8" s="67"/>
    </row>
    <row r="9" spans="1:36" s="1" customFormat="1" ht="15.75" x14ac:dyDescent="0.25">
      <c r="A9" s="147"/>
      <c r="B9" s="2"/>
      <c r="C9" s="2"/>
      <c r="D9" s="2"/>
      <c r="E9" s="2"/>
      <c r="F9" s="2"/>
      <c r="G9" s="2"/>
      <c r="H9" s="67"/>
    </row>
    <row r="10" spans="1:36" s="1" customFormat="1" ht="15.75" x14ac:dyDescent="0.25">
      <c r="A10" s="147"/>
      <c r="B10" s="2"/>
      <c r="C10" s="2"/>
      <c r="D10" s="2"/>
      <c r="E10" s="2"/>
      <c r="F10" s="2"/>
      <c r="G10" s="2"/>
      <c r="H10" s="67"/>
    </row>
    <row r="11" spans="1:36" s="1" customFormat="1" ht="15.75" x14ac:dyDescent="0.25">
      <c r="A11" s="147"/>
      <c r="B11" s="2"/>
      <c r="C11" s="2"/>
      <c r="D11" s="2"/>
      <c r="E11" s="2"/>
      <c r="F11" s="2"/>
      <c r="G11" s="2"/>
      <c r="H11" s="67"/>
    </row>
    <row r="12" spans="1:36" s="1" customFormat="1" ht="15.75" x14ac:dyDescent="0.25">
      <c r="A12" s="147"/>
      <c r="B12" s="2"/>
      <c r="C12" s="2"/>
      <c r="D12" s="2"/>
      <c r="E12" s="2"/>
      <c r="F12" s="2"/>
      <c r="G12" s="2"/>
      <c r="H12" s="67"/>
    </row>
    <row r="13" spans="1:36" s="1" customFormat="1" ht="15.75" x14ac:dyDescent="0.25">
      <c r="A13" s="147"/>
      <c r="B13" s="2"/>
      <c r="C13" s="2"/>
      <c r="D13" s="2"/>
      <c r="E13" s="2"/>
      <c r="F13" s="2"/>
      <c r="G13" s="2"/>
      <c r="H13" s="67"/>
    </row>
    <row r="14" spans="1:36" s="1" customFormat="1" ht="15.75" x14ac:dyDescent="0.25">
      <c r="A14" s="147"/>
      <c r="B14" s="2"/>
      <c r="C14" s="2"/>
      <c r="D14" s="2"/>
      <c r="E14" s="2"/>
      <c r="F14" s="2"/>
      <c r="G14" s="2"/>
      <c r="H14" s="67"/>
    </row>
    <row r="15" spans="1:36" s="1" customFormat="1" ht="15.75" x14ac:dyDescent="0.25">
      <c r="A15" s="147"/>
      <c r="B15" s="2"/>
      <c r="C15" s="2"/>
      <c r="D15" s="2"/>
      <c r="E15" s="2"/>
      <c r="F15" s="2"/>
      <c r="G15" s="2"/>
      <c r="H15" s="67"/>
    </row>
    <row r="16" spans="1:36" s="1" customFormat="1" ht="15.75" x14ac:dyDescent="0.25">
      <c r="A16" s="147"/>
      <c r="B16" s="2"/>
      <c r="C16" s="2"/>
      <c r="D16" s="2"/>
      <c r="E16" s="2"/>
      <c r="F16" s="2"/>
      <c r="G16" s="2"/>
      <c r="H16" s="67"/>
    </row>
    <row r="17" spans="1:30" s="1" customFormat="1" ht="15.75" x14ac:dyDescent="0.25">
      <c r="A17" s="147"/>
      <c r="B17" s="2"/>
      <c r="C17" s="2"/>
      <c r="D17" s="2"/>
      <c r="E17" s="2"/>
      <c r="F17" s="2"/>
      <c r="G17" s="2"/>
      <c r="H17" s="67"/>
    </row>
    <row r="18" spans="1:30" s="1" customFormat="1" ht="15.75" x14ac:dyDescent="0.25">
      <c r="A18" s="147"/>
      <c r="B18" s="2"/>
      <c r="C18" s="2"/>
      <c r="D18" s="2"/>
      <c r="E18" s="2"/>
      <c r="F18" s="2"/>
      <c r="G18" s="2"/>
      <c r="H18" s="67"/>
    </row>
    <row r="19" spans="1:30" s="1" customFormat="1" ht="15.75" x14ac:dyDescent="0.25">
      <c r="A19" s="147"/>
      <c r="B19" s="2"/>
      <c r="C19" s="2"/>
      <c r="D19" s="2"/>
      <c r="E19" s="2"/>
      <c r="F19" s="2"/>
      <c r="G19" s="2"/>
      <c r="H19" s="67"/>
    </row>
    <row r="20" spans="1:30" s="1" customFormat="1" ht="15.75" x14ac:dyDescent="0.25">
      <c r="A20" s="147"/>
      <c r="B20" s="2"/>
      <c r="C20" s="2"/>
      <c r="D20" s="2"/>
      <c r="E20" s="2"/>
      <c r="F20" s="2"/>
      <c r="G20" s="2"/>
      <c r="H20" s="67"/>
    </row>
    <row r="21" spans="1:30" s="1" customFormat="1" ht="15.75" x14ac:dyDescent="0.25">
      <c r="A21" s="147"/>
      <c r="B21" s="2"/>
      <c r="C21" s="2"/>
      <c r="D21" s="2"/>
      <c r="E21" s="2"/>
      <c r="F21" s="2"/>
      <c r="G21" s="2"/>
      <c r="H21" s="67"/>
    </row>
    <row r="22" spans="1:30" s="1" customFormat="1" ht="15.75" x14ac:dyDescent="0.25">
      <c r="A22" s="147"/>
      <c r="B22" s="2"/>
      <c r="C22" s="2"/>
      <c r="D22" s="2"/>
      <c r="E22" s="2"/>
      <c r="F22" s="2"/>
      <c r="G22" s="2"/>
      <c r="H22" s="67"/>
    </row>
    <row r="23" spans="1:30" s="1" customFormat="1" ht="15.75" x14ac:dyDescent="0.25">
      <c r="A23" s="147"/>
      <c r="B23" s="2"/>
      <c r="C23" s="2"/>
      <c r="D23" s="2"/>
      <c r="E23" s="2"/>
      <c r="F23" s="2"/>
      <c r="G23" s="2"/>
      <c r="H23" s="67"/>
    </row>
    <row r="24" spans="1:30" s="1" customFormat="1" ht="15.75" x14ac:dyDescent="0.25">
      <c r="A24" s="147"/>
      <c r="B24" s="2"/>
      <c r="C24" s="2"/>
      <c r="D24" s="2"/>
      <c r="E24" s="2"/>
      <c r="F24" s="2"/>
      <c r="G24" s="2"/>
      <c r="H24" s="67"/>
    </row>
    <row r="25" spans="1:30" s="1" customFormat="1" ht="15.75" x14ac:dyDescent="0.25">
      <c r="A25" s="147"/>
      <c r="B25" s="2"/>
      <c r="C25" s="2"/>
      <c r="D25" s="2"/>
      <c r="E25" s="2"/>
      <c r="F25" s="2"/>
      <c r="G25" s="2"/>
      <c r="H25" s="67"/>
    </row>
    <row r="26" spans="1:30" s="1" customFormat="1" ht="15.75" x14ac:dyDescent="0.25">
      <c r="A26" s="147"/>
      <c r="B26" s="2"/>
      <c r="C26" s="2"/>
      <c r="D26" s="2"/>
      <c r="E26" s="2"/>
      <c r="F26" s="2"/>
      <c r="G26" s="2"/>
      <c r="H26" s="67"/>
    </row>
    <row r="27" spans="1:30" s="1" customFormat="1" ht="15.75" x14ac:dyDescent="0.25">
      <c r="A27" s="147"/>
      <c r="B27" s="2"/>
      <c r="C27" s="2"/>
      <c r="D27" s="2"/>
      <c r="E27" s="2"/>
      <c r="F27" s="2"/>
      <c r="G27" s="2"/>
      <c r="H27" s="67"/>
    </row>
    <row r="28" spans="1:30" s="1" customFormat="1" ht="15.75" x14ac:dyDescent="0.25">
      <c r="A28" s="147"/>
      <c r="B28" s="2"/>
      <c r="C28" s="2"/>
      <c r="D28" s="2"/>
      <c r="E28" s="2"/>
      <c r="F28" s="2"/>
      <c r="G28" s="2"/>
      <c r="H28" s="67"/>
    </row>
    <row r="29" spans="1:30" s="1" customFormat="1" ht="15.75" x14ac:dyDescent="0.25">
      <c r="A29" s="147"/>
      <c r="B29" s="2"/>
      <c r="C29" s="2"/>
      <c r="D29" s="2"/>
      <c r="E29" s="2"/>
      <c r="F29" s="2"/>
      <c r="G29" s="2"/>
      <c r="H29" s="67"/>
    </row>
    <row r="30" spans="1:30" s="1" customFormat="1" ht="15.75" x14ac:dyDescent="0.25">
      <c r="A30" s="147"/>
      <c r="B30" s="2"/>
      <c r="C30" s="2"/>
      <c r="D30" s="2"/>
      <c r="E30" s="2"/>
      <c r="F30" s="2"/>
      <c r="G30" s="2"/>
      <c r="H30" s="67"/>
    </row>
    <row r="31" spans="1:30" s="1" customFormat="1" ht="15.75" x14ac:dyDescent="0.25">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2021</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ht="15.75" x14ac:dyDescent="0.25">
      <c r="A33" s="147"/>
      <c r="B33" s="2"/>
      <c r="C33" s="2"/>
      <c r="D33" s="2"/>
      <c r="E33" s="2"/>
      <c r="F33" s="2"/>
      <c r="G33" s="2"/>
      <c r="H33" s="67"/>
    </row>
    <row r="34" spans="1:8" s="1" customFormat="1" ht="15.75" x14ac:dyDescent="0.25">
      <c r="A34" s="147"/>
      <c r="B34" s="2"/>
      <c r="C34" s="2"/>
      <c r="D34" s="2"/>
      <c r="E34" s="2"/>
      <c r="F34" s="2"/>
      <c r="G34" s="2"/>
      <c r="H34" s="67"/>
    </row>
    <row r="35" spans="1:8" s="1" customFormat="1" ht="15.75" x14ac:dyDescent="0.25">
      <c r="A35" s="147"/>
      <c r="B35" s="2"/>
      <c r="C35" s="2"/>
      <c r="D35" s="2"/>
      <c r="E35" s="2"/>
      <c r="F35" s="2"/>
      <c r="G35" s="2"/>
      <c r="H35" s="67"/>
    </row>
    <row r="36" spans="1:8" s="1" customFormat="1" ht="15.75" x14ac:dyDescent="0.25">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1">
        <v>4</v>
      </c>
      <c r="I61" s="54" t="str">
        <f>+Innhold!B123</f>
        <v>Finans Norge / Skadeforsikringsstatistikk</v>
      </c>
      <c r="O61" s="201">
        <v>5</v>
      </c>
      <c r="P61" s="54" t="str">
        <f>+Innhold!B123</f>
        <v>Finans Norge / Skadeforsikringsstatistikk</v>
      </c>
      <c r="V61" s="201">
        <v>6</v>
      </c>
      <c r="W61" s="54" t="str">
        <f>+Innhold!B123</f>
        <v>Finans Norge / Skadeforsikringsstatistikk</v>
      </c>
      <c r="AC61" s="201">
        <v>7</v>
      </c>
      <c r="AD61" s="54" t="str">
        <f>+Innhold!B123</f>
        <v>Finans Norge / Skadeforsikringsstatistikk</v>
      </c>
      <c r="AJ61" s="201">
        <v>8</v>
      </c>
    </row>
    <row r="62" spans="1:36" s="1" customFormat="1" x14ac:dyDescent="0.2">
      <c r="A62" s="54" t="str">
        <f>+Innhold!B124</f>
        <v>Skadestatistikk for landbasert forsikring 3. kvartal 2021</v>
      </c>
      <c r="H62" s="202"/>
      <c r="I62" s="54" t="str">
        <f>+Innhold!B124</f>
        <v>Skadestatistikk for landbasert forsikring 3. kvartal 2021</v>
      </c>
      <c r="O62" s="202"/>
      <c r="P62" s="54" t="str">
        <f>+Innhold!B124</f>
        <v>Skadestatistikk for landbasert forsikring 3. kvartal 2021</v>
      </c>
      <c r="V62" s="202"/>
      <c r="W62" s="54" t="str">
        <f>+Innhold!B124</f>
        <v>Skadestatistikk for landbasert forsikring 3. kvartal 2021</v>
      </c>
      <c r="AC62" s="202"/>
      <c r="AD62" s="54" t="str">
        <f>+Innhold!B124</f>
        <v>Skadestatistikk for landbasert forsikring 3. kvartal 2021</v>
      </c>
      <c r="AJ62" s="202"/>
    </row>
    <row r="67" spans="1:26" ht="12.75" customHeight="1" x14ac:dyDescent="0.2"/>
    <row r="68" spans="1:26" ht="12.75" customHeight="1" x14ac:dyDescent="0.2">
      <c r="M68" s="167" t="s">
        <v>177</v>
      </c>
      <c r="P68" s="167" t="s">
        <v>179</v>
      </c>
      <c r="S68" s="167" t="s">
        <v>178</v>
      </c>
    </row>
    <row r="69" spans="1:26" x14ac:dyDescent="0.2">
      <c r="A69" s="168" t="s">
        <v>183</v>
      </c>
      <c r="B69" s="169"/>
      <c r="C69" s="169"/>
      <c r="D69" s="169" t="s">
        <v>74</v>
      </c>
      <c r="E69" s="169"/>
      <c r="F69" s="169"/>
      <c r="G69" s="169"/>
      <c r="H69" s="168"/>
      <c r="I69" s="170">
        <v>156.38500000000002</v>
      </c>
      <c r="J69" s="171" t="s">
        <v>234</v>
      </c>
      <c r="M69" s="167" t="s">
        <v>161</v>
      </c>
      <c r="P69" s="167" t="s">
        <v>175</v>
      </c>
      <c r="S69" s="167" t="s">
        <v>176</v>
      </c>
      <c r="V69" s="168" t="s">
        <v>184</v>
      </c>
      <c r="W69" s="169"/>
      <c r="X69" s="169"/>
      <c r="Y69" s="169"/>
      <c r="Z69" s="169"/>
    </row>
    <row r="70" spans="1:26" x14ac:dyDescent="0.2">
      <c r="A70" s="169" t="s">
        <v>75</v>
      </c>
      <c r="B70" s="169" t="s">
        <v>76</v>
      </c>
      <c r="C70" s="169" t="s">
        <v>26</v>
      </c>
      <c r="D70" s="169" t="s">
        <v>77</v>
      </c>
      <c r="E70" s="169"/>
      <c r="F70" s="169"/>
      <c r="G70" s="169"/>
      <c r="I70" s="172" t="s">
        <v>159</v>
      </c>
      <c r="J70" s="166" t="s">
        <v>229</v>
      </c>
      <c r="K70" s="172" t="s">
        <v>76</v>
      </c>
      <c r="L70" s="172" t="s">
        <v>108</v>
      </c>
      <c r="M70" s="172" t="s">
        <v>157</v>
      </c>
      <c r="N70" s="172" t="s">
        <v>158</v>
      </c>
      <c r="O70" s="172" t="s">
        <v>108</v>
      </c>
      <c r="P70" s="172" t="s">
        <v>157</v>
      </c>
      <c r="Q70" s="172" t="s">
        <v>158</v>
      </c>
      <c r="R70" s="172" t="s">
        <v>108</v>
      </c>
      <c r="S70" s="172" t="s">
        <v>157</v>
      </c>
      <c r="T70" s="172" t="s">
        <v>158</v>
      </c>
      <c r="V70" s="169" t="s">
        <v>81</v>
      </c>
      <c r="W70" s="169"/>
      <c r="X70" s="173" t="str">
        <f>+'Tab3'!C6</f>
        <v>2019</v>
      </c>
      <c r="Y70" s="173" t="str">
        <f>+'Tab3'!D6</f>
        <v>2020</v>
      </c>
      <c r="Z70" s="173" t="str">
        <f>+'Tab3'!E6</f>
        <v>2021</v>
      </c>
    </row>
    <row r="71" spans="1:26" x14ac:dyDescent="0.2">
      <c r="A71" s="169">
        <v>1</v>
      </c>
      <c r="B71" s="169">
        <v>1983</v>
      </c>
      <c r="C71" s="169">
        <v>97</v>
      </c>
      <c r="D71" s="169">
        <v>78.3</v>
      </c>
      <c r="E71" s="169"/>
      <c r="F71" s="169"/>
      <c r="G71" s="169"/>
      <c r="I71" s="174">
        <v>53.8</v>
      </c>
      <c r="J71" s="166">
        <v>1</v>
      </c>
      <c r="K71" s="166">
        <v>1983</v>
      </c>
      <c r="L71" s="175">
        <v>11621</v>
      </c>
      <c r="M71" s="174">
        <v>80.900000000000006</v>
      </c>
      <c r="N71" s="174">
        <f t="shared" ref="N71:N102" si="0">M71/I71*$I$69</f>
        <v>235.15885687732347</v>
      </c>
      <c r="V71" s="169"/>
      <c r="W71" s="169"/>
      <c r="X71" s="169"/>
      <c r="Y71" s="169"/>
      <c r="Z71" s="169"/>
    </row>
    <row r="72" spans="1:26" x14ac:dyDescent="0.2">
      <c r="A72" s="169">
        <v>2</v>
      </c>
      <c r="B72" s="169"/>
      <c r="C72" s="169">
        <v>78.8</v>
      </c>
      <c r="D72" s="169">
        <v>61.3</v>
      </c>
      <c r="E72" s="169"/>
      <c r="F72" s="169"/>
      <c r="G72" s="169"/>
      <c r="I72" s="174">
        <v>54.7</v>
      </c>
      <c r="J72" s="166">
        <v>2</v>
      </c>
      <c r="L72" s="175">
        <v>11120</v>
      </c>
      <c r="M72" s="174">
        <v>68.900000000000006</v>
      </c>
      <c r="N72" s="174">
        <f t="shared" si="0"/>
        <v>196.98220292504575</v>
      </c>
      <c r="V72" s="169" t="s">
        <v>26</v>
      </c>
      <c r="W72" s="169"/>
      <c r="X72" s="176">
        <f>IF('Tab6'!C36="",'Tab6'!C35,'Tab6'!C36)</f>
        <v>11785.877422397118</v>
      </c>
      <c r="Y72" s="176">
        <f>IF('Tab6'!D36="",'Tab6'!D35,'Tab6'!D36)</f>
        <v>11840.02652108962</v>
      </c>
      <c r="Z72" s="176">
        <f>IF('Tab6'!E36="",'Tab6'!E35,'Tab6'!E36)</f>
        <v>12207.143268508205</v>
      </c>
    </row>
    <row r="73" spans="1:26" x14ac:dyDescent="0.2">
      <c r="A73" s="169">
        <v>3</v>
      </c>
      <c r="B73" s="169"/>
      <c r="C73" s="169">
        <v>84.8</v>
      </c>
      <c r="D73" s="169">
        <v>63</v>
      </c>
      <c r="E73" s="169"/>
      <c r="F73" s="169"/>
      <c r="G73" s="169"/>
      <c r="I73" s="174">
        <v>55.3</v>
      </c>
      <c r="J73" s="166">
        <v>3</v>
      </c>
      <c r="L73" s="175">
        <v>11918</v>
      </c>
      <c r="M73" s="174">
        <v>63.7</v>
      </c>
      <c r="N73" s="174">
        <f t="shared" si="0"/>
        <v>180.13968354430384</v>
      </c>
      <c r="V73" s="169"/>
      <c r="W73" s="169"/>
      <c r="X73" s="176"/>
      <c r="Y73" s="176"/>
      <c r="Z73" s="176"/>
    </row>
    <row r="74" spans="1:26" x14ac:dyDescent="0.2">
      <c r="A74" s="169">
        <v>4</v>
      </c>
      <c r="B74" s="169"/>
      <c r="C74" s="169">
        <v>91.2</v>
      </c>
      <c r="D74" s="169">
        <v>70.8</v>
      </c>
      <c r="E74" s="169"/>
      <c r="F74" s="169"/>
      <c r="G74" s="169"/>
      <c r="I74" s="174">
        <v>56.2</v>
      </c>
      <c r="J74" s="166">
        <v>4</v>
      </c>
      <c r="L74" s="175">
        <v>11905</v>
      </c>
      <c r="M74" s="174">
        <v>79.3</v>
      </c>
      <c r="N74" s="174">
        <f t="shared" si="0"/>
        <v>220.664243772242</v>
      </c>
      <c r="V74" s="169" t="s">
        <v>63</v>
      </c>
      <c r="W74" s="169"/>
      <c r="X74" s="176">
        <f>IF('Tab6'!C36="",'Tab6'!C45+'Tab6'!C47,'Tab6'!C46+'Tab6'!C48)</f>
        <v>200.01817101242716</v>
      </c>
      <c r="Y74" s="176">
        <f>IF('Tab6'!D36="",'Tab6'!D45+'Tab6'!D47,'Tab6'!D46+'Tab6'!D48)</f>
        <v>158.4118404564264</v>
      </c>
      <c r="Z74" s="176">
        <f>IF('Tab6'!E36="",'Tab6'!E45+'Tab6'!E47,'Tab6'!E46+'Tab6'!E48)</f>
        <v>114.36776553901865</v>
      </c>
    </row>
    <row r="75" spans="1:26" x14ac:dyDescent="0.2">
      <c r="A75" s="169">
        <v>1</v>
      </c>
      <c r="B75" s="169">
        <v>1984</v>
      </c>
      <c r="C75" s="169">
        <v>112.2</v>
      </c>
      <c r="D75" s="169">
        <v>90.4</v>
      </c>
      <c r="E75" s="169"/>
      <c r="F75" s="169"/>
      <c r="G75" s="169"/>
      <c r="I75" s="174">
        <v>57.3</v>
      </c>
      <c r="J75" s="166">
        <v>1</v>
      </c>
      <c r="K75" s="166">
        <v>1984</v>
      </c>
      <c r="L75" s="175">
        <v>13205</v>
      </c>
      <c r="M75" s="174">
        <v>86.7</v>
      </c>
      <c r="N75" s="174">
        <f t="shared" si="0"/>
        <v>236.6244240837697</v>
      </c>
      <c r="V75" s="169" t="s">
        <v>39</v>
      </c>
      <c r="W75" s="169"/>
      <c r="X75" s="176">
        <f>IF('Tab6'!C36="",'Tab6'!C49,'Tab6'!C50)</f>
        <v>1202.7920383883024</v>
      </c>
      <c r="Y75" s="176">
        <f>IF('Tab6'!D36="",'Tab6'!D49,'Tab6'!D50)</f>
        <v>1318.6882112382614</v>
      </c>
      <c r="Z75" s="176">
        <f>IF('Tab6'!E36="",'Tab6'!E49,'Tab6'!E50)</f>
        <v>1263.6718574092993</v>
      </c>
    </row>
    <row r="76" spans="1:26" x14ac:dyDescent="0.2">
      <c r="A76" s="169">
        <v>2</v>
      </c>
      <c r="B76" s="169"/>
      <c r="C76" s="169">
        <v>81.8</v>
      </c>
      <c r="D76" s="169">
        <v>64.400000000000006</v>
      </c>
      <c r="E76" s="169"/>
      <c r="F76" s="169"/>
      <c r="G76" s="169"/>
      <c r="I76" s="174">
        <v>58.2</v>
      </c>
      <c r="J76" s="166">
        <v>2</v>
      </c>
      <c r="L76" s="175">
        <v>12453</v>
      </c>
      <c r="M76" s="174">
        <v>83.3</v>
      </c>
      <c r="N76" s="174">
        <f t="shared" si="0"/>
        <v>223.82939003436425</v>
      </c>
      <c r="V76" s="169" t="s">
        <v>18</v>
      </c>
      <c r="W76" s="169"/>
      <c r="X76" s="176">
        <f>IF('Tab6'!C36="",'Tab6'!C43,'Tab6'!C44)</f>
        <v>211.31382226645789</v>
      </c>
      <c r="Y76" s="176">
        <f>IF('Tab6'!D36="",'Tab6'!D43,'Tab6'!D44)</f>
        <v>332.71894143146426</v>
      </c>
      <c r="Z76" s="176">
        <f>IF('Tab6'!E36="",'Tab6'!E43,'Tab6'!E44)</f>
        <v>218.66279462913724</v>
      </c>
    </row>
    <row r="77" spans="1:26" x14ac:dyDescent="0.2">
      <c r="A77" s="169">
        <v>3</v>
      </c>
      <c r="B77" s="169"/>
      <c r="C77" s="169">
        <v>90.4</v>
      </c>
      <c r="D77" s="169">
        <v>71.099999999999994</v>
      </c>
      <c r="E77" s="169"/>
      <c r="F77" s="169"/>
      <c r="G77" s="169"/>
      <c r="I77" s="174">
        <v>58.7</v>
      </c>
      <c r="J77" s="166">
        <v>3</v>
      </c>
      <c r="L77" s="175">
        <v>12278</v>
      </c>
      <c r="M77" s="174">
        <v>83.3</v>
      </c>
      <c r="N77" s="174">
        <f t="shared" si="0"/>
        <v>221.92283645655877</v>
      </c>
      <c r="V77" s="169" t="s">
        <v>82</v>
      </c>
      <c r="W77" s="169"/>
      <c r="X77" s="176">
        <f>IF('Tab6'!C36="",'Tab6'!C37+'Tab6'!C39,'Tab6'!C38+'Tab6'!C40)</f>
        <v>1102.1823438931713</v>
      </c>
      <c r="Y77" s="176">
        <f>IF('Tab6'!D36="",'Tab6'!D37+'Tab6'!D39,'Tab6'!D38+'Tab6'!D40)</f>
        <v>972.64587636951751</v>
      </c>
      <c r="Z77" s="176">
        <f>IF('Tab6'!E36="",'Tab6'!E37+'Tab6'!E39,'Tab6'!E38+'Tab6'!E40)</f>
        <v>969.25038351362844</v>
      </c>
    </row>
    <row r="78" spans="1:26" x14ac:dyDescent="0.2">
      <c r="A78" s="169">
        <v>4</v>
      </c>
      <c r="B78" s="169"/>
      <c r="C78" s="169">
        <v>92.9</v>
      </c>
      <c r="D78" s="169">
        <v>73.900000000000006</v>
      </c>
      <c r="E78" s="169"/>
      <c r="F78" s="169"/>
      <c r="G78" s="169"/>
      <c r="I78" s="174">
        <v>59.6</v>
      </c>
      <c r="J78" s="166">
        <v>4</v>
      </c>
      <c r="L78" s="175">
        <v>11449</v>
      </c>
      <c r="M78" s="174">
        <v>94.6</v>
      </c>
      <c r="N78" s="174">
        <f t="shared" si="0"/>
        <v>248.22182885906039</v>
      </c>
      <c r="V78" s="169" t="s">
        <v>83</v>
      </c>
      <c r="W78" s="169"/>
      <c r="X78" s="177">
        <f>X72-X77-X76-X75-X74</f>
        <v>9069.5710468367579</v>
      </c>
      <c r="Y78" s="177">
        <f>Y72-Y77-Y76-Y75-Y74</f>
        <v>9057.561651593951</v>
      </c>
      <c r="Z78" s="177">
        <f>Z72-Z77-Z76-Z75-Z74</f>
        <v>9641.1904674171219</v>
      </c>
    </row>
    <row r="79" spans="1:26" x14ac:dyDescent="0.2">
      <c r="A79" s="169">
        <v>1</v>
      </c>
      <c r="B79" s="169">
        <v>1985</v>
      </c>
      <c r="C79" s="169">
        <v>123.4</v>
      </c>
      <c r="D79" s="169">
        <v>100.8</v>
      </c>
      <c r="E79" s="169"/>
      <c r="F79" s="169"/>
      <c r="G79" s="169"/>
      <c r="I79" s="174">
        <v>60.4</v>
      </c>
      <c r="J79" s="166">
        <v>1</v>
      </c>
      <c r="K79" s="166">
        <v>1985</v>
      </c>
      <c r="L79" s="175">
        <v>16918</v>
      </c>
      <c r="M79" s="174">
        <v>103.6</v>
      </c>
      <c r="N79" s="174">
        <f t="shared" si="0"/>
        <v>268.23652317880794</v>
      </c>
      <c r="V79" s="169"/>
      <c r="W79" s="169"/>
      <c r="X79" s="169"/>
      <c r="Y79" s="169"/>
      <c r="Z79" s="169"/>
    </row>
    <row r="80" spans="1:26" x14ac:dyDescent="0.2">
      <c r="A80" s="169">
        <v>2</v>
      </c>
      <c r="B80" s="169"/>
      <c r="C80" s="169">
        <v>102</v>
      </c>
      <c r="D80" s="169">
        <v>81.099999999999994</v>
      </c>
      <c r="E80" s="169"/>
      <c r="F80" s="169"/>
      <c r="G80" s="169"/>
      <c r="I80" s="174">
        <v>61.5</v>
      </c>
      <c r="J80" s="166">
        <v>2</v>
      </c>
      <c r="L80" s="175">
        <v>14237</v>
      </c>
      <c r="M80" s="174">
        <v>115.3</v>
      </c>
      <c r="N80" s="174">
        <f t="shared" si="0"/>
        <v>293.19008943089432</v>
      </c>
      <c r="V80" s="168" t="s">
        <v>162</v>
      </c>
      <c r="W80" s="169"/>
      <c r="X80" s="169"/>
      <c r="Y80" s="169"/>
    </row>
    <row r="81" spans="1:25" x14ac:dyDescent="0.2">
      <c r="A81" s="169">
        <v>3</v>
      </c>
      <c r="B81" s="169"/>
      <c r="C81" s="169">
        <v>108.4</v>
      </c>
      <c r="D81" s="169">
        <v>86</v>
      </c>
      <c r="E81" s="169"/>
      <c r="F81" s="169"/>
      <c r="G81" s="169"/>
      <c r="I81" s="174">
        <v>62</v>
      </c>
      <c r="J81" s="166">
        <v>3</v>
      </c>
      <c r="L81" s="175">
        <v>14329</v>
      </c>
      <c r="M81" s="174">
        <v>103</v>
      </c>
      <c r="N81" s="174">
        <f t="shared" si="0"/>
        <v>259.80088709677426</v>
      </c>
      <c r="V81" s="169"/>
      <c r="W81" s="169"/>
      <c r="X81" s="169"/>
      <c r="Y81" s="169"/>
    </row>
    <row r="82" spans="1:25" x14ac:dyDescent="0.2">
      <c r="A82" s="169">
        <v>4</v>
      </c>
      <c r="B82" s="169"/>
      <c r="C82" s="169">
        <v>109.6</v>
      </c>
      <c r="D82" s="169">
        <v>87.1</v>
      </c>
      <c r="E82" s="169"/>
      <c r="F82" s="169"/>
      <c r="G82" s="169"/>
      <c r="I82" s="174">
        <v>63</v>
      </c>
      <c r="J82" s="166">
        <v>4</v>
      </c>
      <c r="L82" s="175">
        <v>13060</v>
      </c>
      <c r="M82" s="174">
        <v>118.7</v>
      </c>
      <c r="N82" s="174">
        <f t="shared" si="0"/>
        <v>294.64919841269847</v>
      </c>
      <c r="V82" s="169"/>
      <c r="W82" s="173" t="str">
        <f>+'Tab4'!C6</f>
        <v>2019</v>
      </c>
      <c r="X82" s="173" t="str">
        <f>+'Tab4'!D6</f>
        <v>2020</v>
      </c>
      <c r="Y82" s="173" t="str">
        <f>+'Tab4'!E6</f>
        <v>2021</v>
      </c>
    </row>
    <row r="83" spans="1:25" x14ac:dyDescent="0.2">
      <c r="A83" s="169">
        <v>1</v>
      </c>
      <c r="B83" s="169">
        <v>1986</v>
      </c>
      <c r="C83" s="169">
        <v>141</v>
      </c>
      <c r="D83" s="169">
        <v>115.2</v>
      </c>
      <c r="E83" s="169"/>
      <c r="F83" s="169"/>
      <c r="G83" s="169"/>
      <c r="I83" s="174">
        <v>64</v>
      </c>
      <c r="J83" s="166">
        <v>1</v>
      </c>
      <c r="K83" s="166">
        <v>1986</v>
      </c>
      <c r="L83" s="175">
        <v>14314</v>
      </c>
      <c r="M83" s="174">
        <v>111.8</v>
      </c>
      <c r="N83" s="174">
        <f t="shared" si="0"/>
        <v>273.18504687500001</v>
      </c>
      <c r="V83" s="169" t="s">
        <v>84</v>
      </c>
      <c r="W83" s="176">
        <f>IF('Tab4'!C14="",'Tab4'!C13,'Tab4'!C14)</f>
        <v>6540.8636296685318</v>
      </c>
      <c r="X83" s="176">
        <f>IF('Tab4'!D14="",'Tab4'!D13,'Tab4'!D14)</f>
        <v>6389.0238891145436</v>
      </c>
      <c r="Y83" s="176">
        <f>IF('Tab4'!E14="",'Tab4'!E13,'Tab4'!E14)</f>
        <v>7045.6600904351508</v>
      </c>
    </row>
    <row r="84" spans="1:25" x14ac:dyDescent="0.2">
      <c r="A84" s="169">
        <v>2</v>
      </c>
      <c r="B84" s="169"/>
      <c r="C84" s="169">
        <v>120.5</v>
      </c>
      <c r="D84" s="169">
        <v>93.2</v>
      </c>
      <c r="E84" s="169"/>
      <c r="F84" s="169"/>
      <c r="G84" s="169"/>
      <c r="I84" s="174">
        <v>65</v>
      </c>
      <c r="J84" s="166">
        <v>2</v>
      </c>
      <c r="L84" s="175">
        <v>13505</v>
      </c>
      <c r="M84" s="174">
        <v>121.5</v>
      </c>
      <c r="N84" s="174">
        <f t="shared" si="0"/>
        <v>292.31965384615387</v>
      </c>
      <c r="V84" s="169" t="s">
        <v>169</v>
      </c>
      <c r="W84" s="176">
        <f>IF('Tab4'!C16="",'Tab4'!C15,'Tab4'!C16)</f>
        <v>4767.1996395704155</v>
      </c>
      <c r="X84" s="176">
        <f>IF('Tab4'!D16="",'Tab4'!D15,'Tab4'!D16)</f>
        <v>4539.8772908809278</v>
      </c>
      <c r="Y84" s="176">
        <f>IF('Tab4'!E16="",'Tab4'!E15,'Tab4'!E16)</f>
        <v>4668.5546809425559</v>
      </c>
    </row>
    <row r="85" spans="1:25" x14ac:dyDescent="0.2">
      <c r="A85" s="169">
        <v>3</v>
      </c>
      <c r="B85" s="169"/>
      <c r="C85" s="169">
        <v>115.7</v>
      </c>
      <c r="D85" s="169">
        <v>91.1</v>
      </c>
      <c r="E85" s="169"/>
      <c r="F85" s="169"/>
      <c r="G85" s="169"/>
      <c r="I85" s="174">
        <v>67</v>
      </c>
      <c r="J85" s="166">
        <v>3</v>
      </c>
      <c r="L85" s="175">
        <v>12132</v>
      </c>
      <c r="M85" s="174">
        <v>100.8</v>
      </c>
      <c r="N85" s="174">
        <f t="shared" si="0"/>
        <v>235.27773134328362</v>
      </c>
      <c r="V85" s="169" t="s">
        <v>7</v>
      </c>
      <c r="W85" s="176">
        <f>IF('Tab4'!C18="",'Tab4'!C17,'Tab4'!C18)</f>
        <v>1538.0958501144171</v>
      </c>
      <c r="X85" s="176">
        <f>IF('Tab4'!D18="",'Tab4'!D17,'Tab4'!D18)</f>
        <v>1346.5649977752034</v>
      </c>
      <c r="Y85" s="176">
        <f>IF('Tab4'!E18="",'Tab4'!E17,'Tab4'!E18)</f>
        <v>1366.2038966588648</v>
      </c>
    </row>
    <row r="86" spans="1:25" x14ac:dyDescent="0.2">
      <c r="A86" s="169">
        <v>4</v>
      </c>
      <c r="B86" s="169"/>
      <c r="C86" s="169">
        <v>114.4</v>
      </c>
      <c r="D86" s="169">
        <v>90.8</v>
      </c>
      <c r="E86" s="169"/>
      <c r="F86" s="169"/>
      <c r="G86" s="169"/>
      <c r="I86" s="174">
        <v>68.5</v>
      </c>
      <c r="J86" s="166">
        <v>4</v>
      </c>
      <c r="L86" s="175">
        <v>11763</v>
      </c>
      <c r="M86" s="174">
        <v>120.6</v>
      </c>
      <c r="N86" s="174">
        <f t="shared" si="0"/>
        <v>275.32891970802922</v>
      </c>
      <c r="V86" s="166" t="s">
        <v>8</v>
      </c>
      <c r="W86" s="176">
        <f>IF('Tab4'!C20="",'Tab4'!C19,'Tab4'!C20)</f>
        <v>1281.1842179109667</v>
      </c>
      <c r="X86" s="176">
        <f>IF('Tab4'!D20="",'Tab4'!D19,'Tab4'!D20)</f>
        <v>1496.9494315651552</v>
      </c>
      <c r="Y86" s="176">
        <f>IF('Tab4'!E20="",'Tab4'!E19,'Tab4'!E20)</f>
        <v>1784.3249974431346</v>
      </c>
    </row>
    <row r="87" spans="1:25" x14ac:dyDescent="0.2">
      <c r="A87" s="169">
        <v>1</v>
      </c>
      <c r="B87" s="169">
        <v>1987</v>
      </c>
      <c r="C87" s="169">
        <v>152.19999999999999</v>
      </c>
      <c r="D87" s="169">
        <v>121.3</v>
      </c>
      <c r="E87" s="169"/>
      <c r="F87" s="169"/>
      <c r="G87" s="169"/>
      <c r="I87" s="174">
        <v>70.5</v>
      </c>
      <c r="J87" s="166">
        <v>1</v>
      </c>
      <c r="K87" s="166">
        <v>1987</v>
      </c>
      <c r="L87" s="175">
        <v>17280</v>
      </c>
      <c r="M87" s="174">
        <v>135.6</v>
      </c>
      <c r="N87" s="174">
        <f t="shared" si="0"/>
        <v>300.79157446808512</v>
      </c>
      <c r="V87" s="169" t="s">
        <v>9</v>
      </c>
      <c r="W87" s="176">
        <f>IF('Tab4'!C20="",'Tab4'!C21,'Tab4'!C22)</f>
        <v>567.3578591433693</v>
      </c>
      <c r="X87" s="176">
        <f>IF('Tab4'!D20="",'Tab4'!D21,'Tab4'!D22)</f>
        <v>621.67456663159805</v>
      </c>
      <c r="Y87" s="176">
        <f>IF('Tab4'!E20="",'Tab4'!E21,'Tab4'!E22)</f>
        <v>720.86371230413965</v>
      </c>
    </row>
    <row r="88" spans="1:25" x14ac:dyDescent="0.2">
      <c r="A88" s="169">
        <v>2</v>
      </c>
      <c r="B88" s="169"/>
      <c r="C88" s="169">
        <v>109.2</v>
      </c>
      <c r="D88" s="169">
        <v>86.1</v>
      </c>
      <c r="E88" s="169"/>
      <c r="F88" s="169"/>
      <c r="G88" s="169"/>
      <c r="I88" s="174">
        <v>71.599999999999994</v>
      </c>
      <c r="J88" s="166">
        <v>2</v>
      </c>
      <c r="L88" s="175">
        <v>12241</v>
      </c>
      <c r="M88" s="174">
        <v>135.9</v>
      </c>
      <c r="N88" s="174">
        <f t="shared" si="0"/>
        <v>296.82571927374306</v>
      </c>
      <c r="V88" s="169" t="s">
        <v>10</v>
      </c>
      <c r="W88" s="176">
        <f>IF('Tab4'!C22="",'Tab4'!C29,'Tab4'!C30)</f>
        <v>1851.682857968809</v>
      </c>
      <c r="X88" s="176">
        <f>IF('Tab4'!D22="",'Tab4'!D29,'Tab4'!D30)</f>
        <v>2135.9802845817817</v>
      </c>
      <c r="Y88" s="176">
        <f>IF('Tab4'!E22="",'Tab4'!E29,'Tab4'!E30)</f>
        <v>459.27839719113013</v>
      </c>
    </row>
    <row r="89" spans="1:25" x14ac:dyDescent="0.2">
      <c r="A89" s="169">
        <v>3</v>
      </c>
      <c r="B89" s="169"/>
      <c r="C89" s="169">
        <v>110.1</v>
      </c>
      <c r="D89" s="169">
        <v>87.3</v>
      </c>
      <c r="E89" s="169"/>
      <c r="F89" s="169"/>
      <c r="G89" s="169"/>
      <c r="I89" s="174">
        <v>72.3</v>
      </c>
      <c r="J89" s="166">
        <v>3</v>
      </c>
      <c r="L89" s="175">
        <v>11506</v>
      </c>
      <c r="M89" s="174">
        <v>112.3</v>
      </c>
      <c r="N89" s="174">
        <f t="shared" si="0"/>
        <v>242.90505532503462</v>
      </c>
      <c r="V89" s="169" t="s">
        <v>11</v>
      </c>
      <c r="W89" s="176">
        <f>IF('Tab4'!C30="",'Tab4'!C31,'Tab4'!C32)</f>
        <v>434.7220534550143</v>
      </c>
      <c r="X89" s="176">
        <f>IF('Tab4'!D30="",'Tab4'!D31,'Tab4'!D32)</f>
        <v>517.48476821085421</v>
      </c>
      <c r="Y89" s="176">
        <f>IF('Tab4'!E30="",'Tab4'!E31,'Tab4'!E32)</f>
        <v>498.32076263552295</v>
      </c>
    </row>
    <row r="90" spans="1:25" x14ac:dyDescent="0.2">
      <c r="A90" s="169">
        <v>4</v>
      </c>
      <c r="B90" s="169"/>
      <c r="C90" s="169">
        <v>112</v>
      </c>
      <c r="D90" s="169">
        <v>89.8</v>
      </c>
      <c r="E90" s="169"/>
      <c r="F90" s="169"/>
      <c r="G90" s="169"/>
      <c r="I90" s="174">
        <v>73.599999999999994</v>
      </c>
      <c r="J90" s="166">
        <v>4</v>
      </c>
      <c r="L90" s="175">
        <v>12860</v>
      </c>
      <c r="M90" s="174">
        <v>134.5</v>
      </c>
      <c r="N90" s="174">
        <f t="shared" si="0"/>
        <v>285.78508831521742</v>
      </c>
      <c r="V90" s="169" t="s">
        <v>12</v>
      </c>
      <c r="W90" s="176">
        <f>IF('Tab4'!C32="",'Tab4'!C33,'Tab4'!C34)</f>
        <v>893.73782567895341</v>
      </c>
      <c r="X90" s="176">
        <f>IF('Tab4'!D32="",'Tab4'!D33,'Tab4'!D34)</f>
        <v>973.3508217150146</v>
      </c>
      <c r="Y90" s="176">
        <f>IF('Tab4'!E32="",'Tab4'!E33,'Tab4'!E34)</f>
        <v>1164.2826107355791</v>
      </c>
    </row>
    <row r="91" spans="1:25" x14ac:dyDescent="0.2">
      <c r="A91" s="169">
        <v>1</v>
      </c>
      <c r="B91" s="169">
        <v>1988</v>
      </c>
      <c r="C91" s="169">
        <v>134.1</v>
      </c>
      <c r="D91" s="169">
        <v>107.5</v>
      </c>
      <c r="E91" s="169"/>
      <c r="F91" s="169"/>
      <c r="G91" s="169"/>
      <c r="I91" s="174">
        <v>75.2</v>
      </c>
      <c r="J91" s="166">
        <v>1</v>
      </c>
      <c r="K91" s="166">
        <v>1988</v>
      </c>
      <c r="L91" s="175">
        <v>10180</v>
      </c>
      <c r="M91" s="174">
        <v>130.80000000000001</v>
      </c>
      <c r="N91" s="174">
        <f t="shared" si="0"/>
        <v>272.01007978723408</v>
      </c>
      <c r="V91" s="169" t="s">
        <v>13</v>
      </c>
      <c r="W91" s="176">
        <f>IF('Tab4'!C34="",'Tab4'!C35,'Tab4'!C36)</f>
        <v>247.17795775804598</v>
      </c>
      <c r="X91" s="176">
        <f>IF('Tab4'!D34="",'Tab4'!D35,'Tab4'!D36)</f>
        <v>124.35932278810138</v>
      </c>
      <c r="Y91" s="176">
        <f>IF('Tab4'!E34="",'Tab4'!E35,'Tab4'!E36)</f>
        <v>173.79863372908108</v>
      </c>
    </row>
    <row r="92" spans="1:25" x14ac:dyDescent="0.2">
      <c r="A92" s="169">
        <v>2</v>
      </c>
      <c r="B92" s="169"/>
      <c r="C92" s="169">
        <v>113.7</v>
      </c>
      <c r="D92" s="169">
        <v>90</v>
      </c>
      <c r="E92" s="169"/>
      <c r="F92" s="169"/>
      <c r="G92" s="169"/>
      <c r="I92" s="174">
        <v>76.7</v>
      </c>
      <c r="J92" s="166">
        <v>2</v>
      </c>
      <c r="L92" s="175">
        <v>11081</v>
      </c>
      <c r="M92" s="174">
        <v>95.1</v>
      </c>
      <c r="N92" s="174">
        <f t="shared" si="0"/>
        <v>193.90108865710562</v>
      </c>
      <c r="V92" s="169" t="s">
        <v>14</v>
      </c>
      <c r="W92" s="176">
        <f>IF('Tab4'!C38="",'Tab4'!C37,'Tab4'!C38)</f>
        <v>765.39587172795655</v>
      </c>
      <c r="X92" s="176">
        <f>IF('Tab4'!D38="",'Tab4'!D37,'Tab4'!D38)</f>
        <v>808.90768192759413</v>
      </c>
      <c r="Y92" s="176">
        <f>IF('Tab4'!E38="",'Tab4'!E37,'Tab4'!E38)</f>
        <v>914.0462600757055</v>
      </c>
    </row>
    <row r="93" spans="1:25" x14ac:dyDescent="0.2">
      <c r="A93" s="169">
        <v>3</v>
      </c>
      <c r="B93" s="169"/>
      <c r="C93" s="169">
        <v>116.3</v>
      </c>
      <c r="D93" s="169">
        <v>93.1</v>
      </c>
      <c r="E93" s="169"/>
      <c r="F93" s="169"/>
      <c r="G93" s="169"/>
      <c r="I93" s="174">
        <v>77</v>
      </c>
      <c r="J93" s="166">
        <v>3</v>
      </c>
      <c r="L93" s="175">
        <v>15987</v>
      </c>
      <c r="M93" s="174">
        <v>148.69999999999999</v>
      </c>
      <c r="N93" s="174">
        <f t="shared" si="0"/>
        <v>302.00583766233768</v>
      </c>
      <c r="V93" s="169" t="s">
        <v>85</v>
      </c>
      <c r="W93" s="177">
        <f>SUM(W83:W92)</f>
        <v>18887.41776299648</v>
      </c>
      <c r="X93" s="177">
        <f>SUM(X83:X92)</f>
        <v>18954.173055190779</v>
      </c>
      <c r="Y93" s="177">
        <f>SUM(Y83:Y92)</f>
        <v>18795.334042150866</v>
      </c>
    </row>
    <row r="94" spans="1:25" x14ac:dyDescent="0.2">
      <c r="A94" s="169">
        <v>4</v>
      </c>
      <c r="B94" s="169"/>
      <c r="C94" s="169">
        <v>115.2</v>
      </c>
      <c r="D94" s="169">
        <v>93.4</v>
      </c>
      <c r="E94" s="169"/>
      <c r="F94" s="169"/>
      <c r="G94" s="169"/>
      <c r="I94" s="174">
        <v>78.099999999999994</v>
      </c>
      <c r="J94" s="166">
        <v>4</v>
      </c>
      <c r="L94" s="175">
        <v>12493</v>
      </c>
      <c r="M94" s="174">
        <v>199.8</v>
      </c>
      <c r="N94" s="174">
        <f t="shared" si="0"/>
        <v>400.0732778489118</v>
      </c>
      <c r="V94" s="169"/>
      <c r="W94" s="169"/>
      <c r="X94" s="169"/>
      <c r="Y94" s="169"/>
    </row>
    <row r="95" spans="1:25" x14ac:dyDescent="0.2">
      <c r="A95" s="169">
        <v>1</v>
      </c>
      <c r="B95" s="169">
        <v>1989</v>
      </c>
      <c r="C95" s="169">
        <v>106.6</v>
      </c>
      <c r="D95" s="169">
        <v>86.4</v>
      </c>
      <c r="E95" s="169"/>
      <c r="F95" s="169"/>
      <c r="G95" s="169"/>
      <c r="I95" s="174">
        <v>78.900000000000006</v>
      </c>
      <c r="J95" s="166">
        <v>1</v>
      </c>
      <c r="K95" s="166">
        <v>1989</v>
      </c>
      <c r="L95" s="175">
        <v>10988</v>
      </c>
      <c r="M95" s="174">
        <v>142.6</v>
      </c>
      <c r="N95" s="174">
        <f t="shared" si="0"/>
        <v>282.64259822560206</v>
      </c>
      <c r="V95" s="169" t="s">
        <v>170</v>
      </c>
      <c r="W95" s="178">
        <f>+W93+X72</f>
        <v>30673.295185393596</v>
      </c>
      <c r="X95" s="178">
        <f>+X93+Y72</f>
        <v>30794.1995762804</v>
      </c>
      <c r="Y95" s="178">
        <f>+Y93+Z72</f>
        <v>31002.477310659073</v>
      </c>
    </row>
    <row r="96" spans="1:25" x14ac:dyDescent="0.2">
      <c r="A96" s="169">
        <v>2</v>
      </c>
      <c r="B96" s="169"/>
      <c r="C96" s="169">
        <v>98</v>
      </c>
      <c r="D96" s="169">
        <v>79.599999999999994</v>
      </c>
      <c r="E96" s="169"/>
      <c r="F96" s="169"/>
      <c r="G96" s="169"/>
      <c r="I96" s="174">
        <v>80.3</v>
      </c>
      <c r="J96" s="166">
        <v>2</v>
      </c>
      <c r="L96" s="175">
        <v>10292</v>
      </c>
      <c r="M96" s="174">
        <v>117.3</v>
      </c>
      <c r="N96" s="174">
        <f t="shared" si="0"/>
        <v>228.44284557907849</v>
      </c>
    </row>
    <row r="97" spans="1:25" x14ac:dyDescent="0.2">
      <c r="A97" s="169">
        <v>3</v>
      </c>
      <c r="B97" s="169"/>
      <c r="C97" s="169">
        <v>96.9</v>
      </c>
      <c r="D97" s="169">
        <v>79</v>
      </c>
      <c r="E97" s="169"/>
      <c r="F97" s="169"/>
      <c r="G97" s="169"/>
      <c r="I97" s="174">
        <v>80.599999999999994</v>
      </c>
      <c r="J97" s="166">
        <v>3</v>
      </c>
      <c r="L97" s="175">
        <v>11352</v>
      </c>
      <c r="M97" s="174">
        <v>103.6</v>
      </c>
      <c r="N97" s="174">
        <f t="shared" si="0"/>
        <v>201.01099255583128</v>
      </c>
      <c r="Y97" s="169"/>
    </row>
    <row r="98" spans="1:25" x14ac:dyDescent="0.2">
      <c r="A98" s="169">
        <v>4</v>
      </c>
      <c r="B98" s="169"/>
      <c r="C98" s="169">
        <v>93.4</v>
      </c>
      <c r="D98" s="169">
        <v>76.8</v>
      </c>
      <c r="E98" s="169"/>
      <c r="F98" s="169"/>
      <c r="G98" s="169"/>
      <c r="I98" s="174">
        <v>81.400000000000006</v>
      </c>
      <c r="J98" s="166">
        <v>4</v>
      </c>
      <c r="L98" s="175">
        <v>11958</v>
      </c>
      <c r="M98" s="174">
        <v>132</v>
      </c>
      <c r="N98" s="174">
        <f t="shared" si="0"/>
        <v>253.5972972972973</v>
      </c>
      <c r="V98" s="168" t="s">
        <v>185</v>
      </c>
      <c r="W98" s="169"/>
      <c r="X98" s="169"/>
      <c r="Y98" s="169"/>
    </row>
    <row r="99" spans="1:25" x14ac:dyDescent="0.2">
      <c r="A99" s="169">
        <v>1</v>
      </c>
      <c r="B99" s="169">
        <v>1990</v>
      </c>
      <c r="C99" s="169">
        <v>99.4</v>
      </c>
      <c r="D99" s="169">
        <v>81.3</v>
      </c>
      <c r="E99" s="169"/>
      <c r="F99" s="169"/>
      <c r="G99" s="169"/>
      <c r="I99" s="174">
        <v>82.3</v>
      </c>
      <c r="J99" s="166">
        <v>1</v>
      </c>
      <c r="K99" s="166">
        <v>1990</v>
      </c>
      <c r="L99" s="175">
        <v>13741</v>
      </c>
      <c r="M99" s="174">
        <v>142.9</v>
      </c>
      <c r="N99" s="174">
        <f t="shared" si="0"/>
        <v>271.53604495747271</v>
      </c>
      <c r="V99" s="169"/>
      <c r="X99" s="169"/>
      <c r="Y99" s="169"/>
    </row>
    <row r="100" spans="1:25" x14ac:dyDescent="0.2">
      <c r="A100" s="169">
        <v>2</v>
      </c>
      <c r="B100" s="169"/>
      <c r="C100" s="169">
        <v>88.6</v>
      </c>
      <c r="D100" s="169">
        <v>73.099999999999994</v>
      </c>
      <c r="E100" s="169"/>
      <c r="F100" s="169"/>
      <c r="G100" s="169"/>
      <c r="I100" s="174">
        <v>83.4</v>
      </c>
      <c r="J100" s="166">
        <v>2</v>
      </c>
      <c r="L100" s="175">
        <v>10045</v>
      </c>
      <c r="M100" s="174">
        <v>116.5</v>
      </c>
      <c r="N100" s="174">
        <f t="shared" si="0"/>
        <v>218.45146882494006</v>
      </c>
      <c r="V100" s="169"/>
      <c r="W100" s="173" t="str">
        <f>+W82</f>
        <v>2019</v>
      </c>
      <c r="X100" s="173" t="str">
        <f>+X82</f>
        <v>2020</v>
      </c>
      <c r="Y100" s="173" t="str">
        <f>+Y82</f>
        <v>2021</v>
      </c>
    </row>
    <row r="101" spans="1:25" x14ac:dyDescent="0.2">
      <c r="A101" s="169">
        <v>3</v>
      </c>
      <c r="B101" s="169"/>
      <c r="C101" s="169">
        <v>88.2</v>
      </c>
      <c r="D101" s="169">
        <v>72.5</v>
      </c>
      <c r="E101" s="169"/>
      <c r="F101" s="169"/>
      <c r="G101" s="169"/>
      <c r="I101" s="174">
        <v>83.7</v>
      </c>
      <c r="J101" s="166">
        <v>3</v>
      </c>
      <c r="L101" s="175">
        <v>10870</v>
      </c>
      <c r="M101" s="174">
        <v>101.4</v>
      </c>
      <c r="N101" s="174">
        <f t="shared" si="0"/>
        <v>189.45566308243733</v>
      </c>
      <c r="V101" s="169" t="s">
        <v>18</v>
      </c>
      <c r="W101" s="179">
        <f>IF('Tab7'!C10="",+'Tab7'!C9+'Tab11'!C9,+'Tab7'!C10+'Tab11'!C10)</f>
        <v>28972.99261304348</v>
      </c>
      <c r="X101" s="179">
        <f>IF('Tab7'!D10="",+'Tab7'!D9+'Tab11'!D9,+'Tab7'!D10+'Tab11'!D10)</f>
        <v>23897.272434782608</v>
      </c>
      <c r="Y101" s="179">
        <f>IF('Tab7'!E10="",+'Tab7'!E9+'Tab11'!E9,+'Tab7'!E10+'Tab11'!E10)</f>
        <v>26988.17717826087</v>
      </c>
    </row>
    <row r="102" spans="1:25" x14ac:dyDescent="0.2">
      <c r="A102" s="169">
        <v>4</v>
      </c>
      <c r="B102" s="169"/>
      <c r="C102" s="169">
        <v>84.8</v>
      </c>
      <c r="D102" s="169">
        <v>70.2</v>
      </c>
      <c r="E102" s="169"/>
      <c r="F102" s="169"/>
      <c r="G102" s="169"/>
      <c r="I102" s="174">
        <v>85.1</v>
      </c>
      <c r="J102" s="166">
        <v>4</v>
      </c>
      <c r="L102" s="175">
        <v>11076</v>
      </c>
      <c r="M102" s="174">
        <v>120</v>
      </c>
      <c r="N102" s="174">
        <f t="shared" si="0"/>
        <v>220.5193889541716</v>
      </c>
      <c r="V102" s="169" t="s">
        <v>86</v>
      </c>
      <c r="W102" s="179">
        <f>IF('Tab7'!C12="",+'Tab7'!C11+'Tab11'!C11,+'Tab7'!C12+'Tab11'!C12)</f>
        <v>69652.369592885385</v>
      </c>
      <c r="X102" s="179">
        <f>IF('Tab7'!D12="",+'Tab7'!D11+'Tab11'!D11,+'Tab7'!D12+'Tab11'!D12)</f>
        <v>65851.136363636368</v>
      </c>
      <c r="Y102" s="179">
        <f>IF('Tab7'!E12="",+'Tab7'!E11+'Tab11'!E11,+'Tab7'!E12+'Tab11'!E12)</f>
        <v>80225.350284584973</v>
      </c>
    </row>
    <row r="103" spans="1:25" x14ac:dyDescent="0.2">
      <c r="A103" s="169">
        <v>1</v>
      </c>
      <c r="B103" s="169">
        <v>1991</v>
      </c>
      <c r="C103" s="169">
        <v>97.5</v>
      </c>
      <c r="D103" s="169">
        <v>82.4</v>
      </c>
      <c r="E103" s="169"/>
      <c r="F103" s="169"/>
      <c r="G103" s="169"/>
      <c r="I103" s="174">
        <v>85.5</v>
      </c>
      <c r="J103" s="166">
        <v>1</v>
      </c>
      <c r="K103" s="166">
        <v>1991</v>
      </c>
      <c r="L103" s="175">
        <v>10172</v>
      </c>
      <c r="M103" s="174">
        <v>130.10000000000002</v>
      </c>
      <c r="N103" s="174">
        <f t="shared" ref="N103:N106" si="1">M103/I103*$I$69</f>
        <v>237.96126900584801</v>
      </c>
      <c r="O103" s="175">
        <v>6727</v>
      </c>
      <c r="P103" s="174">
        <v>376.9</v>
      </c>
      <c r="Q103" s="174">
        <f>P103/I103*$I$69</f>
        <v>689.37434502923975</v>
      </c>
      <c r="R103" s="175">
        <v>9077</v>
      </c>
      <c r="S103" s="174">
        <v>139.9</v>
      </c>
      <c r="T103" s="174">
        <f>S103/I103*$I$69</f>
        <v>255.88609941520471</v>
      </c>
      <c r="V103" s="169" t="s">
        <v>63</v>
      </c>
      <c r="W103" s="179">
        <f>IF('Tab7'!C14="",+'Tab7'!C13+'Tab11'!C13,+'Tab7'!C14+'Tab11'!C14)</f>
        <v>28235.610242236024</v>
      </c>
      <c r="X103" s="179">
        <f>IF('Tab7'!D14="",+'Tab7'!D13+'Tab11'!D13,+'Tab7'!D14+'Tab11'!D14)</f>
        <v>30032.017366459626</v>
      </c>
      <c r="Y103" s="179">
        <f>IF('Tab7'!E14="",+'Tab7'!E13+'Tab11'!E13,+'Tab7'!E14+'Tab11'!E14)</f>
        <v>23104.742667701863</v>
      </c>
    </row>
    <row r="104" spans="1:25" x14ac:dyDescent="0.2">
      <c r="A104" s="169">
        <v>2</v>
      </c>
      <c r="B104" s="169"/>
      <c r="C104" s="169">
        <v>93.9</v>
      </c>
      <c r="D104" s="169">
        <v>78</v>
      </c>
      <c r="E104" s="169"/>
      <c r="F104" s="169"/>
      <c r="G104" s="169"/>
      <c r="I104" s="174">
        <v>86.6</v>
      </c>
      <c r="J104" s="166">
        <v>2</v>
      </c>
      <c r="L104" s="175">
        <v>10188</v>
      </c>
      <c r="M104" s="174">
        <v>126.69999999999993</v>
      </c>
      <c r="N104" s="174">
        <f t="shared" si="1"/>
        <v>228.79883949191679</v>
      </c>
      <c r="O104" s="175">
        <v>5864</v>
      </c>
      <c r="P104" s="174">
        <v>369.29999999999995</v>
      </c>
      <c r="Q104" s="174">
        <f t="shared" ref="Q104:Q167" si="2">P104/I104*$I$69</f>
        <v>666.89353926096999</v>
      </c>
      <c r="R104" s="175">
        <v>12525</v>
      </c>
      <c r="S104" s="174">
        <v>176.29999999999998</v>
      </c>
      <c r="T104" s="174">
        <f t="shared" ref="T104:T167" si="3">S104/I104*$I$69</f>
        <v>318.36807736720556</v>
      </c>
      <c r="V104" s="169" t="s">
        <v>14</v>
      </c>
      <c r="W104" s="180">
        <f>+W106-SUM(W101:W103)</f>
        <v>238829.96703379403</v>
      </c>
      <c r="X104" s="180">
        <f>+X106-SUM(X101:X103)</f>
        <v>270870.85555580747</v>
      </c>
      <c r="Y104" s="180">
        <f>+Y106-SUM(Y101:Y103)</f>
        <v>258418.52987065964</v>
      </c>
    </row>
    <row r="105" spans="1:25" x14ac:dyDescent="0.2">
      <c r="A105" s="169">
        <v>3</v>
      </c>
      <c r="B105" s="169"/>
      <c r="C105" s="169">
        <v>90.2</v>
      </c>
      <c r="D105" s="169">
        <v>76.099999999999994</v>
      </c>
      <c r="E105" s="169"/>
      <c r="F105" s="169"/>
      <c r="G105" s="169"/>
      <c r="I105" s="174">
        <v>86.6</v>
      </c>
      <c r="J105" s="166">
        <v>3</v>
      </c>
      <c r="L105" s="175">
        <v>10621</v>
      </c>
      <c r="M105" s="174">
        <v>132.60000000000002</v>
      </c>
      <c r="N105" s="174">
        <f t="shared" si="1"/>
        <v>239.45324480369521</v>
      </c>
      <c r="O105" s="175">
        <v>7951</v>
      </c>
      <c r="P105" s="174">
        <v>430.9</v>
      </c>
      <c r="Q105" s="174">
        <f t="shared" si="2"/>
        <v>778.13275404157048</v>
      </c>
      <c r="R105" s="175">
        <v>14126</v>
      </c>
      <c r="S105" s="174">
        <v>204.90000000000003</v>
      </c>
      <c r="T105" s="174">
        <f t="shared" si="3"/>
        <v>370.01485565819871</v>
      </c>
      <c r="V105" s="169"/>
      <c r="W105" s="169"/>
      <c r="X105" s="169"/>
      <c r="Y105" s="169"/>
    </row>
    <row r="106" spans="1:25" x14ac:dyDescent="0.2">
      <c r="A106" s="169">
        <v>4</v>
      </c>
      <c r="B106" s="169"/>
      <c r="C106" s="169">
        <v>92.6</v>
      </c>
      <c r="D106" s="169">
        <v>78.099999999999994</v>
      </c>
      <c r="E106" s="169"/>
      <c r="F106" s="169"/>
      <c r="G106" s="169"/>
      <c r="I106" s="174">
        <v>87.3</v>
      </c>
      <c r="J106" s="166">
        <v>4</v>
      </c>
      <c r="L106" s="175">
        <v>11640</v>
      </c>
      <c r="M106" s="174">
        <v>138.20000000000005</v>
      </c>
      <c r="N106" s="174">
        <f t="shared" si="1"/>
        <v>247.56479954180998</v>
      </c>
      <c r="O106" s="175">
        <v>13048</v>
      </c>
      <c r="P106" s="174">
        <v>427.00000000000023</v>
      </c>
      <c r="Q106" s="174">
        <f t="shared" si="2"/>
        <v>764.90715922107734</v>
      </c>
      <c r="R106" s="175">
        <v>13048</v>
      </c>
      <c r="S106" s="174">
        <v>185</v>
      </c>
      <c r="T106" s="174">
        <f t="shared" si="3"/>
        <v>331.40005727376865</v>
      </c>
      <c r="V106" s="169" t="s">
        <v>87</v>
      </c>
      <c r="W106" s="179">
        <f>IF('Tab7'!C8="",+'Tab7'!C7+'Tab11'!C7,+'Tab7'!C8+'Tab11'!C8)</f>
        <v>365690.93948195892</v>
      </c>
      <c r="X106" s="179">
        <f>IF('Tab7'!D8="",+'Tab7'!D7+'Tab11'!D7,+'Tab7'!D8+'Tab11'!D8)</f>
        <v>390651.28172068606</v>
      </c>
      <c r="Y106" s="179">
        <f>IF('Tab7'!E8="",+'Tab7'!E7+'Tab11'!E7,+'Tab7'!E8+'Tab11'!E8)</f>
        <v>388736.80000120733</v>
      </c>
    </row>
    <row r="107" spans="1:25" x14ac:dyDescent="0.2">
      <c r="A107" s="169">
        <v>1</v>
      </c>
      <c r="B107" s="169">
        <v>1992</v>
      </c>
      <c r="C107" s="169">
        <v>102</v>
      </c>
      <c r="D107" s="169">
        <v>87.1</v>
      </c>
      <c r="E107" s="169"/>
      <c r="F107" s="169"/>
      <c r="G107" s="169"/>
      <c r="I107" s="174">
        <v>87.5</v>
      </c>
      <c r="J107" s="166">
        <v>1</v>
      </c>
      <c r="K107" s="166">
        <v>1992</v>
      </c>
      <c r="L107" s="175">
        <v>10520</v>
      </c>
      <c r="M107" s="174">
        <v>129.4</v>
      </c>
      <c r="N107" s="174">
        <f>M107/I107*$I$69</f>
        <v>231.27107428571432</v>
      </c>
      <c r="O107" s="175">
        <v>6509</v>
      </c>
      <c r="P107" s="174">
        <v>409.5</v>
      </c>
      <c r="Q107" s="174">
        <f t="shared" si="2"/>
        <v>731.8818</v>
      </c>
      <c r="R107" s="175">
        <v>11030</v>
      </c>
      <c r="S107" s="174">
        <v>180.5</v>
      </c>
      <c r="T107" s="174">
        <f t="shared" si="3"/>
        <v>322.59991428571431</v>
      </c>
    </row>
    <row r="108" spans="1:25" x14ac:dyDescent="0.2">
      <c r="A108" s="169">
        <v>2</v>
      </c>
      <c r="B108" s="169"/>
      <c r="C108" s="169">
        <v>92.2</v>
      </c>
      <c r="D108" s="169">
        <v>78.900000000000006</v>
      </c>
      <c r="E108" s="169"/>
      <c r="F108" s="169"/>
      <c r="G108" s="169"/>
      <c r="I108" s="174">
        <v>88.6</v>
      </c>
      <c r="J108" s="166">
        <v>2</v>
      </c>
      <c r="L108" s="175">
        <v>10661</v>
      </c>
      <c r="M108" s="174">
        <v>112.9</v>
      </c>
      <c r="N108" s="174">
        <f t="shared" ref="N108:N171" si="4">M108/I108*$I$69</f>
        <v>199.2761455981942</v>
      </c>
      <c r="O108" s="175">
        <v>5632</v>
      </c>
      <c r="P108" s="174">
        <v>412</v>
      </c>
      <c r="Q108" s="174">
        <f t="shared" si="2"/>
        <v>727.207900677201</v>
      </c>
      <c r="R108" s="175">
        <v>13252</v>
      </c>
      <c r="S108" s="174">
        <v>167</v>
      </c>
      <c r="T108" s="174">
        <f t="shared" si="3"/>
        <v>294.76630925507908</v>
      </c>
    </row>
    <row r="109" spans="1:25" x14ac:dyDescent="0.2">
      <c r="A109" s="169">
        <v>3</v>
      </c>
      <c r="B109" s="169"/>
      <c r="C109" s="169">
        <v>93.3</v>
      </c>
      <c r="D109" s="169">
        <v>79.900000000000006</v>
      </c>
      <c r="E109" s="169"/>
      <c r="F109" s="169"/>
      <c r="G109" s="169"/>
      <c r="I109" s="174">
        <v>88.7</v>
      </c>
      <c r="J109" s="166">
        <v>3</v>
      </c>
      <c r="L109" s="175">
        <v>11590</v>
      </c>
      <c r="M109" s="174">
        <v>130.59999999999997</v>
      </c>
      <c r="N109" s="174">
        <f t="shared" si="4"/>
        <v>230.25795941375418</v>
      </c>
      <c r="O109" s="175">
        <v>8642</v>
      </c>
      <c r="P109" s="174">
        <v>440.40000000000009</v>
      </c>
      <c r="Q109" s="174">
        <f t="shared" si="2"/>
        <v>776.45945885005665</v>
      </c>
      <c r="R109" s="175">
        <v>15450</v>
      </c>
      <c r="S109" s="174">
        <v>219.10000000000002</v>
      </c>
      <c r="T109" s="174">
        <f t="shared" si="3"/>
        <v>386.29034385569338</v>
      </c>
      <c r="V109" s="168" t="s">
        <v>186</v>
      </c>
      <c r="W109" s="169"/>
      <c r="X109" s="169"/>
      <c r="Y109" s="169"/>
    </row>
    <row r="110" spans="1:25" x14ac:dyDescent="0.2">
      <c r="A110" s="169">
        <v>4</v>
      </c>
      <c r="B110" s="169"/>
      <c r="C110" s="169">
        <v>90.8</v>
      </c>
      <c r="D110" s="169">
        <v>77.599999999999994</v>
      </c>
      <c r="E110" s="169"/>
      <c r="F110" s="169"/>
      <c r="G110" s="169"/>
      <c r="I110" s="174">
        <v>89.3</v>
      </c>
      <c r="J110" s="166">
        <v>4</v>
      </c>
      <c r="L110" s="175">
        <v>11917</v>
      </c>
      <c r="M110" s="174">
        <v>108.50000000000006</v>
      </c>
      <c r="N110" s="174">
        <f t="shared" si="4"/>
        <v>190.00865061590159</v>
      </c>
      <c r="O110" s="175">
        <v>7139</v>
      </c>
      <c r="P110" s="174">
        <v>425.59999999999991</v>
      </c>
      <c r="Q110" s="174">
        <f t="shared" si="2"/>
        <v>745.32425531914885</v>
      </c>
      <c r="R110" s="175">
        <v>12309</v>
      </c>
      <c r="S110" s="174">
        <v>109.39999999999998</v>
      </c>
      <c r="T110" s="174">
        <f t="shared" si="3"/>
        <v>191.58475923852183</v>
      </c>
      <c r="V110" s="169"/>
      <c r="W110" s="169"/>
      <c r="X110" s="169"/>
      <c r="Y110" s="169"/>
    </row>
    <row r="111" spans="1:25" x14ac:dyDescent="0.2">
      <c r="A111" s="169">
        <v>1</v>
      </c>
      <c r="B111" s="169">
        <v>1993</v>
      </c>
      <c r="C111" s="169">
        <v>112.6</v>
      </c>
      <c r="D111" s="169">
        <v>96.5</v>
      </c>
      <c r="E111" s="169"/>
      <c r="F111" s="169"/>
      <c r="G111" s="169"/>
      <c r="I111" s="174">
        <v>89.8</v>
      </c>
      <c r="J111" s="166">
        <v>1</v>
      </c>
      <c r="K111" s="166">
        <v>1993</v>
      </c>
      <c r="L111" s="175">
        <v>11275</v>
      </c>
      <c r="M111" s="174">
        <v>136.89999999999998</v>
      </c>
      <c r="N111" s="174">
        <f t="shared" si="4"/>
        <v>238.40875835189308</v>
      </c>
      <c r="O111" s="175">
        <v>6982</v>
      </c>
      <c r="P111" s="174">
        <v>449.4</v>
      </c>
      <c r="Q111" s="174">
        <f t="shared" si="2"/>
        <v>782.62159242761697</v>
      </c>
      <c r="R111" s="175">
        <v>10571</v>
      </c>
      <c r="S111" s="174">
        <v>175.5</v>
      </c>
      <c r="T111" s="174">
        <f t="shared" si="3"/>
        <v>305.62992761692658</v>
      </c>
      <c r="V111" s="169"/>
      <c r="W111" s="173" t="str">
        <f>+W100</f>
        <v>2019</v>
      </c>
      <c r="X111" s="173" t="str">
        <f>+X100</f>
        <v>2020</v>
      </c>
      <c r="Y111" s="173" t="str">
        <f>+Y100</f>
        <v>2021</v>
      </c>
    </row>
    <row r="112" spans="1:25" x14ac:dyDescent="0.2">
      <c r="A112" s="169">
        <v>2</v>
      </c>
      <c r="B112" s="169"/>
      <c r="C112" s="169">
        <f>205.6-C111</f>
        <v>93</v>
      </c>
      <c r="D112" s="169">
        <f>176.6-D111</f>
        <v>80.099999999999994</v>
      </c>
      <c r="E112" s="169"/>
      <c r="F112" s="169"/>
      <c r="G112" s="169"/>
      <c r="I112" s="174">
        <v>90.8</v>
      </c>
      <c r="J112" s="166">
        <v>2</v>
      </c>
      <c r="L112" s="175">
        <v>10076</v>
      </c>
      <c r="M112" s="174">
        <v>115.20000000000002</v>
      </c>
      <c r="N112" s="174">
        <f t="shared" si="4"/>
        <v>198.40916299559478</v>
      </c>
      <c r="O112" s="175">
        <v>6332</v>
      </c>
      <c r="P112" s="174">
        <v>352.9</v>
      </c>
      <c r="Q112" s="174">
        <f t="shared" si="2"/>
        <v>607.80029185022033</v>
      </c>
      <c r="R112" s="175">
        <v>12919</v>
      </c>
      <c r="S112" s="174">
        <v>191.20000000000005</v>
      </c>
      <c r="T112" s="174">
        <f t="shared" si="3"/>
        <v>329.30409691629967</v>
      </c>
      <c r="V112" s="169" t="s">
        <v>171</v>
      </c>
      <c r="W112" s="178">
        <f>IF('Tab7'!C38="",+'Tab7'!C37+'Tab11'!C37,+'Tab7'!C38+'Tab11'!C38)</f>
        <v>4258.1897042762521</v>
      </c>
      <c r="X112" s="178">
        <f>IF('Tab7'!D38="",+'Tab7'!D37+'Tab11'!D37,+'Tab7'!D38+'Tab11'!D38)</f>
        <v>4013.5679997518241</v>
      </c>
      <c r="Y112" s="178">
        <f>IF('Tab7'!E38="",+'Tab7'!E37+'Tab11'!E37,+'Tab7'!E38+'Tab11'!E38)</f>
        <v>4324.2553642740986</v>
      </c>
    </row>
    <row r="113" spans="1:25" x14ac:dyDescent="0.2">
      <c r="A113" s="169">
        <v>3</v>
      </c>
      <c r="B113" s="169"/>
      <c r="C113" s="169">
        <f>293.1-C112-C111</f>
        <v>87.500000000000028</v>
      </c>
      <c r="D113" s="169">
        <f>250.2-D112-D111</f>
        <v>73.599999999999994</v>
      </c>
      <c r="E113" s="169"/>
      <c r="F113" s="169"/>
      <c r="G113" s="169"/>
      <c r="I113" s="174">
        <v>90.6</v>
      </c>
      <c r="J113" s="166">
        <v>3</v>
      </c>
      <c r="L113" s="175">
        <v>11766</v>
      </c>
      <c r="M113" s="174">
        <v>132.79999999999998</v>
      </c>
      <c r="N113" s="174">
        <f t="shared" si="4"/>
        <v>229.22657836644592</v>
      </c>
      <c r="O113" s="175">
        <v>6675</v>
      </c>
      <c r="P113" s="174">
        <v>388.50000000000023</v>
      </c>
      <c r="Q113" s="174">
        <f t="shared" si="2"/>
        <v>670.59130794702037</v>
      </c>
      <c r="R113" s="175">
        <v>14800</v>
      </c>
      <c r="S113" s="174">
        <v>216.89999999999998</v>
      </c>
      <c r="T113" s="174">
        <f t="shared" si="3"/>
        <v>374.39190397350995</v>
      </c>
      <c r="V113" s="169" t="s">
        <v>86</v>
      </c>
      <c r="W113" s="178">
        <f>IF('Tab7'!C40="",+'Tab7'!C39+'Tab11'!C39,+'Tab7'!C40+'Tab11'!C40)</f>
        <v>3602.198749331425</v>
      </c>
      <c r="X113" s="178">
        <f>IF('Tab7'!D40="",+'Tab7'!D39+'Tab11'!D39,+'Tab7'!D40+'Tab11'!D40)</f>
        <v>3380.6634540400155</v>
      </c>
      <c r="Y113" s="178">
        <f>IF('Tab7'!E40="",+'Tab7'!E39+'Tab11'!E39,+'Tab7'!E40+'Tab11'!E40)</f>
        <v>4041.1009142627208</v>
      </c>
    </row>
    <row r="114" spans="1:25" x14ac:dyDescent="0.2">
      <c r="A114" s="169">
        <v>4</v>
      </c>
      <c r="B114" s="169"/>
      <c r="C114" s="169">
        <f>413.2-C113-C112-C111</f>
        <v>120.09999999999994</v>
      </c>
      <c r="D114" s="169">
        <f>356.8-D113-D112-D111</f>
        <v>106.60000000000005</v>
      </c>
      <c r="E114" s="169"/>
      <c r="F114" s="169"/>
      <c r="G114" s="169"/>
      <c r="I114" s="174">
        <v>91</v>
      </c>
      <c r="J114" s="166">
        <v>4</v>
      </c>
      <c r="L114" s="175">
        <v>12707</v>
      </c>
      <c r="M114" s="174">
        <v>157.79999999999995</v>
      </c>
      <c r="N114" s="174">
        <f t="shared" si="4"/>
        <v>271.18190109890105</v>
      </c>
      <c r="O114" s="175">
        <v>6319</v>
      </c>
      <c r="P114" s="174">
        <v>466.99999999999977</v>
      </c>
      <c r="Q114" s="174">
        <f t="shared" si="2"/>
        <v>802.5471978021975</v>
      </c>
      <c r="R114" s="175">
        <v>11391</v>
      </c>
      <c r="S114" s="174">
        <v>164.5</v>
      </c>
      <c r="T114" s="174">
        <f t="shared" si="3"/>
        <v>282.69596153846157</v>
      </c>
      <c r="V114" s="169" t="s">
        <v>63</v>
      </c>
      <c r="W114" s="178">
        <f>IF('Tab7'!C42="",+'Tab7'!C41+'Tab11'!C41,+'Tab7'!C42+'Tab11'!C42)</f>
        <v>418.02544216273839</v>
      </c>
      <c r="X114" s="178">
        <f>IF('Tab7'!D42="",+'Tab7'!D41+'Tab11'!D41,+'Tab7'!D42+'Tab11'!D42)</f>
        <v>430.46547927356073</v>
      </c>
      <c r="Y114" s="178">
        <f>IF('Tab7'!E42="",+'Tab7'!E41+'Tab11'!E41,+'Tab7'!E42+'Tab11'!E42)</f>
        <v>351.09475325986273</v>
      </c>
    </row>
    <row r="115" spans="1:25" x14ac:dyDescent="0.2">
      <c r="A115" s="169">
        <v>1</v>
      </c>
      <c r="B115" s="169">
        <v>1994</v>
      </c>
      <c r="C115" s="169">
        <v>138.4</v>
      </c>
      <c r="D115" s="169">
        <v>120</v>
      </c>
      <c r="E115" s="169"/>
      <c r="F115" s="169"/>
      <c r="G115" s="169"/>
      <c r="I115" s="174">
        <v>91</v>
      </c>
      <c r="J115" s="166">
        <v>1</v>
      </c>
      <c r="K115" s="166">
        <v>1994</v>
      </c>
      <c r="L115" s="175">
        <v>15224</v>
      </c>
      <c r="M115" s="174">
        <v>189</v>
      </c>
      <c r="N115" s="174">
        <f t="shared" si="4"/>
        <v>324.79961538461544</v>
      </c>
      <c r="O115" s="175">
        <v>6291</v>
      </c>
      <c r="P115" s="174">
        <v>427.6</v>
      </c>
      <c r="Q115" s="174">
        <f t="shared" si="2"/>
        <v>734.83764835164845</v>
      </c>
      <c r="R115" s="175">
        <v>8795</v>
      </c>
      <c r="S115" s="174">
        <v>161.69999999999999</v>
      </c>
      <c r="T115" s="174">
        <f t="shared" si="3"/>
        <v>277.88411538461543</v>
      </c>
      <c r="V115" s="169" t="s">
        <v>14</v>
      </c>
      <c r="W115" s="181">
        <f>+W117-SUM(W112:W114)</f>
        <v>3029.6493734685337</v>
      </c>
      <c r="X115" s="181">
        <f>+X117-SUM(X112:X114)</f>
        <v>3104.2042469300732</v>
      </c>
      <c r="Y115" s="181">
        <f>+Y117-SUM(Y112:Y114)</f>
        <v>2997.7637395810289</v>
      </c>
    </row>
    <row r="116" spans="1:25" x14ac:dyDescent="0.2">
      <c r="A116" s="169">
        <v>2</v>
      </c>
      <c r="B116" s="169"/>
      <c r="C116" s="169">
        <f>252.9-C115</f>
        <v>114.5</v>
      </c>
      <c r="D116" s="169">
        <f>218.1-D115</f>
        <v>98.1</v>
      </c>
      <c r="E116" s="169"/>
      <c r="F116" s="169"/>
      <c r="G116" s="169"/>
      <c r="I116" s="174">
        <v>91.7</v>
      </c>
      <c r="J116" s="166">
        <v>2</v>
      </c>
      <c r="L116" s="175">
        <v>13585</v>
      </c>
      <c r="M116" s="174">
        <v>166.5</v>
      </c>
      <c r="N116" s="174">
        <f t="shared" si="4"/>
        <v>283.94877317339154</v>
      </c>
      <c r="O116" s="175">
        <v>5517</v>
      </c>
      <c r="P116" s="174">
        <v>494.30000000000007</v>
      </c>
      <c r="Q116" s="174">
        <f t="shared" si="2"/>
        <v>842.97824972737203</v>
      </c>
      <c r="R116" s="175">
        <v>13449</v>
      </c>
      <c r="S116" s="174">
        <v>196.2</v>
      </c>
      <c r="T116" s="174">
        <f t="shared" si="3"/>
        <v>334.59909487459112</v>
      </c>
      <c r="V116" s="169"/>
      <c r="W116" s="178"/>
      <c r="X116" s="178"/>
      <c r="Y116" s="178"/>
    </row>
    <row r="117" spans="1:25" x14ac:dyDescent="0.2">
      <c r="A117" s="169">
        <v>3</v>
      </c>
      <c r="B117" s="169"/>
      <c r="C117" s="169">
        <f>365.7-C115-C116</f>
        <v>112.79999999999998</v>
      </c>
      <c r="D117" s="169">
        <f>316.9-D115-D116</f>
        <v>98.799999999999983</v>
      </c>
      <c r="E117" s="169"/>
      <c r="F117" s="169"/>
      <c r="G117" s="169"/>
      <c r="I117" s="174">
        <v>92.1</v>
      </c>
      <c r="J117" s="166">
        <v>3</v>
      </c>
      <c r="L117" s="175">
        <v>13956</v>
      </c>
      <c r="M117" s="174">
        <v>169.89999999999998</v>
      </c>
      <c r="N117" s="174">
        <f t="shared" si="4"/>
        <v>288.4887242128122</v>
      </c>
      <c r="O117" s="175">
        <v>8952</v>
      </c>
      <c r="P117" s="174">
        <v>425.5</v>
      </c>
      <c r="Q117" s="174">
        <f t="shared" si="2"/>
        <v>722.49530401737263</v>
      </c>
      <c r="R117" s="175">
        <v>15669</v>
      </c>
      <c r="S117" s="174">
        <v>219.80000000000007</v>
      </c>
      <c r="T117" s="174">
        <f t="shared" si="3"/>
        <v>373.21849077090138</v>
      </c>
      <c r="V117" s="169" t="s">
        <v>87</v>
      </c>
      <c r="W117" s="178">
        <f>IF('Tab7'!C36="",+'Tab7'!C35+'Tab11'!C35,+'Tab7'!C36+'Tab11'!C36)</f>
        <v>11308.063269238948</v>
      </c>
      <c r="X117" s="178">
        <f>IF('Tab7'!D36="",+'Tab7'!D35+'Tab11'!D35,+'Tab7'!D36+'Tab11'!D36)</f>
        <v>10928.901179995473</v>
      </c>
      <c r="Y117" s="178">
        <f>IF('Tab7'!E36="",+'Tab7'!E35+'Tab11'!E35,+'Tab7'!E36+'Tab11'!E36)</f>
        <v>11714.21477137771</v>
      </c>
    </row>
    <row r="118" spans="1:25" x14ac:dyDescent="0.2">
      <c r="A118" s="169">
        <v>4</v>
      </c>
      <c r="B118" s="169"/>
      <c r="C118" s="169">
        <f>480.2-C115-C116-C117</f>
        <v>114.49999999999997</v>
      </c>
      <c r="D118" s="169">
        <f>417.1-D115-D116-D117</f>
        <v>100.20000000000005</v>
      </c>
      <c r="E118" s="169"/>
      <c r="F118" s="169"/>
      <c r="G118" s="169"/>
      <c r="I118" s="174">
        <v>92.6</v>
      </c>
      <c r="J118" s="166">
        <v>4</v>
      </c>
      <c r="L118" s="175">
        <v>14006</v>
      </c>
      <c r="M118" s="174">
        <v>140.80000000000007</v>
      </c>
      <c r="N118" s="174">
        <f t="shared" si="4"/>
        <v>237.78626349892022</v>
      </c>
      <c r="O118" s="175">
        <v>8189</v>
      </c>
      <c r="P118" s="174">
        <v>390.59999999999991</v>
      </c>
      <c r="Q118" s="174">
        <f t="shared" si="2"/>
        <v>659.65422246220305</v>
      </c>
      <c r="R118" s="175">
        <v>14139</v>
      </c>
      <c r="S118" s="174">
        <v>214.39999999999998</v>
      </c>
      <c r="T118" s="174">
        <f t="shared" si="3"/>
        <v>362.08362850971923</v>
      </c>
      <c r="V118" s="169"/>
      <c r="X118" s="169"/>
    </row>
    <row r="119" spans="1:25" x14ac:dyDescent="0.2">
      <c r="A119" s="169">
        <v>1</v>
      </c>
      <c r="B119" s="169">
        <v>1995</v>
      </c>
      <c r="C119" s="169">
        <v>137.19999999999999</v>
      </c>
      <c r="D119" s="169">
        <v>119.3</v>
      </c>
      <c r="E119" s="169"/>
      <c r="F119" s="169"/>
      <c r="G119" s="169"/>
      <c r="I119" s="174">
        <v>93.4</v>
      </c>
      <c r="J119" s="166">
        <v>1</v>
      </c>
      <c r="K119" s="166">
        <v>1995</v>
      </c>
      <c r="L119" s="175">
        <v>13188</v>
      </c>
      <c r="M119" s="174">
        <v>171.1</v>
      </c>
      <c r="N119" s="174">
        <f t="shared" si="4"/>
        <v>286.48258565310493</v>
      </c>
      <c r="O119" s="175">
        <v>7699</v>
      </c>
      <c r="P119" s="174">
        <v>543</v>
      </c>
      <c r="Q119" s="174">
        <f t="shared" si="2"/>
        <v>909.17617773019288</v>
      </c>
      <c r="R119" s="175">
        <v>11007</v>
      </c>
      <c r="S119" s="174">
        <v>183.1</v>
      </c>
      <c r="T119" s="174">
        <f t="shared" si="3"/>
        <v>306.57487687366171</v>
      </c>
      <c r="V119" s="168" t="s">
        <v>180</v>
      </c>
    </row>
    <row r="120" spans="1:25" x14ac:dyDescent="0.2">
      <c r="A120" s="169">
        <v>2</v>
      </c>
      <c r="B120" s="169"/>
      <c r="C120" s="169">
        <f>248.2-C119</f>
        <v>111</v>
      </c>
      <c r="D120" s="169">
        <f>214.7-D119</f>
        <v>95.399999999999991</v>
      </c>
      <c r="E120" s="169"/>
      <c r="F120" s="169"/>
      <c r="G120" s="169"/>
      <c r="I120" s="174">
        <v>94.1</v>
      </c>
      <c r="J120" s="166">
        <v>2</v>
      </c>
      <c r="L120" s="175">
        <v>11077</v>
      </c>
      <c r="M120" s="174">
        <v>148.30000000000004</v>
      </c>
      <c r="N120" s="174">
        <f t="shared" si="4"/>
        <v>246.46010095642944</v>
      </c>
      <c r="O120" s="175">
        <v>5465</v>
      </c>
      <c r="P120" s="174">
        <v>462.40000000000009</v>
      </c>
      <c r="Q120" s="174">
        <f t="shared" si="2"/>
        <v>768.46359192348598</v>
      </c>
      <c r="R120" s="175">
        <v>13915</v>
      </c>
      <c r="S120" s="174">
        <v>213.4</v>
      </c>
      <c r="T120" s="174">
        <f t="shared" si="3"/>
        <v>354.64993623804469</v>
      </c>
    </row>
    <row r="121" spans="1:25" x14ac:dyDescent="0.2">
      <c r="A121" s="169">
        <v>3</v>
      </c>
      <c r="B121" s="169"/>
      <c r="C121" s="169">
        <f>364.1-C119-C120</f>
        <v>115.90000000000003</v>
      </c>
      <c r="D121" s="169">
        <f>315.7-D119-D120</f>
        <v>100.99999999999999</v>
      </c>
      <c r="E121" s="169"/>
      <c r="F121" s="169"/>
      <c r="G121" s="169"/>
      <c r="I121" s="174">
        <v>94.1</v>
      </c>
      <c r="J121" s="166">
        <v>3</v>
      </c>
      <c r="L121" s="175">
        <v>13937</v>
      </c>
      <c r="M121" s="174">
        <v>180.19999999999993</v>
      </c>
      <c r="N121" s="174">
        <f t="shared" si="4"/>
        <v>299.47478214665244</v>
      </c>
      <c r="O121" s="175">
        <v>9139</v>
      </c>
      <c r="P121" s="174">
        <v>487.89999999999986</v>
      </c>
      <c r="Q121" s="174">
        <f t="shared" si="2"/>
        <v>810.84209883103074</v>
      </c>
      <c r="R121" s="175">
        <v>17436</v>
      </c>
      <c r="S121" s="174">
        <v>224.09999999999991</v>
      </c>
      <c r="T121" s="174">
        <f t="shared" si="3"/>
        <v>372.43229011689681</v>
      </c>
      <c r="V121" s="169"/>
      <c r="W121" s="173" t="str">
        <f>+'Tab3'!C6</f>
        <v>2019</v>
      </c>
      <c r="X121" s="173" t="str">
        <f>+'Tab3'!D6</f>
        <v>2020</v>
      </c>
      <c r="Y121" s="173" t="str">
        <f>+'Tab3'!E6</f>
        <v>2021</v>
      </c>
    </row>
    <row r="122" spans="1:25" x14ac:dyDescent="0.2">
      <c r="A122" s="169">
        <v>4</v>
      </c>
      <c r="B122" s="169"/>
      <c r="C122" s="169">
        <f>482.9-C119-C120-C121</f>
        <v>118.79999999999995</v>
      </c>
      <c r="D122" s="169">
        <f>420.1-D119-D120-D121</f>
        <v>104.40000000000005</v>
      </c>
      <c r="E122" s="169"/>
      <c r="F122" s="169"/>
      <c r="G122" s="169"/>
      <c r="I122" s="174">
        <v>94.6</v>
      </c>
      <c r="J122" s="166">
        <v>4</v>
      </c>
      <c r="L122" s="175">
        <v>13920</v>
      </c>
      <c r="M122" s="174">
        <v>172.00000000000006</v>
      </c>
      <c r="N122" s="174">
        <f t="shared" si="4"/>
        <v>284.33636363636379</v>
      </c>
      <c r="O122" s="175">
        <v>7500</v>
      </c>
      <c r="P122" s="174">
        <v>369.89999999999986</v>
      </c>
      <c r="Q122" s="174">
        <f t="shared" si="2"/>
        <v>611.48849365750516</v>
      </c>
      <c r="R122" s="175">
        <v>15130</v>
      </c>
      <c r="S122" s="174">
        <v>206.30000000000018</v>
      </c>
      <c r="T122" s="174">
        <f t="shared" si="3"/>
        <v>341.03832452431323</v>
      </c>
      <c r="V122" s="169" t="s">
        <v>10</v>
      </c>
      <c r="W122" s="173">
        <f>IF('Tab3'!C22="",'Tab3'!C29,'Tab3'!C30)</f>
        <v>271454.89423076925</v>
      </c>
      <c r="X122" s="173">
        <f>IF('Tab3'!D22="",'Tab3'!D29,'Tab3'!D30)</f>
        <v>375186</v>
      </c>
      <c r="Y122" s="173">
        <f>IF('Tab3'!E22="",'Tab3'!E29,'Tab3'!E30)</f>
        <v>112892.84615384616</v>
      </c>
    </row>
    <row r="123" spans="1:25" x14ac:dyDescent="0.2">
      <c r="A123" s="169">
        <v>1</v>
      </c>
      <c r="B123" s="169">
        <v>1996</v>
      </c>
      <c r="C123" s="169">
        <v>143.9</v>
      </c>
      <c r="D123" s="169">
        <v>126.9</v>
      </c>
      <c r="E123" s="169"/>
      <c r="F123" s="169"/>
      <c r="G123" s="169"/>
      <c r="I123" s="174">
        <v>94.2</v>
      </c>
      <c r="J123" s="166">
        <v>1</v>
      </c>
      <c r="K123" s="166">
        <v>1996</v>
      </c>
      <c r="L123" s="175">
        <v>29850</v>
      </c>
      <c r="M123" s="174">
        <v>375.59999999999997</v>
      </c>
      <c r="N123" s="174">
        <f t="shared" si="4"/>
        <v>623.5478343949045</v>
      </c>
      <c r="O123" s="175">
        <v>7239</v>
      </c>
      <c r="P123" s="174">
        <v>479.9</v>
      </c>
      <c r="Q123" s="174">
        <f t="shared" si="2"/>
        <v>796.70022823779198</v>
      </c>
      <c r="R123" s="175">
        <v>11785</v>
      </c>
      <c r="S123" s="174">
        <v>198.60000000000002</v>
      </c>
      <c r="T123" s="174">
        <f t="shared" si="3"/>
        <v>329.70340764331218</v>
      </c>
      <c r="V123" s="166" t="s">
        <v>112</v>
      </c>
      <c r="W123" s="173">
        <f>IF('Tab9'!C8="",'Tab9'!C7,'Tab9'!C8)</f>
        <v>100639.43441636582</v>
      </c>
      <c r="X123" s="173">
        <f>IF('Tab9'!D8="",'Tab9'!D7,'Tab9'!D8)</f>
        <v>102401.97556636843</v>
      </c>
      <c r="Y123" s="173">
        <f>IF('Tab9'!E8="",'Tab9'!E7,'Tab9'!E8)</f>
        <v>112820.34615183383</v>
      </c>
    </row>
    <row r="124" spans="1:25" x14ac:dyDescent="0.2">
      <c r="A124" s="169">
        <v>2</v>
      </c>
      <c r="B124" s="169"/>
      <c r="C124" s="169">
        <f>275.5-C123</f>
        <v>131.6</v>
      </c>
      <c r="D124" s="169">
        <f>242.6-D123</f>
        <v>115.69999999999999</v>
      </c>
      <c r="E124" s="169"/>
      <c r="F124" s="169"/>
      <c r="G124" s="169"/>
      <c r="I124" s="174">
        <v>95.1</v>
      </c>
      <c r="J124" s="166">
        <v>2</v>
      </c>
      <c r="L124" s="175">
        <v>17799</v>
      </c>
      <c r="M124" s="174">
        <v>234.8</v>
      </c>
      <c r="N124" s="174">
        <f t="shared" si="4"/>
        <v>386.1114405888539</v>
      </c>
      <c r="O124" s="175">
        <v>6503</v>
      </c>
      <c r="P124" s="174">
        <v>585.30000000000007</v>
      </c>
      <c r="Q124" s="174">
        <f t="shared" si="2"/>
        <v>962.48307570977943</v>
      </c>
      <c r="R124" s="175">
        <v>14642</v>
      </c>
      <c r="S124" s="174">
        <v>220.09999999999997</v>
      </c>
      <c r="T124" s="174">
        <f t="shared" si="3"/>
        <v>361.9383648790747</v>
      </c>
      <c r="V124" s="166" t="s">
        <v>111</v>
      </c>
      <c r="W124" s="173">
        <f>IF('Tab8'!C8="",'Tab8'!C7,'Tab8'!C8)</f>
        <v>163732.57076335477</v>
      </c>
      <c r="X124" s="173">
        <f>IF('Tab8'!D8="",'Tab8'!D7,'Tab8'!D8)</f>
        <v>173987.3295662638</v>
      </c>
      <c r="Y124" s="173">
        <f>IF('Tab8'!E8="",'Tab8'!E7,'Tab8'!E8)</f>
        <v>188188.28956731022</v>
      </c>
    </row>
    <row r="125" spans="1:25" x14ac:dyDescent="0.2">
      <c r="A125" s="169">
        <v>3</v>
      </c>
      <c r="B125" s="169"/>
      <c r="C125" s="169">
        <f>387.5-C123-C124</f>
        <v>112</v>
      </c>
      <c r="D125" s="169">
        <f>339.3-D123-D124</f>
        <v>96.700000000000017</v>
      </c>
      <c r="E125" s="169"/>
      <c r="F125" s="169"/>
      <c r="G125" s="169"/>
      <c r="I125" s="174">
        <v>95.5</v>
      </c>
      <c r="J125" s="166">
        <v>3</v>
      </c>
      <c r="L125" s="175">
        <v>16263</v>
      </c>
      <c r="M125" s="174">
        <v>240.00000000000011</v>
      </c>
      <c r="N125" s="174">
        <f t="shared" si="4"/>
        <v>393.00942408376989</v>
      </c>
      <c r="O125" s="175">
        <v>8934</v>
      </c>
      <c r="P125" s="174">
        <v>581.89999999999986</v>
      </c>
      <c r="Q125" s="174">
        <f t="shared" si="2"/>
        <v>952.8840994764397</v>
      </c>
      <c r="R125" s="175">
        <v>17198</v>
      </c>
      <c r="S125" s="174">
        <v>233.2</v>
      </c>
      <c r="T125" s="174">
        <f t="shared" si="3"/>
        <v>381.87415706806286</v>
      </c>
      <c r="V125" s="169" t="s">
        <v>169</v>
      </c>
      <c r="W125" s="173">
        <f>IF('Tab3'!C16="",'Tab3'!C15,'Tab3'!C16)</f>
        <v>35803.787386526514</v>
      </c>
      <c r="X125" s="173">
        <f>IF('Tab3'!D16="",'Tab3'!D15,'Tab3'!D16)</f>
        <v>33616.30625895843</v>
      </c>
      <c r="Y125" s="173">
        <f>IF('Tab3'!E16="",'Tab3'!E15,'Tab3'!E16)</f>
        <v>35814.894648829431</v>
      </c>
    </row>
    <row r="126" spans="1:25" x14ac:dyDescent="0.2">
      <c r="A126" s="169">
        <v>4</v>
      </c>
      <c r="B126" s="169"/>
      <c r="C126" s="169">
        <f>520-C123-C124-C125</f>
        <v>132.50000000000003</v>
      </c>
      <c r="D126" s="169">
        <f>452.4-D123-D124-D125</f>
        <v>113.1</v>
      </c>
      <c r="E126" s="169"/>
      <c r="F126" s="169"/>
      <c r="G126" s="169"/>
      <c r="I126" s="174">
        <v>96.3</v>
      </c>
      <c r="J126" s="166">
        <v>4</v>
      </c>
      <c r="L126" s="175">
        <v>16638</v>
      </c>
      <c r="M126" s="174">
        <v>233.40000000000009</v>
      </c>
      <c r="N126" s="174">
        <f t="shared" si="4"/>
        <v>379.02657320872294</v>
      </c>
      <c r="O126" s="175">
        <v>7966</v>
      </c>
      <c r="P126" s="174">
        <v>665.80000000000018</v>
      </c>
      <c r="Q126" s="174">
        <f t="shared" si="2"/>
        <v>1081.2163343717555</v>
      </c>
      <c r="R126" s="175">
        <v>13841</v>
      </c>
      <c r="S126" s="174">
        <v>188.00000000000011</v>
      </c>
      <c r="T126" s="174">
        <f t="shared" si="3"/>
        <v>305.29989615784029</v>
      </c>
    </row>
    <row r="127" spans="1:25" x14ac:dyDescent="0.2">
      <c r="A127" s="169">
        <v>1</v>
      </c>
      <c r="B127" s="169">
        <v>1997</v>
      </c>
      <c r="C127" s="169">
        <v>142.6</v>
      </c>
      <c r="D127" s="169">
        <v>124.8</v>
      </c>
      <c r="E127" s="169"/>
      <c r="F127" s="169"/>
      <c r="G127" s="169"/>
      <c r="I127" s="174">
        <v>97.3</v>
      </c>
      <c r="J127" s="166">
        <v>1</v>
      </c>
      <c r="K127" s="166">
        <v>1997</v>
      </c>
      <c r="L127" s="175">
        <v>17837</v>
      </c>
      <c r="M127" s="174">
        <v>255.29999999999998</v>
      </c>
      <c r="N127" s="174">
        <f t="shared" si="4"/>
        <v>410.32980986639262</v>
      </c>
      <c r="O127" s="175">
        <v>7574</v>
      </c>
      <c r="P127" s="174">
        <v>625.70000000000005</v>
      </c>
      <c r="Q127" s="174">
        <f t="shared" si="2"/>
        <v>1005.6535919835562</v>
      </c>
      <c r="R127" s="175">
        <v>10571</v>
      </c>
      <c r="S127" s="174">
        <v>187.8</v>
      </c>
      <c r="T127" s="174">
        <f t="shared" si="3"/>
        <v>301.8407297019528</v>
      </c>
      <c r="V127" s="168" t="s">
        <v>181</v>
      </c>
    </row>
    <row r="128" spans="1:25" x14ac:dyDescent="0.2">
      <c r="A128" s="169">
        <v>2</v>
      </c>
      <c r="B128" s="169"/>
      <c r="C128" s="169">
        <f>284.4-C127</f>
        <v>141.79999999999998</v>
      </c>
      <c r="D128" s="169">
        <f>247.3-D127</f>
        <v>122.50000000000001</v>
      </c>
      <c r="E128" s="169"/>
      <c r="F128" s="169"/>
      <c r="G128" s="169"/>
      <c r="I128" s="174">
        <v>97.7</v>
      </c>
      <c r="J128" s="166">
        <v>2</v>
      </c>
      <c r="L128" s="175">
        <v>16872</v>
      </c>
      <c r="M128" s="174">
        <v>281.30000000000007</v>
      </c>
      <c r="N128" s="174">
        <f t="shared" si="4"/>
        <v>450.26714943705235</v>
      </c>
      <c r="O128" s="175">
        <v>7284</v>
      </c>
      <c r="P128" s="174">
        <v>664.39999999999986</v>
      </c>
      <c r="Q128" s="174">
        <f t="shared" si="2"/>
        <v>1063.4820266120776</v>
      </c>
      <c r="R128" s="175">
        <v>14837</v>
      </c>
      <c r="S128" s="174">
        <v>224.59999999999997</v>
      </c>
      <c r="T128" s="174">
        <f t="shared" si="3"/>
        <v>359.50942681678606</v>
      </c>
      <c r="W128" s="173" t="str">
        <f>+'Tab3'!C6</f>
        <v>2019</v>
      </c>
      <c r="X128" s="173" t="str">
        <f>+'Tab3'!D6</f>
        <v>2020</v>
      </c>
      <c r="Y128" s="173" t="str">
        <f>+'Tab3'!E6</f>
        <v>2021</v>
      </c>
    </row>
    <row r="129" spans="1:25" x14ac:dyDescent="0.2">
      <c r="A129" s="169">
        <v>3</v>
      </c>
      <c r="B129" s="169"/>
      <c r="C129" s="169">
        <f>419.8-C127-C128</f>
        <v>135.40000000000006</v>
      </c>
      <c r="D129" s="169">
        <f>364.6-D127-D128</f>
        <v>117.3</v>
      </c>
      <c r="E129" s="169"/>
      <c r="F129" s="169" t="s">
        <v>74</v>
      </c>
      <c r="G129" s="169"/>
      <c r="I129" s="174">
        <v>97.7</v>
      </c>
      <c r="J129" s="166">
        <v>3</v>
      </c>
      <c r="L129" s="175">
        <v>17873</v>
      </c>
      <c r="M129" s="174">
        <v>297.89999999999998</v>
      </c>
      <c r="N129" s="174">
        <f t="shared" si="4"/>
        <v>476.83819344933471</v>
      </c>
      <c r="O129" s="175">
        <v>14581</v>
      </c>
      <c r="P129" s="174">
        <v>720.30000000000018</v>
      </c>
      <c r="Q129" s="174">
        <f t="shared" si="2"/>
        <v>1152.9592169907885</v>
      </c>
      <c r="R129" s="175">
        <v>15670</v>
      </c>
      <c r="S129" s="174">
        <v>198.80000000000007</v>
      </c>
      <c r="T129" s="174">
        <f t="shared" si="3"/>
        <v>318.21226202661222</v>
      </c>
      <c r="V129" s="169" t="s">
        <v>11</v>
      </c>
      <c r="W129" s="173">
        <f>IF('Tab3'!C30="",'Tab3'!C31,'Tab3'!C32)</f>
        <v>8920.4557356608475</v>
      </c>
      <c r="X129" s="173">
        <f>IF('Tab3'!D30="",'Tab3'!D31,'Tab3'!D32)</f>
        <v>11333.992503086034</v>
      </c>
      <c r="Y129" s="173">
        <f>IF('Tab3'!E30="",'Tab3'!E31,'Tab3'!E32)</f>
        <v>10743.278054862843</v>
      </c>
    </row>
    <row r="130" spans="1:25" x14ac:dyDescent="0.2">
      <c r="A130" s="169">
        <v>4</v>
      </c>
      <c r="B130" s="169"/>
      <c r="C130" s="169">
        <f>550.4-C127-C128-C129</f>
        <v>130.59999999999994</v>
      </c>
      <c r="D130" s="169">
        <f>478.3-D127-D128-D129</f>
        <v>113.7</v>
      </c>
      <c r="E130" s="169"/>
      <c r="F130" s="169"/>
      <c r="G130" s="169"/>
      <c r="I130" s="174">
        <v>98.4</v>
      </c>
      <c r="J130" s="166">
        <v>4</v>
      </c>
      <c r="L130" s="175">
        <v>15493</v>
      </c>
      <c r="M130" s="174">
        <v>267.70000000000005</v>
      </c>
      <c r="N130" s="174">
        <f t="shared" si="4"/>
        <v>425.44984247967488</v>
      </c>
      <c r="O130" s="175">
        <v>9445</v>
      </c>
      <c r="P130" s="174">
        <v>564</v>
      </c>
      <c r="Q130" s="174">
        <f t="shared" si="2"/>
        <v>896.35304878048782</v>
      </c>
      <c r="R130" s="175">
        <v>13087</v>
      </c>
      <c r="S130" s="174">
        <v>185.09999999999991</v>
      </c>
      <c r="T130" s="174">
        <f t="shared" si="3"/>
        <v>294.17544207317059</v>
      </c>
      <c r="V130" s="169" t="s">
        <v>12</v>
      </c>
      <c r="W130" s="173">
        <f>IF('Tab3'!C32="",'Tab3'!C33,'Tab3'!C34)</f>
        <v>7645.16</v>
      </c>
      <c r="X130" s="173">
        <f>IF('Tab3'!D32="",'Tab3'!D33,'Tab3'!D34)</f>
        <v>8411.9601644300001</v>
      </c>
      <c r="Y130" s="173">
        <f>IF('Tab3'!E32="",'Tab3'!E33,'Tab3'!E34)</f>
        <v>8518.8459999999995</v>
      </c>
    </row>
    <row r="131" spans="1:25" x14ac:dyDescent="0.2">
      <c r="A131" s="169">
        <v>1</v>
      </c>
      <c r="B131" s="169">
        <v>1998</v>
      </c>
      <c r="C131" s="169">
        <v>150</v>
      </c>
      <c r="D131" s="169">
        <v>131.9</v>
      </c>
      <c r="E131" s="169"/>
      <c r="F131" s="169" t="s">
        <v>78</v>
      </c>
      <c r="G131" s="169"/>
      <c r="I131" s="174">
        <v>99.3</v>
      </c>
      <c r="J131" s="166">
        <v>1</v>
      </c>
      <c r="K131" s="166">
        <v>1998</v>
      </c>
      <c r="L131" s="175">
        <v>17629</v>
      </c>
      <c r="M131" s="174">
        <v>285</v>
      </c>
      <c r="N131" s="174">
        <f t="shared" si="4"/>
        <v>448.83912386706953</v>
      </c>
      <c r="O131" s="175">
        <v>7614</v>
      </c>
      <c r="P131" s="174">
        <v>599.6</v>
      </c>
      <c r="Q131" s="174">
        <f t="shared" si="2"/>
        <v>944.29452165156113</v>
      </c>
      <c r="R131" s="175">
        <v>11958</v>
      </c>
      <c r="S131" s="174">
        <v>185.4</v>
      </c>
      <c r="T131" s="174">
        <f t="shared" si="3"/>
        <v>291.98166163142002</v>
      </c>
      <c r="V131" s="169" t="s">
        <v>7</v>
      </c>
      <c r="W131" s="173">
        <f>IF('Tab3'!C18="",'Tab3'!C17,'Tab3'!C18)</f>
        <v>7040.4526530612247</v>
      </c>
      <c r="X131" s="173">
        <f>IF('Tab3'!D18="",'Tab3'!D17,'Tab3'!D18)</f>
        <v>6161.3536816326532</v>
      </c>
      <c r="Y131" s="173">
        <f>IF('Tab3'!E18="",'Tab3'!E17,'Tab3'!E18)</f>
        <v>6310.199289795919</v>
      </c>
    </row>
    <row r="132" spans="1:25" x14ac:dyDescent="0.2">
      <c r="A132" s="169">
        <v>2</v>
      </c>
      <c r="B132" s="169"/>
      <c r="C132" s="169">
        <f>289.8-C131</f>
        <v>139.80000000000001</v>
      </c>
      <c r="D132" s="169">
        <f>253.9-D131</f>
        <v>122</v>
      </c>
      <c r="E132" s="169"/>
      <c r="F132" s="169" t="s">
        <v>79</v>
      </c>
      <c r="G132" s="169" t="s">
        <v>80</v>
      </c>
      <c r="I132" s="174">
        <v>99.7</v>
      </c>
      <c r="J132" s="166">
        <v>2</v>
      </c>
      <c r="L132" s="175">
        <v>14484</v>
      </c>
      <c r="M132" s="174">
        <v>253.5</v>
      </c>
      <c r="N132" s="174">
        <f t="shared" si="4"/>
        <v>397.6288615847543</v>
      </c>
      <c r="O132" s="175">
        <v>6009</v>
      </c>
      <c r="P132" s="174">
        <v>576.9</v>
      </c>
      <c r="Q132" s="174">
        <f t="shared" si="2"/>
        <v>904.89976429287867</v>
      </c>
      <c r="R132" s="175">
        <v>15060</v>
      </c>
      <c r="S132" s="174">
        <v>204.20000000000002</v>
      </c>
      <c r="T132" s="174">
        <f t="shared" si="3"/>
        <v>320.29906720160483</v>
      </c>
      <c r="V132" s="166" t="s">
        <v>113</v>
      </c>
      <c r="W132" s="173">
        <f>IF('Tab10'!C8="",'Tab10'!C7,'Tab10'!C8)</f>
        <v>13638.057761732853</v>
      </c>
      <c r="X132" s="173">
        <f>IF('Tab10'!D8="",'Tab10'!D7,'Tab10'!D8)</f>
        <v>15370.772092293204</v>
      </c>
      <c r="Y132" s="173">
        <f>IF('Tab10'!E8="",'Tab10'!E7,'Tab10'!E8)</f>
        <v>17809.5</v>
      </c>
    </row>
    <row r="133" spans="1:25" x14ac:dyDescent="0.2">
      <c r="A133" s="169">
        <v>3</v>
      </c>
      <c r="B133" s="169"/>
      <c r="C133" s="169">
        <f>+E133-C131-C132</f>
        <v>128.09999999999997</v>
      </c>
      <c r="D133" s="169">
        <f>+G133-D131-D132</f>
        <v>112.1</v>
      </c>
      <c r="E133" s="169">
        <v>417.9</v>
      </c>
      <c r="G133" s="169">
        <v>366</v>
      </c>
      <c r="I133" s="178">
        <v>99.8</v>
      </c>
      <c r="J133" s="166">
        <v>3</v>
      </c>
      <c r="L133" s="175">
        <v>15693</v>
      </c>
      <c r="M133" s="174">
        <v>257.89999999999998</v>
      </c>
      <c r="N133" s="174">
        <f t="shared" si="4"/>
        <v>404.12516533066133</v>
      </c>
      <c r="O133" s="175">
        <v>8328</v>
      </c>
      <c r="P133" s="174">
        <v>432.80000000000018</v>
      </c>
      <c r="Q133" s="174">
        <f t="shared" si="2"/>
        <v>678.19066132264572</v>
      </c>
      <c r="R133" s="175">
        <v>17098</v>
      </c>
      <c r="S133" s="174">
        <v>209.60000000000002</v>
      </c>
      <c r="T133" s="174">
        <f t="shared" si="3"/>
        <v>328.43983967935878</v>
      </c>
      <c r="V133" s="169" t="s">
        <v>9</v>
      </c>
      <c r="W133" s="173">
        <f>IF('Tab3'!C22="",'Tab3'!C21,'Tab3'!C22)</f>
        <v>19854.9175</v>
      </c>
      <c r="X133" s="173">
        <f>IF('Tab3'!D22="",'Tab3'!D21,'Tab3'!D22)</f>
        <v>19809.1175</v>
      </c>
      <c r="Y133" s="173">
        <f>IF('Tab3'!E22="",'Tab3'!E21,'Tab3'!E22)</f>
        <v>22635.919999999998</v>
      </c>
    </row>
    <row r="134" spans="1:25" x14ac:dyDescent="0.2">
      <c r="A134" s="169">
        <v>4</v>
      </c>
      <c r="B134" s="169"/>
      <c r="C134" s="169">
        <f>+E134-E133</f>
        <v>141.80000000000007</v>
      </c>
      <c r="D134" s="169">
        <f>+G134-G133</f>
        <v>125.60000000000002</v>
      </c>
      <c r="E134" s="169">
        <v>559.70000000000005</v>
      </c>
      <c r="G134" s="169">
        <v>491.6</v>
      </c>
      <c r="I134" s="178">
        <v>100.7</v>
      </c>
      <c r="J134" s="166">
        <v>4</v>
      </c>
      <c r="L134" s="175">
        <v>16502</v>
      </c>
      <c r="M134" s="174">
        <v>299.10000000000002</v>
      </c>
      <c r="N134" s="174">
        <f t="shared" si="4"/>
        <v>464.49606256206562</v>
      </c>
      <c r="O134" s="175">
        <v>7526</v>
      </c>
      <c r="P134" s="174">
        <v>738.59999999999945</v>
      </c>
      <c r="Q134" s="174">
        <f t="shared" si="2"/>
        <v>1147.0303972194629</v>
      </c>
      <c r="R134" s="175">
        <v>14647</v>
      </c>
      <c r="S134" s="174">
        <v>205.79999999999995</v>
      </c>
      <c r="T134" s="174">
        <f t="shared" si="3"/>
        <v>319.60310824230385</v>
      </c>
    </row>
    <row r="135" spans="1:25" x14ac:dyDescent="0.2">
      <c r="A135" s="169">
        <v>1</v>
      </c>
      <c r="B135" s="169">
        <v>1999</v>
      </c>
      <c r="C135" s="169">
        <f>+E135</f>
        <v>154.19999999999999</v>
      </c>
      <c r="D135" s="169">
        <f>+G135</f>
        <v>137.1</v>
      </c>
      <c r="E135" s="169">
        <v>154.19999999999999</v>
      </c>
      <c r="G135" s="169">
        <v>137.1</v>
      </c>
      <c r="I135" s="178">
        <v>101.4</v>
      </c>
      <c r="J135" s="166">
        <v>1</v>
      </c>
      <c r="K135" s="166">
        <v>1999</v>
      </c>
      <c r="L135" s="175">
        <v>18095</v>
      </c>
      <c r="M135" s="174">
        <v>328.50000000000006</v>
      </c>
      <c r="N135" s="174">
        <f t="shared" si="4"/>
        <v>506.63187869822497</v>
      </c>
      <c r="O135" s="175">
        <v>8863</v>
      </c>
      <c r="P135" s="174">
        <v>689.1</v>
      </c>
      <c r="Q135" s="174">
        <f t="shared" si="2"/>
        <v>1062.7702514792902</v>
      </c>
      <c r="R135" s="175">
        <v>11175</v>
      </c>
      <c r="S135" s="174">
        <v>162.80000000000001</v>
      </c>
      <c r="T135" s="174">
        <f t="shared" si="3"/>
        <v>251.0796646942801</v>
      </c>
    </row>
    <row r="136" spans="1:25" x14ac:dyDescent="0.2">
      <c r="A136" s="169">
        <v>2</v>
      </c>
      <c r="B136" s="169"/>
      <c r="C136" s="169">
        <f>+E136-E135</f>
        <v>159.30000000000001</v>
      </c>
      <c r="D136" s="169">
        <f>+G136-G135</f>
        <v>140.70000000000002</v>
      </c>
      <c r="E136" s="169">
        <v>313.5</v>
      </c>
      <c r="G136" s="169">
        <v>277.8</v>
      </c>
      <c r="I136" s="178">
        <v>102.2</v>
      </c>
      <c r="J136" s="166">
        <v>2</v>
      </c>
      <c r="L136" s="175">
        <v>12899</v>
      </c>
      <c r="M136" s="174">
        <v>332.7</v>
      </c>
      <c r="N136" s="174">
        <f t="shared" si="4"/>
        <v>509.09285225048927</v>
      </c>
      <c r="O136" s="175">
        <v>5920</v>
      </c>
      <c r="P136" s="174">
        <v>874.6</v>
      </c>
      <c r="Q136" s="174">
        <f t="shared" si="2"/>
        <v>1338.3005968688847</v>
      </c>
      <c r="R136" s="175">
        <v>12451</v>
      </c>
      <c r="S136" s="174">
        <v>199.09999999999997</v>
      </c>
      <c r="T136" s="174">
        <f t="shared" si="3"/>
        <v>304.66001467710373</v>
      </c>
    </row>
    <row r="137" spans="1:25" x14ac:dyDescent="0.2">
      <c r="A137" s="169">
        <v>3</v>
      </c>
      <c r="B137" s="169"/>
      <c r="C137" s="169">
        <f>+E137-E136</f>
        <v>146.30000000000001</v>
      </c>
      <c r="D137" s="169">
        <f>+G137-G136</f>
        <v>128.69999999999999</v>
      </c>
      <c r="E137" s="169">
        <v>459.8</v>
      </c>
      <c r="G137" s="169">
        <v>406.5</v>
      </c>
      <c r="I137" s="178">
        <v>101.7</v>
      </c>
      <c r="J137" s="166">
        <v>3</v>
      </c>
      <c r="L137" s="175">
        <v>23305</v>
      </c>
      <c r="M137" s="174">
        <v>445.5</v>
      </c>
      <c r="N137" s="174">
        <f t="shared" si="4"/>
        <v>685.04933628318588</v>
      </c>
      <c r="O137" s="175">
        <v>11181</v>
      </c>
      <c r="P137" s="174">
        <v>566.99999999999977</v>
      </c>
      <c r="Q137" s="174">
        <f t="shared" si="2"/>
        <v>871.88097345132712</v>
      </c>
      <c r="R137" s="175">
        <v>18817</v>
      </c>
      <c r="S137" s="174">
        <v>227.70000000000005</v>
      </c>
      <c r="T137" s="174">
        <f t="shared" si="3"/>
        <v>350.13632743362848</v>
      </c>
    </row>
    <row r="138" spans="1:25" x14ac:dyDescent="0.2">
      <c r="A138" s="169">
        <v>4</v>
      </c>
      <c r="B138" s="169"/>
      <c r="C138" s="169">
        <f>+E138-E137</f>
        <v>141.90000000000003</v>
      </c>
      <c r="D138" s="169">
        <f>+G138-G137</f>
        <v>126.39999999999998</v>
      </c>
      <c r="E138" s="169">
        <v>601.70000000000005</v>
      </c>
      <c r="G138" s="169">
        <v>532.9</v>
      </c>
      <c r="I138" s="174">
        <v>103.5</v>
      </c>
      <c r="J138" s="166">
        <v>4</v>
      </c>
      <c r="L138" s="175">
        <v>18359</v>
      </c>
      <c r="M138" s="174">
        <v>410.59999999999968</v>
      </c>
      <c r="N138" s="174">
        <f t="shared" si="4"/>
        <v>620.40271497584502</v>
      </c>
      <c r="O138" s="175">
        <v>9544</v>
      </c>
      <c r="P138" s="174">
        <v>935.5</v>
      </c>
      <c r="Q138" s="174">
        <f t="shared" si="2"/>
        <v>1413.5088647342998</v>
      </c>
      <c r="R138" s="175">
        <v>13692</v>
      </c>
      <c r="S138" s="174">
        <v>192.19999999999993</v>
      </c>
      <c r="T138" s="174">
        <f t="shared" si="3"/>
        <v>290.40770048309173</v>
      </c>
    </row>
    <row r="139" spans="1:25" x14ac:dyDescent="0.2">
      <c r="A139" s="169">
        <v>1</v>
      </c>
      <c r="B139" s="169">
        <v>2000</v>
      </c>
      <c r="C139" s="169">
        <f>+E139</f>
        <v>169.1</v>
      </c>
      <c r="D139" s="169">
        <f>+G139</f>
        <v>150.9</v>
      </c>
      <c r="E139" s="169">
        <v>169.1</v>
      </c>
      <c r="G139" s="169">
        <v>150.9</v>
      </c>
      <c r="I139" s="174">
        <v>104.6</v>
      </c>
      <c r="J139" s="166">
        <v>1</v>
      </c>
      <c r="K139" s="166">
        <v>2000</v>
      </c>
      <c r="L139" s="175">
        <v>17570</v>
      </c>
      <c r="M139" s="174">
        <v>345.9</v>
      </c>
      <c r="N139" s="174">
        <f t="shared" si="4"/>
        <v>517.14695506692169</v>
      </c>
      <c r="O139" s="175">
        <v>9154</v>
      </c>
      <c r="P139" s="174">
        <v>819.9</v>
      </c>
      <c r="Q139" s="174">
        <f t="shared" si="2"/>
        <v>1225.8132074569792</v>
      </c>
      <c r="R139" s="175">
        <v>12421</v>
      </c>
      <c r="S139" s="174">
        <v>198</v>
      </c>
      <c r="T139" s="174">
        <f t="shared" si="3"/>
        <v>296.02514340344175</v>
      </c>
    </row>
    <row r="140" spans="1:25" x14ac:dyDescent="0.2">
      <c r="A140" s="169">
        <v>2</v>
      </c>
      <c r="B140" s="169"/>
      <c r="C140" s="169">
        <f>+E140-E139</f>
        <v>151.50000000000003</v>
      </c>
      <c r="D140" s="169">
        <f>+G140-G139</f>
        <v>133.4</v>
      </c>
      <c r="E140" s="169">
        <v>320.60000000000002</v>
      </c>
      <c r="G140" s="169">
        <v>284.3</v>
      </c>
      <c r="I140" s="174">
        <v>105.1</v>
      </c>
      <c r="J140" s="166">
        <v>2</v>
      </c>
      <c r="L140" s="175">
        <v>14069</v>
      </c>
      <c r="M140" s="174">
        <v>252.39999999999998</v>
      </c>
      <c r="N140" s="174">
        <f t="shared" si="4"/>
        <v>375.56207421503336</v>
      </c>
      <c r="O140" s="175">
        <v>10238</v>
      </c>
      <c r="P140" s="174">
        <v>674.19999999999993</v>
      </c>
      <c r="Q140" s="174">
        <f t="shared" si="2"/>
        <v>1003.1852235965748</v>
      </c>
      <c r="R140" s="175">
        <v>13950</v>
      </c>
      <c r="S140" s="174">
        <v>184.5</v>
      </c>
      <c r="T140" s="174">
        <f t="shared" si="3"/>
        <v>274.52932921027599</v>
      </c>
    </row>
    <row r="141" spans="1:25" x14ac:dyDescent="0.2">
      <c r="A141" s="169">
        <v>3</v>
      </c>
      <c r="B141" s="169"/>
      <c r="C141" s="169">
        <f>+E141-E140</f>
        <v>139</v>
      </c>
      <c r="D141" s="169">
        <f>+G141-G140</f>
        <v>123.5</v>
      </c>
      <c r="E141" s="169">
        <v>459.6</v>
      </c>
      <c r="G141" s="169">
        <v>407.8</v>
      </c>
      <c r="I141" s="174">
        <v>105.3</v>
      </c>
      <c r="J141" s="166">
        <v>3</v>
      </c>
      <c r="L141" s="175">
        <v>16329</v>
      </c>
      <c r="M141" s="174">
        <v>313.5</v>
      </c>
      <c r="N141" s="174">
        <f t="shared" si="4"/>
        <v>465.59066951566956</v>
      </c>
      <c r="O141" s="175">
        <v>13877</v>
      </c>
      <c r="P141" s="174">
        <v>706.20000000000027</v>
      </c>
      <c r="Q141" s="174">
        <f t="shared" si="2"/>
        <v>1048.8042450142455</v>
      </c>
      <c r="R141" s="175">
        <v>14850</v>
      </c>
      <c r="S141" s="174">
        <v>193.89999999999998</v>
      </c>
      <c r="T141" s="174">
        <f t="shared" si="3"/>
        <v>287.96820037986703</v>
      </c>
    </row>
    <row r="142" spans="1:25" x14ac:dyDescent="0.2">
      <c r="A142" s="169">
        <v>4</v>
      </c>
      <c r="B142" s="169"/>
      <c r="C142" s="169">
        <f>+E142-E141</f>
        <v>135.10000000000002</v>
      </c>
      <c r="D142" s="169">
        <f>+G142-G141</f>
        <v>121.40000000000003</v>
      </c>
      <c r="E142" s="169">
        <v>594.70000000000005</v>
      </c>
      <c r="G142" s="169">
        <v>529.20000000000005</v>
      </c>
      <c r="I142" s="174">
        <v>106.8</v>
      </c>
      <c r="J142" s="166">
        <v>4</v>
      </c>
      <c r="L142" s="175">
        <v>21735</v>
      </c>
      <c r="M142" s="174">
        <v>484.79999999999995</v>
      </c>
      <c r="N142" s="174">
        <f t="shared" si="4"/>
        <v>709.88247191011237</v>
      </c>
      <c r="O142" s="175">
        <v>9978</v>
      </c>
      <c r="P142" s="174">
        <v>739.19999999999982</v>
      </c>
      <c r="Q142" s="174">
        <f t="shared" si="2"/>
        <v>1082.3950561797751</v>
      </c>
      <c r="R142" s="175">
        <v>13212</v>
      </c>
      <c r="S142" s="174">
        <v>215</v>
      </c>
      <c r="T142" s="174">
        <f t="shared" si="3"/>
        <v>314.81999063670418</v>
      </c>
    </row>
    <row r="143" spans="1:25" x14ac:dyDescent="0.2">
      <c r="A143" s="169">
        <v>1</v>
      </c>
      <c r="B143" s="169">
        <v>2001</v>
      </c>
      <c r="C143" s="169">
        <f>+E143</f>
        <v>158.5</v>
      </c>
      <c r="D143" s="169">
        <f>+G143</f>
        <v>143.1</v>
      </c>
      <c r="E143" s="169">
        <v>158.5</v>
      </c>
      <c r="G143" s="169">
        <v>143.1</v>
      </c>
      <c r="I143" s="174">
        <v>108.4</v>
      </c>
      <c r="J143" s="166">
        <v>1</v>
      </c>
      <c r="K143" s="166">
        <v>2001</v>
      </c>
      <c r="L143" s="175">
        <v>27280</v>
      </c>
      <c r="M143" s="174">
        <v>675.3</v>
      </c>
      <c r="N143" s="174">
        <f t="shared" si="4"/>
        <v>974.2323846863469</v>
      </c>
      <c r="O143" s="175">
        <v>7776</v>
      </c>
      <c r="P143" s="174">
        <v>877</v>
      </c>
      <c r="Q143" s="174">
        <f t="shared" si="2"/>
        <v>1265.2181273062731</v>
      </c>
      <c r="R143" s="175">
        <v>10538</v>
      </c>
      <c r="S143" s="174">
        <v>164.1</v>
      </c>
      <c r="T143" s="174">
        <f t="shared" si="3"/>
        <v>236.74149907749077</v>
      </c>
    </row>
    <row r="144" spans="1:25" x14ac:dyDescent="0.2">
      <c r="A144" s="169">
        <v>2</v>
      </c>
      <c r="B144" s="169"/>
      <c r="C144" s="169">
        <f>+E144-E143</f>
        <v>140.45999999999998</v>
      </c>
      <c r="D144" s="169">
        <f>+G144-G143</f>
        <v>125.70000000000002</v>
      </c>
      <c r="E144" s="169">
        <v>298.95999999999998</v>
      </c>
      <c r="G144" s="169">
        <v>268.8</v>
      </c>
      <c r="I144" s="174">
        <v>109.6</v>
      </c>
      <c r="J144" s="166">
        <v>2</v>
      </c>
      <c r="L144" s="175">
        <v>17111</v>
      </c>
      <c r="M144" s="174">
        <v>452</v>
      </c>
      <c r="N144" s="174">
        <f t="shared" si="4"/>
        <v>644.9454379562045</v>
      </c>
      <c r="O144" s="175">
        <v>5711</v>
      </c>
      <c r="P144" s="174">
        <v>923</v>
      </c>
      <c r="Q144" s="174">
        <f t="shared" si="2"/>
        <v>1317.0014142335767</v>
      </c>
      <c r="R144" s="175">
        <v>11841</v>
      </c>
      <c r="S144" s="174">
        <v>190.29999999999998</v>
      </c>
      <c r="T144" s="174">
        <f t="shared" si="3"/>
        <v>271.5334443430657</v>
      </c>
    </row>
    <row r="145" spans="1:20" x14ac:dyDescent="0.2">
      <c r="A145" s="169">
        <v>3</v>
      </c>
      <c r="C145" s="169">
        <f>+E145-E144</f>
        <v>134.24</v>
      </c>
      <c r="D145" s="169">
        <f>+G145-G144</f>
        <v>119.19999999999999</v>
      </c>
      <c r="E145" s="169">
        <v>433.2</v>
      </c>
      <c r="G145" s="169">
        <v>388</v>
      </c>
      <c r="I145" s="174">
        <v>108.1</v>
      </c>
      <c r="J145" s="166">
        <v>3</v>
      </c>
      <c r="L145" s="175">
        <v>16407</v>
      </c>
      <c r="M145" s="174">
        <v>400.40000000000009</v>
      </c>
      <c r="N145" s="174">
        <f t="shared" si="4"/>
        <v>579.24656799259969</v>
      </c>
      <c r="O145" s="175">
        <v>15359</v>
      </c>
      <c r="P145" s="174">
        <v>1172.1999999999998</v>
      </c>
      <c r="Q145" s="174">
        <f t="shared" si="2"/>
        <v>1695.7862812210917</v>
      </c>
      <c r="R145" s="175">
        <v>13534</v>
      </c>
      <c r="S145" s="174">
        <v>158.5</v>
      </c>
      <c r="T145" s="174">
        <f t="shared" si="3"/>
        <v>229.29715541165589</v>
      </c>
    </row>
    <row r="146" spans="1:20" x14ac:dyDescent="0.2">
      <c r="A146" s="169">
        <v>4</v>
      </c>
      <c r="C146" s="169">
        <f>+E146-E145</f>
        <v>137.49520000000001</v>
      </c>
      <c r="D146" s="169">
        <f>+G146-G145</f>
        <v>124.07220000000007</v>
      </c>
      <c r="E146" s="177">
        <v>570.6952</v>
      </c>
      <c r="F146" s="182"/>
      <c r="G146" s="177">
        <v>512.07220000000007</v>
      </c>
      <c r="I146" s="174">
        <v>108.7</v>
      </c>
      <c r="J146" s="166">
        <v>4</v>
      </c>
      <c r="L146" s="175">
        <v>16945</v>
      </c>
      <c r="M146" s="174">
        <v>509.39999999999986</v>
      </c>
      <c r="N146" s="174">
        <f t="shared" si="4"/>
        <v>732.86586016559318</v>
      </c>
      <c r="O146" s="175">
        <v>9601</v>
      </c>
      <c r="P146" s="174">
        <v>803.30000000000018</v>
      </c>
      <c r="Q146" s="174">
        <f t="shared" si="2"/>
        <v>1155.6952207911688</v>
      </c>
      <c r="R146" s="175">
        <v>12341</v>
      </c>
      <c r="S146" s="174">
        <v>258.5</v>
      </c>
      <c r="T146" s="174">
        <f t="shared" si="3"/>
        <v>371.8999310027599</v>
      </c>
    </row>
    <row r="147" spans="1:20" x14ac:dyDescent="0.2">
      <c r="A147" s="169">
        <v>1</v>
      </c>
      <c r="B147" s="169">
        <v>2002</v>
      </c>
      <c r="C147" s="169">
        <f>+E147</f>
        <v>155.81399999999999</v>
      </c>
      <c r="D147" s="169">
        <f>+G147</f>
        <v>141.72399999999999</v>
      </c>
      <c r="E147" s="177">
        <v>155.81399999999999</v>
      </c>
      <c r="F147" s="182"/>
      <c r="G147" s="177">
        <v>141.72399999999999</v>
      </c>
      <c r="I147" s="174">
        <v>109.3</v>
      </c>
      <c r="J147" s="166">
        <v>1</v>
      </c>
      <c r="K147" s="166">
        <v>2002</v>
      </c>
      <c r="L147" s="175">
        <v>17523</v>
      </c>
      <c r="M147" s="174">
        <v>466.5</v>
      </c>
      <c r="N147" s="174">
        <f t="shared" si="4"/>
        <v>667.46205397987194</v>
      </c>
      <c r="O147" s="175">
        <v>6856</v>
      </c>
      <c r="P147" s="174">
        <v>820.40000000000009</v>
      </c>
      <c r="Q147" s="174">
        <f t="shared" si="2"/>
        <v>1173.817511436414</v>
      </c>
      <c r="R147" s="175">
        <v>9371</v>
      </c>
      <c r="S147" s="174">
        <v>197.9</v>
      </c>
      <c r="T147" s="174">
        <f t="shared" si="3"/>
        <v>283.15271271729188</v>
      </c>
    </row>
    <row r="148" spans="1:20" x14ac:dyDescent="0.2">
      <c r="A148" s="169">
        <v>2</v>
      </c>
      <c r="B148" s="169"/>
      <c r="C148" s="169">
        <f>+E148-E147</f>
        <v>146.54300000000003</v>
      </c>
      <c r="D148" s="169">
        <f>+G148-G147</f>
        <v>133.19</v>
      </c>
      <c r="E148" s="169">
        <v>302.35700000000003</v>
      </c>
      <c r="G148" s="169">
        <v>274.91399999999999</v>
      </c>
      <c r="I148" s="174">
        <v>110</v>
      </c>
      <c r="J148" s="166">
        <v>2</v>
      </c>
      <c r="L148" s="175">
        <v>17469</v>
      </c>
      <c r="M148" s="174">
        <v>408.5</v>
      </c>
      <c r="N148" s="174">
        <f t="shared" si="4"/>
        <v>580.75702272727278</v>
      </c>
      <c r="O148" s="175">
        <v>9323</v>
      </c>
      <c r="P148" s="174">
        <v>689.09999999999991</v>
      </c>
      <c r="Q148" s="174">
        <f t="shared" si="2"/>
        <v>979.68094090909085</v>
      </c>
      <c r="R148" s="175">
        <v>14749</v>
      </c>
      <c r="S148" s="174">
        <v>233.49999999999997</v>
      </c>
      <c r="T148" s="174">
        <f t="shared" si="3"/>
        <v>331.96270454545459</v>
      </c>
    </row>
    <row r="149" spans="1:20" x14ac:dyDescent="0.2">
      <c r="A149" s="169">
        <v>3</v>
      </c>
      <c r="C149" s="169">
        <f>+E149-E148</f>
        <v>146.23099999999999</v>
      </c>
      <c r="D149" s="169">
        <f>+G149-G148</f>
        <v>127.14100000000002</v>
      </c>
      <c r="E149" s="169">
        <v>448.58800000000002</v>
      </c>
      <c r="G149" s="169">
        <v>402.05500000000001</v>
      </c>
      <c r="I149" s="174">
        <v>109.6</v>
      </c>
      <c r="J149" s="166">
        <v>3</v>
      </c>
      <c r="L149" s="175">
        <v>19641</v>
      </c>
      <c r="M149" s="174">
        <v>503</v>
      </c>
      <c r="N149" s="174">
        <f t="shared" si="4"/>
        <v>717.71583029197086</v>
      </c>
      <c r="O149" s="175">
        <v>17422</v>
      </c>
      <c r="P149" s="174">
        <v>895.90000000000009</v>
      </c>
      <c r="Q149" s="174">
        <f t="shared" si="2"/>
        <v>1278.3332253649637</v>
      </c>
      <c r="R149" s="175">
        <v>14722</v>
      </c>
      <c r="S149" s="174">
        <v>184.5</v>
      </c>
      <c r="T149" s="174">
        <f t="shared" si="3"/>
        <v>263.25759580291975</v>
      </c>
    </row>
    <row r="150" spans="1:20" x14ac:dyDescent="0.2">
      <c r="A150" s="169">
        <v>4</v>
      </c>
      <c r="C150" s="169">
        <f>+E150-E149</f>
        <v>137.96699999999993</v>
      </c>
      <c r="D150" s="169">
        <f>+G150-G149</f>
        <v>124.64100000000002</v>
      </c>
      <c r="E150" s="177">
        <v>586.55499999999995</v>
      </c>
      <c r="F150" s="182"/>
      <c r="G150" s="177">
        <v>526.69600000000003</v>
      </c>
      <c r="I150" s="174">
        <v>111</v>
      </c>
      <c r="J150" s="166">
        <v>4</v>
      </c>
      <c r="L150" s="175">
        <v>17442</v>
      </c>
      <c r="M150" s="174">
        <v>464.20000000000005</v>
      </c>
      <c r="N150" s="174">
        <f t="shared" si="4"/>
        <v>653.9992522522524</v>
      </c>
      <c r="O150" s="175">
        <v>8123</v>
      </c>
      <c r="P150" s="174">
        <v>938.5</v>
      </c>
      <c r="Q150" s="174">
        <f t="shared" si="2"/>
        <v>1322.2281306306309</v>
      </c>
      <c r="R150" s="175">
        <v>14689</v>
      </c>
      <c r="S150" s="174">
        <v>194.00000000000011</v>
      </c>
      <c r="T150" s="174">
        <f t="shared" si="3"/>
        <v>273.32153153153172</v>
      </c>
    </row>
    <row r="151" spans="1:20" x14ac:dyDescent="0.2">
      <c r="A151" s="169">
        <v>1</v>
      </c>
      <c r="B151" s="169">
        <v>2003</v>
      </c>
      <c r="C151" s="177">
        <f>+E151</f>
        <v>165.679</v>
      </c>
      <c r="D151" s="169">
        <f>+G151</f>
        <v>150.81100000000001</v>
      </c>
      <c r="E151" s="177">
        <v>165.679</v>
      </c>
      <c r="F151" s="182"/>
      <c r="G151" s="177">
        <v>150.81100000000001</v>
      </c>
      <c r="I151" s="174">
        <v>114.6</v>
      </c>
      <c r="J151" s="166">
        <v>1</v>
      </c>
      <c r="K151" s="166">
        <v>2003</v>
      </c>
      <c r="L151" s="175">
        <v>22781</v>
      </c>
      <c r="M151" s="174">
        <v>626.79999999999995</v>
      </c>
      <c r="N151" s="174">
        <f t="shared" si="4"/>
        <v>855.34134380453759</v>
      </c>
      <c r="O151" s="175">
        <v>6823</v>
      </c>
      <c r="P151" s="174">
        <v>1087.2</v>
      </c>
      <c r="Q151" s="174">
        <f t="shared" si="2"/>
        <v>1483.6105759162308</v>
      </c>
      <c r="R151" s="175">
        <v>10626</v>
      </c>
      <c r="S151" s="174">
        <v>183</v>
      </c>
      <c r="T151" s="174">
        <f t="shared" si="3"/>
        <v>249.72473821989533</v>
      </c>
    </row>
    <row r="152" spans="1:20" x14ac:dyDescent="0.2">
      <c r="A152" s="169">
        <v>2</v>
      </c>
      <c r="B152" s="169"/>
      <c r="C152" s="177">
        <f>+E152-E151</f>
        <v>135.02099999999999</v>
      </c>
      <c r="D152" s="169">
        <f>+G152-G151</f>
        <v>121.10099999999997</v>
      </c>
      <c r="E152" s="169">
        <v>300.7</v>
      </c>
      <c r="G152" s="169">
        <v>271.91199999999998</v>
      </c>
      <c r="I152" s="174">
        <v>112.3</v>
      </c>
      <c r="J152" s="166">
        <v>2</v>
      </c>
      <c r="L152" s="175">
        <v>15417</v>
      </c>
      <c r="M152" s="174">
        <v>406.10000000000014</v>
      </c>
      <c r="N152" s="174">
        <f t="shared" si="4"/>
        <v>565.52046749777412</v>
      </c>
      <c r="O152" s="175">
        <v>5618</v>
      </c>
      <c r="P152" s="174">
        <v>817.8</v>
      </c>
      <c r="Q152" s="174">
        <f t="shared" si="2"/>
        <v>1138.8392965271596</v>
      </c>
      <c r="R152" s="175">
        <v>12719</v>
      </c>
      <c r="S152" s="174">
        <v>203.2</v>
      </c>
      <c r="T152" s="174">
        <f t="shared" si="3"/>
        <v>282.96911843276939</v>
      </c>
    </row>
    <row r="153" spans="1:20" x14ac:dyDescent="0.2">
      <c r="A153" s="169">
        <v>3</v>
      </c>
      <c r="B153" s="169"/>
      <c r="C153" s="177">
        <f>+E153-E152</f>
        <v>134.11099999999999</v>
      </c>
      <c r="D153" s="169">
        <f>+G153-G152</f>
        <v>119.49100000000004</v>
      </c>
      <c r="E153" s="169">
        <v>434.81099999999998</v>
      </c>
      <c r="G153" s="169">
        <v>391.40300000000002</v>
      </c>
      <c r="I153" s="174">
        <v>111.9</v>
      </c>
      <c r="J153" s="166">
        <v>3</v>
      </c>
      <c r="L153" s="175">
        <v>18848</v>
      </c>
      <c r="M153" s="174">
        <v>430.5</v>
      </c>
      <c r="N153" s="174">
        <f t="shared" si="4"/>
        <v>601.64202412868633</v>
      </c>
      <c r="O153" s="175">
        <v>16056</v>
      </c>
      <c r="P153" s="174">
        <v>860.19999999999982</v>
      </c>
      <c r="Q153" s="174">
        <f t="shared" si="2"/>
        <v>1202.1660142984806</v>
      </c>
      <c r="R153" s="175">
        <v>13690</v>
      </c>
      <c r="S153" s="174">
        <v>188.8</v>
      </c>
      <c r="T153" s="174">
        <f t="shared" si="3"/>
        <v>263.85601429848083</v>
      </c>
    </row>
    <row r="154" spans="1:20" x14ac:dyDescent="0.2">
      <c r="A154" s="169">
        <v>4</v>
      </c>
      <c r="B154" s="169"/>
      <c r="C154" s="177">
        <f>+E154-E153</f>
        <v>142.01299999999998</v>
      </c>
      <c r="D154" s="169">
        <f>+G154-G153</f>
        <v>125.95899999999995</v>
      </c>
      <c r="E154" s="169">
        <v>576.82399999999996</v>
      </c>
      <c r="G154" s="169">
        <v>517.36199999999997</v>
      </c>
      <c r="I154" s="174">
        <v>112.6</v>
      </c>
      <c r="J154" s="166">
        <v>4</v>
      </c>
      <c r="L154" s="175">
        <v>16096</v>
      </c>
      <c r="M154" s="174">
        <v>471.89999999999986</v>
      </c>
      <c r="N154" s="174">
        <f t="shared" si="4"/>
        <v>655.40036856127881</v>
      </c>
      <c r="O154" s="175">
        <v>7652</v>
      </c>
      <c r="P154" s="174">
        <v>762.30000000000018</v>
      </c>
      <c r="Q154" s="174">
        <f t="shared" si="2"/>
        <v>1058.7236722912971</v>
      </c>
      <c r="R154" s="175">
        <v>11607</v>
      </c>
      <c r="S154" s="174">
        <v>220.90000000000009</v>
      </c>
      <c r="T154" s="174">
        <f t="shared" si="3"/>
        <v>306.79792628774442</v>
      </c>
    </row>
    <row r="155" spans="1:20" x14ac:dyDescent="0.2">
      <c r="A155" s="169">
        <v>1</v>
      </c>
      <c r="B155" s="169">
        <v>2004</v>
      </c>
      <c r="C155" s="177">
        <f>+E155</f>
        <v>168.309</v>
      </c>
      <c r="D155" s="169">
        <f>+G155</f>
        <v>153.04300000000001</v>
      </c>
      <c r="E155" s="169">
        <v>168.309</v>
      </c>
      <c r="G155" s="169">
        <v>153.04300000000001</v>
      </c>
      <c r="I155" s="174">
        <v>112.6</v>
      </c>
      <c r="J155" s="166">
        <v>1</v>
      </c>
      <c r="K155" s="166">
        <v>2004</v>
      </c>
      <c r="L155" s="175">
        <v>17805</v>
      </c>
      <c r="M155" s="174">
        <v>517.69999999999993</v>
      </c>
      <c r="N155" s="174">
        <f t="shared" si="4"/>
        <v>719.00989786856132</v>
      </c>
      <c r="O155" s="175">
        <v>7033</v>
      </c>
      <c r="P155" s="174">
        <v>735.2</v>
      </c>
      <c r="Q155" s="174">
        <f t="shared" si="2"/>
        <v>1021.0857193605686</v>
      </c>
      <c r="R155" s="175">
        <v>8913</v>
      </c>
      <c r="S155" s="174">
        <v>178.89999999999998</v>
      </c>
      <c r="T155" s="174">
        <f t="shared" si="3"/>
        <v>248.4660435168739</v>
      </c>
    </row>
    <row r="156" spans="1:20" x14ac:dyDescent="0.2">
      <c r="A156" s="169">
        <v>2</v>
      </c>
      <c r="B156" s="169"/>
      <c r="C156" s="177">
        <f>+E156-E155</f>
        <v>140.26700000000002</v>
      </c>
      <c r="D156" s="169">
        <f>+G156-G155</f>
        <v>125.56799999999998</v>
      </c>
      <c r="E156" s="169">
        <v>308.57600000000002</v>
      </c>
      <c r="G156" s="169">
        <v>278.61099999999999</v>
      </c>
      <c r="I156" s="174">
        <v>113.4</v>
      </c>
      <c r="J156" s="166">
        <v>2</v>
      </c>
      <c r="L156" s="175">
        <v>13855</v>
      </c>
      <c r="M156" s="174">
        <v>344.69999999999993</v>
      </c>
      <c r="N156" s="174">
        <f t="shared" si="4"/>
        <v>475.36075396825396</v>
      </c>
      <c r="O156" s="175">
        <v>6436</v>
      </c>
      <c r="P156" s="174">
        <v>708.3</v>
      </c>
      <c r="Q156" s="174">
        <f t="shared" si="2"/>
        <v>976.78567460317458</v>
      </c>
      <c r="R156" s="175">
        <v>10802</v>
      </c>
      <c r="S156" s="174">
        <v>228.40000000000003</v>
      </c>
      <c r="T156" s="174">
        <f t="shared" si="3"/>
        <v>314.97649029982369</v>
      </c>
    </row>
    <row r="157" spans="1:20" x14ac:dyDescent="0.2">
      <c r="A157" s="169">
        <v>3</v>
      </c>
      <c r="B157" s="169"/>
      <c r="C157" s="177">
        <f>+E157-E156</f>
        <v>137.76999999999998</v>
      </c>
      <c r="D157" s="169">
        <f>+G157-G156</f>
        <v>123.12100000000004</v>
      </c>
      <c r="E157" s="169">
        <v>446.346</v>
      </c>
      <c r="G157" s="169">
        <v>401.73200000000003</v>
      </c>
      <c r="I157" s="174">
        <v>113</v>
      </c>
      <c r="J157" s="166">
        <v>3</v>
      </c>
      <c r="L157" s="175">
        <v>17630</v>
      </c>
      <c r="M157" s="174">
        <v>454.09999999999991</v>
      </c>
      <c r="N157" s="174">
        <f t="shared" si="4"/>
        <v>628.44626991150437</v>
      </c>
      <c r="O157" s="175">
        <v>11805</v>
      </c>
      <c r="P157" s="174">
        <v>652.69999999999982</v>
      </c>
      <c r="Q157" s="174">
        <f t="shared" si="2"/>
        <v>903.29636725663704</v>
      </c>
      <c r="R157" s="175">
        <v>11365</v>
      </c>
      <c r="S157" s="174">
        <v>160.7999999999999</v>
      </c>
      <c r="T157" s="174">
        <f t="shared" si="3"/>
        <v>222.53723893805298</v>
      </c>
    </row>
    <row r="158" spans="1:20" x14ac:dyDescent="0.2">
      <c r="A158" s="169">
        <v>4</v>
      </c>
      <c r="B158" s="169"/>
      <c r="C158" s="177">
        <f>+E158-E157</f>
        <v>137.68499999999995</v>
      </c>
      <c r="D158" s="169">
        <f>+G158-G157</f>
        <v>124.50600000000003</v>
      </c>
      <c r="E158" s="169">
        <v>584.03099999999995</v>
      </c>
      <c r="G158" s="169">
        <v>526.23800000000006</v>
      </c>
      <c r="I158" s="174">
        <v>114</v>
      </c>
      <c r="J158" s="166">
        <v>4</v>
      </c>
      <c r="L158" s="175">
        <v>16674</v>
      </c>
      <c r="M158" s="174">
        <v>428.20000000000027</v>
      </c>
      <c r="N158" s="174">
        <f t="shared" si="4"/>
        <v>587.40400877193031</v>
      </c>
      <c r="O158" s="175">
        <v>10088</v>
      </c>
      <c r="P158" s="174">
        <v>709.40000000000055</v>
      </c>
      <c r="Q158" s="174">
        <f t="shared" si="2"/>
        <v>973.15367543859736</v>
      </c>
      <c r="R158" s="175">
        <v>9276</v>
      </c>
      <c r="S158" s="174">
        <v>162.90000000000009</v>
      </c>
      <c r="T158" s="174">
        <f t="shared" si="3"/>
        <v>223.46593421052646</v>
      </c>
    </row>
    <row r="159" spans="1:20" x14ac:dyDescent="0.2">
      <c r="A159" s="169">
        <v>1</v>
      </c>
      <c r="B159" s="169">
        <v>2005</v>
      </c>
      <c r="C159" s="177">
        <f>+E159</f>
        <v>147.31100000000001</v>
      </c>
      <c r="D159" s="169">
        <f>+G159</f>
        <v>133.756</v>
      </c>
      <c r="E159" s="169">
        <v>147.31100000000001</v>
      </c>
      <c r="G159" s="169">
        <v>133.756</v>
      </c>
      <c r="I159" s="174">
        <v>113.7</v>
      </c>
      <c r="J159" s="166">
        <v>1</v>
      </c>
      <c r="K159" s="166">
        <v>2005</v>
      </c>
      <c r="L159" s="175">
        <v>15151</v>
      </c>
      <c r="M159" s="174">
        <v>418</v>
      </c>
      <c r="N159" s="174">
        <f t="shared" si="4"/>
        <v>574.92462620932281</v>
      </c>
      <c r="O159" s="175">
        <v>7287</v>
      </c>
      <c r="P159" s="174">
        <v>715.2</v>
      </c>
      <c r="Q159" s="174">
        <f t="shared" si="2"/>
        <v>983.69878627968353</v>
      </c>
      <c r="R159" s="175">
        <v>7498</v>
      </c>
      <c r="S159" s="174">
        <v>159.69999999999999</v>
      </c>
      <c r="T159" s="174">
        <f t="shared" si="3"/>
        <v>219.65421723834655</v>
      </c>
    </row>
    <row r="160" spans="1:20" x14ac:dyDescent="0.2">
      <c r="A160" s="169">
        <v>2</v>
      </c>
      <c r="B160" s="169"/>
      <c r="C160" s="177">
        <f>+E160-E159</f>
        <v>143.51699999999997</v>
      </c>
      <c r="D160" s="169">
        <f>+G160-G159</f>
        <v>128.79</v>
      </c>
      <c r="E160" s="169">
        <v>290.82799999999997</v>
      </c>
      <c r="G160" s="169">
        <v>262.54599999999999</v>
      </c>
      <c r="I160" s="174">
        <v>115.2</v>
      </c>
      <c r="J160" s="166">
        <v>2</v>
      </c>
      <c r="L160" s="175">
        <v>14855</v>
      </c>
      <c r="M160" s="174">
        <v>323.20000000000005</v>
      </c>
      <c r="N160" s="174">
        <f t="shared" si="4"/>
        <v>438.74680555555562</v>
      </c>
      <c r="O160" s="175">
        <v>6172</v>
      </c>
      <c r="P160" s="174">
        <v>745.5</v>
      </c>
      <c r="Q160" s="174">
        <f t="shared" si="2"/>
        <v>1012.0227213541667</v>
      </c>
      <c r="R160" s="175">
        <v>11610</v>
      </c>
      <c r="S160" s="174">
        <v>152.50000000000006</v>
      </c>
      <c r="T160" s="174">
        <f t="shared" si="3"/>
        <v>207.02007378472234</v>
      </c>
    </row>
    <row r="161" spans="1:20" x14ac:dyDescent="0.2">
      <c r="A161" s="169">
        <v>3</v>
      </c>
      <c r="B161" s="169"/>
      <c r="C161" s="177">
        <f>+E161-E160</f>
        <v>134.78300000000002</v>
      </c>
      <c r="D161" s="169">
        <f>+G161-G160</f>
        <v>120.57100000000003</v>
      </c>
      <c r="E161" s="169">
        <v>425.61099999999999</v>
      </c>
      <c r="G161" s="169">
        <v>383.11700000000002</v>
      </c>
      <c r="I161" s="174">
        <v>115.1</v>
      </c>
      <c r="J161" s="166">
        <v>3</v>
      </c>
      <c r="L161" s="175">
        <v>13014</v>
      </c>
      <c r="M161" s="174">
        <v>448.29999999999995</v>
      </c>
      <c r="N161" s="174">
        <f t="shared" si="4"/>
        <v>609.09987402258901</v>
      </c>
      <c r="O161" s="175">
        <v>6734</v>
      </c>
      <c r="P161" s="174">
        <v>832.10000000000014</v>
      </c>
      <c r="Q161" s="174">
        <f t="shared" si="2"/>
        <v>1130.564365768897</v>
      </c>
      <c r="R161" s="175">
        <v>8742</v>
      </c>
      <c r="S161" s="174">
        <v>152.99999999999994</v>
      </c>
      <c r="T161" s="174">
        <f t="shared" si="3"/>
        <v>207.87927888792348</v>
      </c>
    </row>
    <row r="162" spans="1:20" x14ac:dyDescent="0.2">
      <c r="A162" s="169">
        <v>4</v>
      </c>
      <c r="B162" s="169"/>
      <c r="C162" s="177">
        <f>+E162-E161</f>
        <v>137.37</v>
      </c>
      <c r="D162" s="169">
        <f>+G162-G161</f>
        <v>124.38200000000001</v>
      </c>
      <c r="E162" s="169">
        <v>562.98099999999999</v>
      </c>
      <c r="G162" s="169">
        <v>507.49900000000002</v>
      </c>
      <c r="I162" s="174">
        <v>116</v>
      </c>
      <c r="J162" s="166">
        <v>4</v>
      </c>
      <c r="L162" s="175">
        <v>22745</v>
      </c>
      <c r="M162" s="174">
        <v>478.79999999999995</v>
      </c>
      <c r="N162" s="174">
        <f t="shared" si="4"/>
        <v>645.49256896551731</v>
      </c>
      <c r="O162" s="175">
        <v>8144</v>
      </c>
      <c r="P162" s="174">
        <v>795.79999999999973</v>
      </c>
      <c r="Q162" s="174">
        <f t="shared" si="2"/>
        <v>1072.8550258620687</v>
      </c>
      <c r="R162" s="175">
        <v>11407</v>
      </c>
      <c r="S162" s="174">
        <v>142.00000000000006</v>
      </c>
      <c r="T162" s="174">
        <f t="shared" si="3"/>
        <v>191.43681034482771</v>
      </c>
    </row>
    <row r="163" spans="1:20" x14ac:dyDescent="0.2">
      <c r="A163" s="169">
        <v>1</v>
      </c>
      <c r="B163" s="169">
        <v>2006</v>
      </c>
      <c r="C163" s="177">
        <f>+E163</f>
        <v>155.21299999999999</v>
      </c>
      <c r="D163" s="169">
        <f>+G163</f>
        <v>139.72800000000001</v>
      </c>
      <c r="E163" s="169">
        <v>155.21299999999999</v>
      </c>
      <c r="G163" s="169">
        <v>139.72800000000001</v>
      </c>
      <c r="I163" s="174">
        <v>116.6</v>
      </c>
      <c r="J163" s="166">
        <v>1</v>
      </c>
      <c r="K163" s="166">
        <v>2006</v>
      </c>
      <c r="L163" s="175">
        <v>18196</v>
      </c>
      <c r="M163" s="174">
        <v>585</v>
      </c>
      <c r="N163" s="174">
        <f t="shared" si="4"/>
        <v>784.60741852487149</v>
      </c>
      <c r="O163" s="175">
        <v>6106</v>
      </c>
      <c r="P163" s="174">
        <v>947.2</v>
      </c>
      <c r="Q163" s="174">
        <f t="shared" si="2"/>
        <v>1270.3934133790742</v>
      </c>
      <c r="R163" s="175">
        <v>7106</v>
      </c>
      <c r="S163" s="174">
        <v>150.6</v>
      </c>
      <c r="T163" s="174">
        <f t="shared" si="3"/>
        <v>201.98611492281304</v>
      </c>
    </row>
    <row r="164" spans="1:20" x14ac:dyDescent="0.2">
      <c r="A164" s="169">
        <v>2</v>
      </c>
      <c r="B164" s="169"/>
      <c r="C164" s="177">
        <f>+E164-E163</f>
        <v>147.44399999999999</v>
      </c>
      <c r="D164" s="169">
        <f>+G164-G163</f>
        <v>129.572</v>
      </c>
      <c r="E164" s="169">
        <v>302.65699999999998</v>
      </c>
      <c r="G164" s="169">
        <v>269.3</v>
      </c>
      <c r="I164" s="174">
        <v>117.9</v>
      </c>
      <c r="J164" s="166">
        <v>2</v>
      </c>
      <c r="L164" s="175">
        <v>13943</v>
      </c>
      <c r="M164" s="174">
        <v>433.79999999999995</v>
      </c>
      <c r="N164" s="174">
        <f t="shared" si="4"/>
        <v>575.4012977099236</v>
      </c>
      <c r="O164" s="175">
        <v>5246</v>
      </c>
      <c r="P164" s="174">
        <v>811.2</v>
      </c>
      <c r="Q164" s="174">
        <f t="shared" si="2"/>
        <v>1075.9924681933844</v>
      </c>
      <c r="R164" s="175">
        <v>9193</v>
      </c>
      <c r="S164" s="174">
        <v>176.1</v>
      </c>
      <c r="T164" s="174">
        <f t="shared" si="3"/>
        <v>233.5826844783715</v>
      </c>
    </row>
    <row r="165" spans="1:20" x14ac:dyDescent="0.2">
      <c r="A165" s="169">
        <v>3</v>
      </c>
      <c r="B165" s="169"/>
      <c r="C165" s="177">
        <f>+E165-E164</f>
        <v>143.45100000000002</v>
      </c>
      <c r="D165" s="169">
        <f>+G165-G164</f>
        <v>126.00599999999997</v>
      </c>
      <c r="E165" s="169">
        <v>446.108</v>
      </c>
      <c r="G165" s="169">
        <v>395.30599999999998</v>
      </c>
      <c r="I165" s="178">
        <v>117.3</v>
      </c>
      <c r="J165" s="166">
        <v>3</v>
      </c>
      <c r="L165" s="175">
        <v>13690</v>
      </c>
      <c r="M165" s="174">
        <v>496.59999999999991</v>
      </c>
      <c r="N165" s="174">
        <f t="shared" si="4"/>
        <v>662.06982949701614</v>
      </c>
      <c r="O165" s="175">
        <v>9450</v>
      </c>
      <c r="P165" s="174">
        <v>855.90000000000009</v>
      </c>
      <c r="Q165" s="174">
        <f t="shared" si="2"/>
        <v>1141.0905498721231</v>
      </c>
      <c r="R165" s="175">
        <v>10840</v>
      </c>
      <c r="S165" s="174">
        <v>167.10000000000002</v>
      </c>
      <c r="T165" s="174">
        <f t="shared" si="3"/>
        <v>222.77863171355506</v>
      </c>
    </row>
    <row r="166" spans="1:20" x14ac:dyDescent="0.2">
      <c r="A166" s="169">
        <v>4</v>
      </c>
      <c r="B166" s="169"/>
      <c r="C166" s="177">
        <f>+E166-E165</f>
        <v>148.56090999999998</v>
      </c>
      <c r="D166" s="169">
        <f>+G166-G165</f>
        <v>131.19532799999996</v>
      </c>
      <c r="E166" s="169">
        <v>594.66890999999998</v>
      </c>
      <c r="G166" s="169">
        <v>526.50132799999994</v>
      </c>
      <c r="I166" s="178">
        <v>119</v>
      </c>
      <c r="J166" s="166">
        <v>4</v>
      </c>
      <c r="L166" s="175">
        <v>16682</v>
      </c>
      <c r="M166" s="174">
        <v>525.60000000000014</v>
      </c>
      <c r="N166" s="174">
        <f t="shared" si="4"/>
        <v>690.72231932773138</v>
      </c>
      <c r="O166" s="175">
        <v>10233</v>
      </c>
      <c r="P166" s="174">
        <v>826</v>
      </c>
      <c r="Q166" s="174">
        <f t="shared" si="2"/>
        <v>1085.4958823529414</v>
      </c>
      <c r="R166" s="175">
        <v>9520</v>
      </c>
      <c r="S166" s="174">
        <v>144.09999999999997</v>
      </c>
      <c r="T166" s="174">
        <f t="shared" si="3"/>
        <v>189.3704075630252</v>
      </c>
    </row>
    <row r="167" spans="1:20" x14ac:dyDescent="0.2">
      <c r="A167" s="169">
        <v>1</v>
      </c>
      <c r="B167" s="169">
        <v>2007</v>
      </c>
      <c r="C167" s="177">
        <f>+E167</f>
        <v>158.09976</v>
      </c>
      <c r="D167" s="169">
        <f>+G167</f>
        <v>141.08400800000001</v>
      </c>
      <c r="E167" s="169">
        <v>158.09976</v>
      </c>
      <c r="G167" s="169">
        <v>141.08400800000001</v>
      </c>
      <c r="I167" s="178">
        <v>117.5</v>
      </c>
      <c r="J167" s="166">
        <v>1</v>
      </c>
      <c r="K167" s="166">
        <v>2007</v>
      </c>
      <c r="L167" s="175">
        <v>18623</v>
      </c>
      <c r="M167" s="174">
        <v>649.6</v>
      </c>
      <c r="N167" s="174">
        <f t="shared" si="4"/>
        <v>864.57613617021286</v>
      </c>
      <c r="O167" s="175">
        <v>7737</v>
      </c>
      <c r="P167" s="174">
        <v>1092.1999999999998</v>
      </c>
      <c r="Q167" s="174">
        <f t="shared" si="2"/>
        <v>1453.6484851063831</v>
      </c>
      <c r="R167" s="175">
        <v>8112</v>
      </c>
      <c r="S167" s="174">
        <v>167.4</v>
      </c>
      <c r="T167" s="174">
        <f t="shared" si="3"/>
        <v>222.79871489361705</v>
      </c>
    </row>
    <row r="168" spans="1:20" x14ac:dyDescent="0.2">
      <c r="A168" s="169">
        <v>2</v>
      </c>
      <c r="B168" s="169"/>
      <c r="C168" s="177">
        <f>+E168-E167</f>
        <v>161.61276000000004</v>
      </c>
      <c r="D168" s="169">
        <f>+G168-G167</f>
        <v>142.897008</v>
      </c>
      <c r="E168" s="169">
        <v>319.71252000000004</v>
      </c>
      <c r="G168" s="169">
        <v>283.98101600000001</v>
      </c>
      <c r="I168" s="178">
        <v>118.3</v>
      </c>
      <c r="J168" s="166">
        <v>2</v>
      </c>
      <c r="L168" s="175">
        <v>15831</v>
      </c>
      <c r="M168" s="174">
        <v>514.19999999999993</v>
      </c>
      <c r="N168" s="174">
        <f t="shared" si="4"/>
        <v>679.73936601859691</v>
      </c>
      <c r="O168" s="175">
        <v>5067</v>
      </c>
      <c r="P168" s="174">
        <v>1041.6999999999998</v>
      </c>
      <c r="Q168" s="174">
        <f t="shared" ref="Q168:Q189" si="5">P168/I168*$I$69</f>
        <v>1377.0604775993238</v>
      </c>
      <c r="R168" s="175">
        <v>10608</v>
      </c>
      <c r="S168" s="174">
        <v>160.99999999999997</v>
      </c>
      <c r="T168" s="174">
        <f t="shared" ref="T168:T189" si="6">S168/I168*$I$69</f>
        <v>212.83165680473374</v>
      </c>
    </row>
    <row r="169" spans="1:20" x14ac:dyDescent="0.2">
      <c r="A169" s="169">
        <v>3</v>
      </c>
      <c r="B169" s="169"/>
      <c r="C169" s="177">
        <f>+E169-E168</f>
        <v>135.82058024999998</v>
      </c>
      <c r="D169" s="169">
        <f>+G169-G168</f>
        <v>119.75308425000003</v>
      </c>
      <c r="E169" s="169">
        <v>455.53310025000002</v>
      </c>
      <c r="G169" s="169">
        <v>403.73410025000004</v>
      </c>
      <c r="I169" s="178">
        <v>117.8</v>
      </c>
      <c r="J169" s="166">
        <v>3</v>
      </c>
      <c r="L169" s="175">
        <v>18428</v>
      </c>
      <c r="M169" s="174">
        <v>654.20000000000027</v>
      </c>
      <c r="N169" s="174">
        <f t="shared" si="4"/>
        <v>868.48104414261513</v>
      </c>
      <c r="O169" s="175">
        <v>6417</v>
      </c>
      <c r="P169" s="174">
        <v>679.60000000000036</v>
      </c>
      <c r="Q169" s="174">
        <f t="shared" si="5"/>
        <v>902.20073005093434</v>
      </c>
      <c r="R169" s="175">
        <v>10319</v>
      </c>
      <c r="S169" s="174">
        <v>152.89999999999998</v>
      </c>
      <c r="T169" s="174">
        <f t="shared" si="6"/>
        <v>202.98188879456706</v>
      </c>
    </row>
    <row r="170" spans="1:20" x14ac:dyDescent="0.2">
      <c r="A170" s="169">
        <v>4</v>
      </c>
      <c r="B170" s="169"/>
      <c r="C170" s="177">
        <f>+E170-E169</f>
        <v>149.79139924999998</v>
      </c>
      <c r="D170" s="169">
        <f>+G170-G169</f>
        <v>133.49839924999998</v>
      </c>
      <c r="E170" s="169">
        <v>605.3244995</v>
      </c>
      <c r="G170" s="169">
        <v>537.23249950000002</v>
      </c>
      <c r="I170" s="178">
        <v>120.8</v>
      </c>
      <c r="J170" s="166">
        <v>4</v>
      </c>
      <c r="L170" s="175">
        <v>15870</v>
      </c>
      <c r="M170" s="174">
        <v>567.19999999999959</v>
      </c>
      <c r="N170" s="174">
        <f t="shared" si="4"/>
        <v>734.28453642384068</v>
      </c>
      <c r="O170" s="175">
        <v>5114</v>
      </c>
      <c r="P170" s="174">
        <v>911.69999999999982</v>
      </c>
      <c r="Q170" s="174">
        <f t="shared" si="5"/>
        <v>1180.2665935430464</v>
      </c>
      <c r="R170" s="175">
        <v>8645</v>
      </c>
      <c r="S170" s="174">
        <v>142.80000000000007</v>
      </c>
      <c r="T170" s="174">
        <f t="shared" si="6"/>
        <v>184.86571192052992</v>
      </c>
    </row>
    <row r="171" spans="1:20" x14ac:dyDescent="0.2">
      <c r="A171" s="169">
        <v>1</v>
      </c>
      <c r="B171" s="169">
        <v>2008</v>
      </c>
      <c r="C171" s="177">
        <f>+E171</f>
        <v>164.64169099999998</v>
      </c>
      <c r="D171" s="169">
        <f>+G171</f>
        <v>148.61369099999999</v>
      </c>
      <c r="E171" s="169">
        <v>164.64169099999998</v>
      </c>
      <c r="G171" s="169">
        <v>148.61369099999999</v>
      </c>
      <c r="I171" s="178">
        <v>121.9</v>
      </c>
      <c r="J171" s="166">
        <v>1</v>
      </c>
      <c r="K171" s="166">
        <v>2008</v>
      </c>
      <c r="L171" s="175">
        <v>17004</v>
      </c>
      <c r="M171" s="174">
        <v>591.9</v>
      </c>
      <c r="N171" s="174">
        <f t="shared" si="4"/>
        <v>759.34603363412634</v>
      </c>
      <c r="O171" s="175">
        <v>6274</v>
      </c>
      <c r="P171" s="174">
        <v>963.6</v>
      </c>
      <c r="Q171" s="174">
        <f t="shared" si="5"/>
        <v>1236.1984085315835</v>
      </c>
      <c r="R171" s="175">
        <v>7939</v>
      </c>
      <c r="S171" s="174">
        <v>160.1</v>
      </c>
      <c r="T171" s="174">
        <f t="shared" si="6"/>
        <v>205.3916201804758</v>
      </c>
    </row>
    <row r="172" spans="1:20" x14ac:dyDescent="0.2">
      <c r="A172" s="169">
        <v>2</v>
      </c>
      <c r="B172" s="169"/>
      <c r="C172" s="177">
        <f>+E172-E171</f>
        <v>197.28657850000002</v>
      </c>
      <c r="D172" s="169">
        <f>+G172-G171</f>
        <v>175.71357850000001</v>
      </c>
      <c r="E172" s="169">
        <v>361.9282695</v>
      </c>
      <c r="G172" s="169">
        <v>324.3272695</v>
      </c>
      <c r="I172" s="178">
        <v>122</v>
      </c>
      <c r="J172" s="166">
        <v>2</v>
      </c>
      <c r="L172" s="175">
        <v>14987</v>
      </c>
      <c r="M172" s="174">
        <v>548.4</v>
      </c>
      <c r="N172" s="174">
        <f t="shared" ref="N172:N181" si="7">M172/I172*$I$69</f>
        <v>702.9633934426231</v>
      </c>
      <c r="O172" s="175">
        <v>5831</v>
      </c>
      <c r="P172" s="174">
        <v>1153.8000000000002</v>
      </c>
      <c r="Q172" s="174">
        <f t="shared" si="5"/>
        <v>1478.991909836066</v>
      </c>
      <c r="R172" s="175">
        <v>10207</v>
      </c>
      <c r="S172" s="174">
        <v>188.4</v>
      </c>
      <c r="T172" s="174">
        <f t="shared" si="6"/>
        <v>241.4994590163935</v>
      </c>
    </row>
    <row r="173" spans="1:20" x14ac:dyDescent="0.2">
      <c r="A173" s="169">
        <v>3</v>
      </c>
      <c r="B173" s="169"/>
      <c r="C173" s="177">
        <f>+E173-E172</f>
        <v>159.71767174999997</v>
      </c>
      <c r="D173" s="169">
        <f>+G173-G172</f>
        <v>141.40667174999999</v>
      </c>
      <c r="E173" s="169">
        <v>521.64594124999996</v>
      </c>
      <c r="G173" s="169">
        <v>465.73394124999999</v>
      </c>
      <c r="I173" s="178">
        <v>123.1</v>
      </c>
      <c r="J173" s="166">
        <v>3</v>
      </c>
      <c r="L173" s="175">
        <v>19290</v>
      </c>
      <c r="M173" s="174">
        <v>722.70000000000027</v>
      </c>
      <c r="N173" s="174">
        <f t="shared" si="7"/>
        <v>918.11080016247013</v>
      </c>
      <c r="O173" s="175">
        <v>12252</v>
      </c>
      <c r="P173" s="174">
        <v>1486.4999999999995</v>
      </c>
      <c r="Q173" s="174">
        <f t="shared" si="5"/>
        <v>1888.4346263200646</v>
      </c>
      <c r="R173" s="175">
        <v>11007</v>
      </c>
      <c r="S173" s="174">
        <v>186.29999999999995</v>
      </c>
      <c r="T173" s="174">
        <f t="shared" si="6"/>
        <v>236.67364337936635</v>
      </c>
    </row>
    <row r="174" spans="1:20" x14ac:dyDescent="0.2">
      <c r="A174" s="169">
        <v>4</v>
      </c>
      <c r="B174" s="169"/>
      <c r="C174" s="177">
        <f>+E174-E173</f>
        <v>170.05706974999998</v>
      </c>
      <c r="D174" s="169">
        <f>+G174-G173</f>
        <v>152.54014889999991</v>
      </c>
      <c r="E174" s="169">
        <v>691.70301099999995</v>
      </c>
      <c r="G174" s="169">
        <v>618.27409014999989</v>
      </c>
      <c r="I174" s="174">
        <v>124.7</v>
      </c>
      <c r="J174" s="166">
        <v>4</v>
      </c>
      <c r="L174" s="175">
        <v>16976</v>
      </c>
      <c r="M174" s="174">
        <v>703.10000000000014</v>
      </c>
      <c r="N174" s="174">
        <f t="shared" si="7"/>
        <v>881.75054931836439</v>
      </c>
      <c r="O174" s="175">
        <v>7247</v>
      </c>
      <c r="P174" s="174">
        <v>1160</v>
      </c>
      <c r="Q174" s="174">
        <f t="shared" si="5"/>
        <v>1454.7441860465119</v>
      </c>
      <c r="R174" s="175">
        <v>10145</v>
      </c>
      <c r="S174" s="174">
        <v>269.60000000000014</v>
      </c>
      <c r="T174" s="174">
        <f t="shared" si="6"/>
        <v>338.10261427425843</v>
      </c>
    </row>
    <row r="175" spans="1:20" x14ac:dyDescent="0.2">
      <c r="A175" s="169">
        <v>1</v>
      </c>
      <c r="B175" s="169">
        <v>2009</v>
      </c>
      <c r="C175" s="177">
        <f>+E175</f>
        <v>191.37959499999999</v>
      </c>
      <c r="D175" s="169">
        <f>+G175</f>
        <v>172.55938714999999</v>
      </c>
      <c r="E175" s="169">
        <v>191.37959499999999</v>
      </c>
      <c r="G175" s="169">
        <v>172.55938714999999</v>
      </c>
      <c r="I175" s="174">
        <v>125</v>
      </c>
      <c r="J175" s="166">
        <v>1</v>
      </c>
      <c r="K175" s="166">
        <v>2009</v>
      </c>
      <c r="L175" s="175">
        <v>18865</v>
      </c>
      <c r="M175" s="174">
        <v>739.59999999999991</v>
      </c>
      <c r="N175" s="174">
        <f t="shared" si="7"/>
        <v>925.298768</v>
      </c>
      <c r="O175" s="175">
        <v>6194</v>
      </c>
      <c r="P175" s="174">
        <v>1049.9000000000001</v>
      </c>
      <c r="Q175" s="174">
        <f t="shared" si="5"/>
        <v>1313.5088920000003</v>
      </c>
      <c r="R175" s="175">
        <v>8619</v>
      </c>
      <c r="S175" s="174">
        <v>213.2</v>
      </c>
      <c r="T175" s="174">
        <f t="shared" si="6"/>
        <v>266.73025600000005</v>
      </c>
    </row>
    <row r="176" spans="1:20" x14ac:dyDescent="0.2">
      <c r="A176" s="169">
        <v>2</v>
      </c>
      <c r="B176" s="169"/>
      <c r="C176" s="177">
        <f>+E176-E175</f>
        <v>178.90604250000001</v>
      </c>
      <c r="D176" s="169">
        <f>+G176-G175</f>
        <v>160.765232725</v>
      </c>
      <c r="E176" s="169">
        <v>370.28563750000001</v>
      </c>
      <c r="G176" s="169">
        <v>333.324619875</v>
      </c>
      <c r="I176" s="174">
        <v>125.7</v>
      </c>
      <c r="J176" s="166">
        <v>2</v>
      </c>
      <c r="L176" s="175">
        <v>14610</v>
      </c>
      <c r="M176" s="174">
        <v>603.80000000000018</v>
      </c>
      <c r="N176" s="174">
        <f t="shared" si="7"/>
        <v>751.19540970564856</v>
      </c>
      <c r="O176" s="175">
        <v>5486</v>
      </c>
      <c r="P176" s="174">
        <v>1077.9000000000001</v>
      </c>
      <c r="Q176" s="174">
        <f t="shared" si="5"/>
        <v>1341.0293675417663</v>
      </c>
      <c r="R176" s="175">
        <v>11296</v>
      </c>
      <c r="S176" s="174">
        <v>235.3</v>
      </c>
      <c r="T176" s="174">
        <f t="shared" si="6"/>
        <v>292.73978122513927</v>
      </c>
    </row>
    <row r="177" spans="1:20" x14ac:dyDescent="0.2">
      <c r="A177" s="169">
        <v>3</v>
      </c>
      <c r="B177" s="169"/>
      <c r="C177" s="177">
        <f>+E177-E176</f>
        <v>160.23377500000004</v>
      </c>
      <c r="D177" s="169">
        <f>+G177-G176</f>
        <v>142.31202375000004</v>
      </c>
      <c r="E177" s="169">
        <v>530.51941250000004</v>
      </c>
      <c r="G177" s="169">
        <v>475.63664362500003</v>
      </c>
      <c r="I177" s="174">
        <v>125.4</v>
      </c>
      <c r="J177" s="166">
        <v>3</v>
      </c>
      <c r="L177" s="175">
        <v>19220</v>
      </c>
      <c r="M177" s="174">
        <v>795.69999999999982</v>
      </c>
      <c r="N177" s="174">
        <f t="shared" si="7"/>
        <v>992.30896730462507</v>
      </c>
      <c r="O177" s="175">
        <v>13278</v>
      </c>
      <c r="P177" s="174">
        <v>1278.0999999999999</v>
      </c>
      <c r="Q177" s="174">
        <f t="shared" si="5"/>
        <v>1593.9048524720893</v>
      </c>
      <c r="R177" s="175">
        <v>11383</v>
      </c>
      <c r="S177" s="174">
        <v>231.79999999999995</v>
      </c>
      <c r="T177" s="174">
        <f t="shared" si="6"/>
        <v>289.07530303030296</v>
      </c>
    </row>
    <row r="178" spans="1:20" x14ac:dyDescent="0.2">
      <c r="A178" s="169">
        <v>4</v>
      </c>
      <c r="B178" s="169"/>
      <c r="C178" s="177">
        <f>+E178-E177</f>
        <v>179.8571388695641</v>
      </c>
      <c r="D178" s="169">
        <f>+G178-G177</f>
        <v>163.53199924456408</v>
      </c>
      <c r="E178" s="169">
        <v>710.37655136956414</v>
      </c>
      <c r="G178" s="169">
        <v>639.16864286956411</v>
      </c>
      <c r="I178" s="174">
        <v>126.6</v>
      </c>
      <c r="J178" s="166">
        <v>4</v>
      </c>
      <c r="L178" s="175">
        <v>16838</v>
      </c>
      <c r="M178" s="174">
        <v>759.30000000000018</v>
      </c>
      <c r="N178" s="174">
        <f t="shared" si="7"/>
        <v>937.93941943128004</v>
      </c>
      <c r="O178" s="175">
        <v>6227</v>
      </c>
      <c r="P178" s="174">
        <v>1192.2000000000003</v>
      </c>
      <c r="Q178" s="174">
        <f t="shared" si="5"/>
        <v>1472.6871800947874</v>
      </c>
      <c r="R178" s="175">
        <v>10409</v>
      </c>
      <c r="S178" s="174">
        <v>276.40000000000009</v>
      </c>
      <c r="T178" s="174">
        <f t="shared" si="6"/>
        <v>341.42823064770948</v>
      </c>
    </row>
    <row r="179" spans="1:20" x14ac:dyDescent="0.2">
      <c r="A179" s="169">
        <v>1</v>
      </c>
      <c r="B179" s="169">
        <v>2010</v>
      </c>
      <c r="C179" s="177">
        <f>+E179</f>
        <v>204.63648875000001</v>
      </c>
      <c r="D179" s="169">
        <f>+G179</f>
        <v>186.506571025</v>
      </c>
      <c r="E179" s="169">
        <v>204.63648875000001</v>
      </c>
      <c r="G179" s="169">
        <v>186.506571025</v>
      </c>
      <c r="I179" s="174">
        <v>128.69999999999999</v>
      </c>
      <c r="J179" s="166">
        <v>1</v>
      </c>
      <c r="K179" s="166">
        <v>2010</v>
      </c>
      <c r="L179" s="175">
        <v>40484.70904761905</v>
      </c>
      <c r="M179" s="174">
        <v>1693.2251146266974</v>
      </c>
      <c r="N179" s="174">
        <f t="shared" si="7"/>
        <v>2057.4592816697445</v>
      </c>
      <c r="O179" s="175">
        <v>6690</v>
      </c>
      <c r="P179" s="174">
        <v>1648.5</v>
      </c>
      <c r="Q179" s="174">
        <f t="shared" si="5"/>
        <v>2003.113228438229</v>
      </c>
      <c r="R179" s="175">
        <v>7227</v>
      </c>
      <c r="S179" s="174">
        <v>243.10000000000002</v>
      </c>
      <c r="T179" s="174">
        <f t="shared" si="6"/>
        <v>295.39388888888897</v>
      </c>
    </row>
    <row r="180" spans="1:20" x14ac:dyDescent="0.2">
      <c r="A180" s="169">
        <v>2</v>
      </c>
      <c r="B180" s="169"/>
      <c r="C180" s="177">
        <f>+E180-E179</f>
        <v>188.95691625000001</v>
      </c>
      <c r="D180" s="169">
        <f>+G180-G179</f>
        <v>170.46253197500002</v>
      </c>
      <c r="E180" s="169">
        <v>393.59340500000002</v>
      </c>
      <c r="G180" s="169">
        <v>356.96910300000002</v>
      </c>
      <c r="I180" s="174">
        <v>128.9</v>
      </c>
      <c r="J180" s="166">
        <v>2</v>
      </c>
      <c r="L180" s="175">
        <v>20633.79583333333</v>
      </c>
      <c r="M180" s="174">
        <v>864.97098885712671</v>
      </c>
      <c r="N180" s="174">
        <f t="shared" si="7"/>
        <v>1049.4064243011774</v>
      </c>
      <c r="O180" s="175">
        <v>5716</v>
      </c>
      <c r="P180" s="174">
        <v>1381.6999999999998</v>
      </c>
      <c r="Q180" s="174">
        <f t="shared" si="5"/>
        <v>1676.3161714507369</v>
      </c>
      <c r="R180" s="175">
        <v>10696</v>
      </c>
      <c r="S180" s="174">
        <v>201.60000000000002</v>
      </c>
      <c r="T180" s="174">
        <f t="shared" si="6"/>
        <v>244.58662529092325</v>
      </c>
    </row>
    <row r="181" spans="1:20" x14ac:dyDescent="0.2">
      <c r="A181" s="169">
        <v>3</v>
      </c>
      <c r="B181" s="169"/>
      <c r="C181" s="177">
        <f>+E181-E180</f>
        <v>172.07737875000004</v>
      </c>
      <c r="D181" s="169">
        <f>+G181-G180</f>
        <v>154.15607493749997</v>
      </c>
      <c r="E181" s="169">
        <v>565.67078375000006</v>
      </c>
      <c r="G181" s="169">
        <v>511.12517793749998</v>
      </c>
      <c r="I181" s="174">
        <v>127.8</v>
      </c>
      <c r="J181" s="166">
        <v>3</v>
      </c>
      <c r="L181" s="175">
        <v>19149.335833333338</v>
      </c>
      <c r="M181" s="174">
        <v>861.71516601647909</v>
      </c>
      <c r="N181" s="174">
        <f t="shared" si="7"/>
        <v>1054.4548218895704</v>
      </c>
      <c r="O181" s="175">
        <v>9089</v>
      </c>
      <c r="P181" s="174">
        <v>1286.1999999999998</v>
      </c>
      <c r="Q181" s="174">
        <f t="shared" si="5"/>
        <v>1573.8840923317684</v>
      </c>
      <c r="R181" s="175">
        <v>11532</v>
      </c>
      <c r="S181" s="174">
        <v>200.69999999999993</v>
      </c>
      <c r="T181" s="174">
        <f t="shared" si="6"/>
        <v>245.59052816901402</v>
      </c>
    </row>
    <row r="182" spans="1:20" x14ac:dyDescent="0.2">
      <c r="A182" s="169">
        <v>4</v>
      </c>
      <c r="B182" s="169"/>
      <c r="C182" s="177">
        <f>+E182-E181</f>
        <v>192.96143124999992</v>
      </c>
      <c r="D182" s="169">
        <f>+G182-G181</f>
        <v>174.39946771249993</v>
      </c>
      <c r="E182" s="169">
        <v>758.63221499999997</v>
      </c>
      <c r="G182" s="169">
        <v>685.52464564999991</v>
      </c>
      <c r="I182" s="174">
        <v>129</v>
      </c>
      <c r="J182" s="166">
        <v>4</v>
      </c>
      <c r="L182" s="175">
        <v>22322.361666666664</v>
      </c>
      <c r="M182" s="174">
        <v>889.84894905372039</v>
      </c>
      <c r="N182" s="174">
        <f t="shared" ref="N182" si="8">M182/I182*$I$69</f>
        <v>1078.7521542462487</v>
      </c>
      <c r="O182" s="175">
        <v>5858</v>
      </c>
      <c r="P182" s="174">
        <v>1310.8000000000011</v>
      </c>
      <c r="Q182" s="174">
        <f t="shared" si="5"/>
        <v>1589.0655658914743</v>
      </c>
      <c r="R182" s="175">
        <v>9548</v>
      </c>
      <c r="S182" s="174">
        <v>205</v>
      </c>
      <c r="T182" s="174">
        <f t="shared" si="6"/>
        <v>248.51879844961243</v>
      </c>
    </row>
    <row r="183" spans="1:20" x14ac:dyDescent="0.2">
      <c r="A183" s="169">
        <v>1</v>
      </c>
      <c r="B183" s="169">
        <v>2011</v>
      </c>
      <c r="C183" s="177">
        <f>+E183</f>
        <v>204.00503875000001</v>
      </c>
      <c r="D183" s="169">
        <f>+G183</f>
        <v>184.8599929625</v>
      </c>
      <c r="E183" s="169">
        <v>204.00503875000001</v>
      </c>
      <c r="G183" s="169">
        <v>184.8599929625</v>
      </c>
      <c r="I183" s="174">
        <v>130.19999999999999</v>
      </c>
      <c r="J183" s="166">
        <v>1</v>
      </c>
      <c r="K183" s="166">
        <v>2011</v>
      </c>
      <c r="L183" s="175">
        <v>26141.662648809524</v>
      </c>
      <c r="M183" s="174">
        <v>1061.4209517567813</v>
      </c>
      <c r="N183" s="174">
        <f t="shared" ref="N183:N186" si="9">M183/I183*$I$69</f>
        <v>1274.8872161327517</v>
      </c>
      <c r="O183" s="175">
        <v>5959</v>
      </c>
      <c r="P183" s="174">
        <v>1698.7</v>
      </c>
      <c r="Q183" s="174">
        <f t="shared" si="5"/>
        <v>2040.3317933947776</v>
      </c>
      <c r="R183" s="175">
        <v>6732</v>
      </c>
      <c r="S183" s="174">
        <v>156.5</v>
      </c>
      <c r="T183" s="174">
        <f t="shared" si="6"/>
        <v>187.97428955453154</v>
      </c>
    </row>
    <row r="184" spans="1:20" x14ac:dyDescent="0.2">
      <c r="A184" s="169">
        <v>2</v>
      </c>
      <c r="B184" s="169"/>
      <c r="C184" s="177">
        <f>+E184-E183</f>
        <v>188.74104374999999</v>
      </c>
      <c r="D184" s="169">
        <f>+G184-G183</f>
        <v>171.33320521249996</v>
      </c>
      <c r="E184" s="166">
        <v>392.7460825</v>
      </c>
      <c r="G184" s="166">
        <v>356.19319817499996</v>
      </c>
      <c r="I184" s="174">
        <v>131</v>
      </c>
      <c r="J184" s="166">
        <v>2</v>
      </c>
      <c r="L184" s="183">
        <v>18851.951101190472</v>
      </c>
      <c r="M184" s="184">
        <v>776.58308820124375</v>
      </c>
      <c r="N184" s="174">
        <f t="shared" si="9"/>
        <v>927.06829197214904</v>
      </c>
      <c r="O184" s="175">
        <v>7524</v>
      </c>
      <c r="P184" s="174">
        <v>1533.4000000000003</v>
      </c>
      <c r="Q184" s="174">
        <f t="shared" si="5"/>
        <v>1830.5401450381685</v>
      </c>
      <c r="R184" s="175">
        <v>10017</v>
      </c>
      <c r="S184" s="174">
        <v>197.79999999999995</v>
      </c>
      <c r="T184" s="174">
        <f t="shared" si="6"/>
        <v>236.12941221374041</v>
      </c>
    </row>
    <row r="185" spans="1:20" x14ac:dyDescent="0.2">
      <c r="A185" s="169">
        <v>3</v>
      </c>
      <c r="C185" s="177">
        <f>+E185-E184</f>
        <v>169.93391749999995</v>
      </c>
      <c r="D185" s="169">
        <f>+G185-G184</f>
        <v>151.69380182500004</v>
      </c>
      <c r="E185" s="166">
        <v>562.67999999999995</v>
      </c>
      <c r="G185" s="166">
        <v>507.887</v>
      </c>
      <c r="I185" s="174">
        <v>129.4</v>
      </c>
      <c r="J185" s="166">
        <v>3</v>
      </c>
      <c r="L185" s="183">
        <v>24107.386250000007</v>
      </c>
      <c r="M185" s="184">
        <v>914.64669811090494</v>
      </c>
      <c r="N185" s="174">
        <f t="shared" si="9"/>
        <v>1105.3865833390562</v>
      </c>
      <c r="O185" s="175">
        <v>10171</v>
      </c>
      <c r="P185" s="174">
        <v>1285.3999999999996</v>
      </c>
      <c r="Q185" s="174">
        <f t="shared" si="5"/>
        <v>1553.4565610510044</v>
      </c>
      <c r="R185" s="175">
        <v>10339</v>
      </c>
      <c r="S185" s="174">
        <v>167.29999999999995</v>
      </c>
      <c r="T185" s="174">
        <f t="shared" si="6"/>
        <v>202.18864374033998</v>
      </c>
    </row>
    <row r="186" spans="1:20" x14ac:dyDescent="0.2">
      <c r="A186" s="166">
        <v>4</v>
      </c>
      <c r="C186" s="177">
        <f>+E186-E185</f>
        <v>202.17554500000006</v>
      </c>
      <c r="D186" s="169">
        <f>+G186-G185</f>
        <v>178.91908595000001</v>
      </c>
      <c r="E186" s="166">
        <v>764.85554500000001</v>
      </c>
      <c r="G186" s="166">
        <v>686.80608595000001</v>
      </c>
      <c r="I186" s="166">
        <v>130.5</v>
      </c>
      <c r="J186" s="166">
        <v>4</v>
      </c>
      <c r="L186" s="183">
        <v>18022.572976190484</v>
      </c>
      <c r="M186" s="174">
        <v>777.38419736292576</v>
      </c>
      <c r="N186" s="174">
        <f t="shared" si="9"/>
        <v>931.58028892414688</v>
      </c>
      <c r="O186" s="183">
        <v>8775.7956028314002</v>
      </c>
      <c r="P186" s="174">
        <v>1286.8626975018997</v>
      </c>
      <c r="Q186" s="174">
        <f t="shared" si="5"/>
        <v>1542.1151183818745</v>
      </c>
      <c r="R186" s="183">
        <v>9645.4866500746648</v>
      </c>
      <c r="S186" s="174">
        <v>181.103452008619</v>
      </c>
      <c r="T186" s="174">
        <f t="shared" si="6"/>
        <v>217.02577273845125</v>
      </c>
    </row>
    <row r="187" spans="1:20" x14ac:dyDescent="0.2">
      <c r="A187" s="166">
        <v>1</v>
      </c>
      <c r="B187" s="166">
        <v>2012</v>
      </c>
      <c r="C187" s="177">
        <f>+E187</f>
        <v>195.82938625</v>
      </c>
      <c r="D187" s="169">
        <f>+G187</f>
        <v>177.0717714875</v>
      </c>
      <c r="E187" s="166">
        <v>195.82938625</v>
      </c>
      <c r="G187" s="166">
        <v>177.0717714875</v>
      </c>
      <c r="I187" s="166">
        <v>131.69999999999999</v>
      </c>
      <c r="J187" s="166">
        <v>1</v>
      </c>
      <c r="K187" s="166">
        <v>2012</v>
      </c>
      <c r="L187" s="183">
        <v>18517.39324404762</v>
      </c>
      <c r="M187" s="174">
        <v>869.15461769403078</v>
      </c>
      <c r="N187" s="174">
        <f t="shared" ref="N187:N193" si="10">M187/I187*$I$69</f>
        <v>1032.0633628555886</v>
      </c>
      <c r="O187" s="175">
        <v>6822.44890070785</v>
      </c>
      <c r="P187" s="174">
        <v>1150.314057295883</v>
      </c>
      <c r="Q187" s="174">
        <f t="shared" si="5"/>
        <v>1365.9215174655785</v>
      </c>
      <c r="R187" s="175">
        <v>7564.3716625186662</v>
      </c>
      <c r="S187" s="174">
        <v>175.73767321176348</v>
      </c>
      <c r="T187" s="174">
        <f t="shared" si="6"/>
        <v>208.67681112544903</v>
      </c>
    </row>
    <row r="188" spans="1:20" x14ac:dyDescent="0.2">
      <c r="A188" s="166">
        <v>2</v>
      </c>
      <c r="C188" s="177">
        <f>+E188-E187</f>
        <v>182.75061374999999</v>
      </c>
      <c r="D188" s="169">
        <f>+G188-G187</f>
        <v>165.12822851249999</v>
      </c>
      <c r="E188" s="185">
        <v>378.58</v>
      </c>
      <c r="G188" s="185">
        <v>342.2</v>
      </c>
      <c r="I188" s="166">
        <v>131.69999999999999</v>
      </c>
      <c r="J188" s="166">
        <v>2</v>
      </c>
      <c r="L188" s="183">
        <v>14087.60675595238</v>
      </c>
      <c r="M188" s="174">
        <v>635.43152402028181</v>
      </c>
      <c r="N188" s="174">
        <f t="shared" si="10"/>
        <v>754.53271741770538</v>
      </c>
      <c r="O188" s="175">
        <v>4838.55109929215</v>
      </c>
      <c r="P188" s="174">
        <v>1037.7970664905204</v>
      </c>
      <c r="Q188" s="174">
        <f t="shared" si="5"/>
        <v>1232.3150663866368</v>
      </c>
      <c r="R188" s="175">
        <v>10002.628337481334</v>
      </c>
      <c r="S188" s="174">
        <v>184.20744441885319</v>
      </c>
      <c r="T188" s="174">
        <f t="shared" si="6"/>
        <v>218.7341017117871</v>
      </c>
    </row>
    <row r="189" spans="1:20" x14ac:dyDescent="0.2">
      <c r="A189" s="169">
        <v>3</v>
      </c>
      <c r="C189" s="177">
        <f>+E189-E188</f>
        <v>165.72960875000007</v>
      </c>
      <c r="D189" s="169">
        <f>+G189-G188</f>
        <v>148.24155396250001</v>
      </c>
      <c r="E189" s="166">
        <v>544.30960875000005</v>
      </c>
      <c r="G189" s="166">
        <v>490.4415539625</v>
      </c>
      <c r="I189" s="166">
        <v>130</v>
      </c>
      <c r="J189" s="166">
        <v>3</v>
      </c>
      <c r="L189" s="186">
        <v>20999.460714285713</v>
      </c>
      <c r="M189" s="187">
        <v>864.77367174435972</v>
      </c>
      <c r="N189" s="174">
        <f t="shared" si="10"/>
        <v>1040.2894665826284</v>
      </c>
      <c r="O189" s="186">
        <v>6828.0536397386386</v>
      </c>
      <c r="P189" s="187">
        <v>1132.0609213635664</v>
      </c>
      <c r="Q189" s="174">
        <f t="shared" si="5"/>
        <v>1361.8257475957028</v>
      </c>
      <c r="R189" s="186">
        <v>10877.781177428844</v>
      </c>
      <c r="S189" s="187">
        <v>190.02859425457928</v>
      </c>
      <c r="T189" s="174">
        <f t="shared" si="6"/>
        <v>228.59709009617217</v>
      </c>
    </row>
    <row r="190" spans="1:20" x14ac:dyDescent="0.2">
      <c r="A190" s="169">
        <v>4</v>
      </c>
      <c r="C190" s="177">
        <f>+E190-E189</f>
        <v>166.80539124999996</v>
      </c>
      <c r="D190" s="169">
        <f>+G190-G189</f>
        <v>151.72844603749996</v>
      </c>
      <c r="E190" s="166">
        <v>711.11500000000001</v>
      </c>
      <c r="G190" s="166">
        <v>642.16999999999996</v>
      </c>
      <c r="I190" s="166">
        <v>132</v>
      </c>
      <c r="J190" s="166">
        <v>4</v>
      </c>
      <c r="L190" s="186">
        <v>17946.539285714287</v>
      </c>
      <c r="M190" s="187">
        <v>826.79347775776318</v>
      </c>
      <c r="N190" s="174">
        <f t="shared" si="10"/>
        <v>979.53104559960457</v>
      </c>
      <c r="O190" s="186">
        <v>5621.9463602613596</v>
      </c>
      <c r="P190" s="187">
        <v>1071.0118577206574</v>
      </c>
      <c r="Q190" s="174">
        <f t="shared" ref="Q190:Q225" si="11">P190/I190*$I$69</f>
        <v>1268.8650709821593</v>
      </c>
      <c r="R190" s="186">
        <v>8525.2188225711561</v>
      </c>
      <c r="S190" s="187">
        <v>190.41732478586363</v>
      </c>
      <c r="T190" s="174">
        <f t="shared" ref="T190:T225" si="12">S190/I190*$I$69</f>
        <v>225.59404042907033</v>
      </c>
    </row>
    <row r="191" spans="1:20" x14ac:dyDescent="0.2">
      <c r="A191" s="166">
        <v>1</v>
      </c>
      <c r="B191" s="166">
        <v>2013</v>
      </c>
      <c r="C191" s="177">
        <f>+E191</f>
        <v>199.180995</v>
      </c>
      <c r="D191" s="169">
        <f>+G191</f>
        <v>183.65288545000001</v>
      </c>
      <c r="E191" s="166">
        <v>199.180995</v>
      </c>
      <c r="G191" s="166">
        <v>183.65288545000001</v>
      </c>
      <c r="I191" s="166">
        <v>133</v>
      </c>
      <c r="J191" s="166">
        <v>1</v>
      </c>
      <c r="K191" s="166">
        <f>B191</f>
        <v>2013</v>
      </c>
      <c r="L191" s="186">
        <v>21974.571815476189</v>
      </c>
      <c r="M191" s="187">
        <v>1023.0812127444322</v>
      </c>
      <c r="N191" s="174">
        <f t="shared" si="10"/>
        <v>1202.9665823687071</v>
      </c>
      <c r="O191" s="186">
        <v>5520.4451678348678</v>
      </c>
      <c r="P191" s="187">
        <v>1148.1840804128565</v>
      </c>
      <c r="Q191" s="174">
        <f t="shared" si="11"/>
        <v>1350.0659204162753</v>
      </c>
      <c r="R191" s="186">
        <v>5958.3970505452735</v>
      </c>
      <c r="S191" s="187">
        <v>167.84779905693762</v>
      </c>
      <c r="T191" s="174">
        <f t="shared" si="12"/>
        <v>197.35998537984355</v>
      </c>
    </row>
    <row r="192" spans="1:20" x14ac:dyDescent="0.2">
      <c r="A192" s="166">
        <v>2</v>
      </c>
      <c r="C192" s="177">
        <f>+E192-E191</f>
        <v>205.01500500000003</v>
      </c>
      <c r="D192" s="169">
        <f>+G192-G191</f>
        <v>185.63411454999996</v>
      </c>
      <c r="E192" s="166">
        <v>404.19600000000003</v>
      </c>
      <c r="G192" s="166">
        <v>369.28699999999998</v>
      </c>
      <c r="I192" s="166">
        <v>134.30000000000001</v>
      </c>
      <c r="J192" s="166">
        <v>2</v>
      </c>
      <c r="L192" s="186">
        <v>23960.428184523811</v>
      </c>
      <c r="M192" s="187">
        <v>1011.581560458749</v>
      </c>
      <c r="N192" s="174">
        <f t="shared" si="10"/>
        <v>1177.9313650956178</v>
      </c>
      <c r="O192" s="186">
        <v>6388.5548321651322</v>
      </c>
      <c r="P192" s="187">
        <v>1133.7065185307133</v>
      </c>
      <c r="Q192" s="174">
        <f t="shared" si="11"/>
        <v>1320.1391950887983</v>
      </c>
      <c r="R192" s="186">
        <v>10154.602949454726</v>
      </c>
      <c r="S192" s="187">
        <v>176.1673175310234</v>
      </c>
      <c r="T192" s="174">
        <f t="shared" si="12"/>
        <v>205.13719994109528</v>
      </c>
    </row>
    <row r="193" spans="1:20" x14ac:dyDescent="0.2">
      <c r="A193" s="166">
        <v>3</v>
      </c>
      <c r="C193" s="177">
        <f>+E193-E192</f>
        <v>172.04383408071794</v>
      </c>
      <c r="D193" s="169">
        <f>+G193-G192</f>
        <v>153.21019910313902</v>
      </c>
      <c r="E193" s="166">
        <v>576.23983408071797</v>
      </c>
      <c r="G193" s="166">
        <v>522.497199103139</v>
      </c>
      <c r="I193" s="166">
        <v>134.19999999999999</v>
      </c>
      <c r="J193" s="166">
        <v>3</v>
      </c>
      <c r="L193" s="186">
        <v>18388.581422924897</v>
      </c>
      <c r="M193" s="187">
        <v>735.52528494140915</v>
      </c>
      <c r="N193" s="174">
        <f t="shared" si="10"/>
        <v>857.11715115918253</v>
      </c>
      <c r="O193" s="186">
        <v>11492.955434782609</v>
      </c>
      <c r="P193" s="187">
        <v>1323.3889549928699</v>
      </c>
      <c r="Q193" s="174">
        <f t="shared" si="11"/>
        <v>1542.162307947541</v>
      </c>
      <c r="R193" s="186">
        <v>11786.02326086957</v>
      </c>
      <c r="S193" s="187">
        <v>172.41802435151402</v>
      </c>
      <c r="T193" s="174">
        <f t="shared" si="12"/>
        <v>200.92095930112913</v>
      </c>
    </row>
    <row r="194" spans="1:20" x14ac:dyDescent="0.2">
      <c r="A194" s="169">
        <v>4</v>
      </c>
      <c r="C194" s="177">
        <f>+E194-E193</f>
        <v>204.099832585949</v>
      </c>
      <c r="D194" s="169">
        <f>+G194-G193</f>
        <v>188.07946756352794</v>
      </c>
      <c r="E194" s="166">
        <v>780.33966666666697</v>
      </c>
      <c r="G194" s="166">
        <v>710.57666666666694</v>
      </c>
      <c r="I194" s="166">
        <v>135.30000000000001</v>
      </c>
      <c r="J194" s="166">
        <v>4</v>
      </c>
      <c r="L194" s="186">
        <v>18420.418577075106</v>
      </c>
      <c r="M194" s="186">
        <v>895.71090498583999</v>
      </c>
      <c r="N194" s="174">
        <f>M194/I194*$I$69</f>
        <v>1035.2974861508544</v>
      </c>
      <c r="O194" s="186">
        <v>7745.0445652173912</v>
      </c>
      <c r="P194" s="186">
        <v>1212.6630411771803</v>
      </c>
      <c r="Q194" s="174">
        <f t="shared" si="11"/>
        <v>1401.6430871728999</v>
      </c>
      <c r="R194" s="186">
        <v>11621.97673913043</v>
      </c>
      <c r="S194" s="186">
        <v>180.100371437175</v>
      </c>
      <c r="T194" s="174">
        <f t="shared" si="12"/>
        <v>208.16701099188924</v>
      </c>
    </row>
    <row r="195" spans="1:20" x14ac:dyDescent="0.2">
      <c r="A195" s="169">
        <v>1</v>
      </c>
      <c r="B195" s="166">
        <v>2014</v>
      </c>
      <c r="C195" s="177">
        <f>E195</f>
        <v>196.17699999999999</v>
      </c>
      <c r="D195" s="169">
        <f>G195</f>
        <v>179.55199999999999</v>
      </c>
      <c r="E195" s="166">
        <v>196.17699999999999</v>
      </c>
      <c r="G195" s="166">
        <v>179.55199999999999</v>
      </c>
      <c r="I195" s="166">
        <v>135.80000000000001</v>
      </c>
      <c r="J195" s="166">
        <f>A195</f>
        <v>1</v>
      </c>
      <c r="K195" s="166">
        <f>B195</f>
        <v>2014</v>
      </c>
      <c r="L195" s="186">
        <v>19713</v>
      </c>
      <c r="M195" s="186">
        <v>886.67647724495987</v>
      </c>
      <c r="N195" s="174">
        <f>M195/I195*$I$69</f>
        <v>1021.081744432644</v>
      </c>
      <c r="O195" s="186">
        <v>7032</v>
      </c>
      <c r="P195" s="186">
        <v>1484.9150299297401</v>
      </c>
      <c r="Q195" s="174">
        <f t="shared" ref="Q195" si="13">P195/I195*$I$69</f>
        <v>1710.0032176403713</v>
      </c>
      <c r="R195" s="186">
        <v>8004</v>
      </c>
      <c r="S195" s="186">
        <v>165.16263465729782</v>
      </c>
      <c r="T195" s="174">
        <f t="shared" ref="T195" si="14">S195/I195*$I$69</f>
        <v>190.19851709043829</v>
      </c>
    </row>
    <row r="196" spans="1:20" x14ac:dyDescent="0.2">
      <c r="A196" s="166">
        <v>2</v>
      </c>
      <c r="C196" s="177">
        <f>+E196-E195</f>
        <v>197.965</v>
      </c>
      <c r="D196" s="169">
        <f>+G196-G195</f>
        <v>179.76700000000002</v>
      </c>
      <c r="E196" s="166">
        <v>394.142</v>
      </c>
      <c r="G196" s="166">
        <v>359.31900000000002</v>
      </c>
      <c r="I196" s="166">
        <v>136.69999999999999</v>
      </c>
      <c r="J196" s="166">
        <v>2</v>
      </c>
      <c r="L196" s="186">
        <v>16691</v>
      </c>
      <c r="M196" s="186">
        <v>732.96206934555016</v>
      </c>
      <c r="N196" s="174">
        <f t="shared" ref="N196:N225" si="15">M196/I196*$I$69</f>
        <v>838.50967969717544</v>
      </c>
      <c r="O196" s="186">
        <v>6228</v>
      </c>
      <c r="P196" s="186">
        <v>1158.7677611998799</v>
      </c>
      <c r="Q196" s="174">
        <f t="shared" si="11"/>
        <v>1325.6320141568635</v>
      </c>
      <c r="R196" s="186">
        <v>11579</v>
      </c>
      <c r="S196" s="186">
        <v>167.32102845142202</v>
      </c>
      <c r="T196" s="174">
        <f t="shared" si="12"/>
        <v>191.41550134876107</v>
      </c>
    </row>
    <row r="197" spans="1:20" x14ac:dyDescent="0.2">
      <c r="A197" s="166">
        <v>3</v>
      </c>
      <c r="C197" s="177">
        <f>+E197-E196</f>
        <v>192.10452006852</v>
      </c>
      <c r="D197" s="169">
        <f>+G197-G196</f>
        <v>173.47352006851992</v>
      </c>
      <c r="E197" s="166">
        <v>586.24652006852</v>
      </c>
      <c r="G197" s="166">
        <v>532.79252006851993</v>
      </c>
      <c r="I197" s="166">
        <v>137</v>
      </c>
      <c r="J197" s="166">
        <v>3</v>
      </c>
      <c r="L197" s="186">
        <v>21817</v>
      </c>
      <c r="M197" s="186">
        <v>1080.59231996894</v>
      </c>
      <c r="N197" s="174">
        <f t="shared" si="15"/>
        <v>1233.4921894769541</v>
      </c>
      <c r="O197" s="186">
        <v>20407</v>
      </c>
      <c r="P197" s="186">
        <v>1259.8740491119995</v>
      </c>
      <c r="Q197" s="174">
        <f t="shared" si="11"/>
        <v>1438.1416289808765</v>
      </c>
      <c r="R197" s="186">
        <v>11684</v>
      </c>
      <c r="S197" s="186">
        <v>177.03184293206914</v>
      </c>
      <c r="T197" s="174">
        <f t="shared" si="12"/>
        <v>202.08120260534042</v>
      </c>
    </row>
    <row r="198" spans="1:20" x14ac:dyDescent="0.2">
      <c r="A198" s="166">
        <v>4</v>
      </c>
      <c r="C198" s="177">
        <f>+E198-E197</f>
        <v>196.808833167682</v>
      </c>
      <c r="D198" s="169">
        <f>+G198-G197</f>
        <v>184.73883316768206</v>
      </c>
      <c r="E198" s="166">
        <v>783.055353236202</v>
      </c>
      <c r="G198" s="166">
        <v>717.53135323620199</v>
      </c>
      <c r="I198" s="166">
        <v>137.9</v>
      </c>
      <c r="J198" s="166">
        <v>4</v>
      </c>
      <c r="L198" s="186">
        <v>20183</v>
      </c>
      <c r="M198" s="186">
        <v>869.67426416194962</v>
      </c>
      <c r="N198" s="174">
        <f t="shared" si="15"/>
        <v>986.25097752695069</v>
      </c>
      <c r="O198" s="186">
        <v>12863</v>
      </c>
      <c r="P198" s="186">
        <v>1106.850761909501</v>
      </c>
      <c r="Q198" s="174">
        <f t="shared" si="11"/>
        <v>1255.2201334388492</v>
      </c>
      <c r="R198" s="186">
        <v>9690</v>
      </c>
      <c r="S198" s="186">
        <v>175.42101671448501</v>
      </c>
      <c r="T198" s="174">
        <f t="shared" si="12"/>
        <v>198.93557432120915</v>
      </c>
    </row>
    <row r="199" spans="1:20" x14ac:dyDescent="0.2">
      <c r="A199" s="166">
        <v>1</v>
      </c>
      <c r="B199" s="166">
        <v>2015</v>
      </c>
      <c r="C199" s="177">
        <f>E199</f>
        <v>219.418599054541</v>
      </c>
      <c r="D199" s="169">
        <f>G199</f>
        <v>202.59159905454101</v>
      </c>
      <c r="E199" s="166">
        <v>219.418599054541</v>
      </c>
      <c r="G199" s="166">
        <v>202.59159905454101</v>
      </c>
      <c r="I199" s="166">
        <v>138.4</v>
      </c>
      <c r="J199" s="166">
        <v>1</v>
      </c>
      <c r="K199" s="166">
        <v>2015</v>
      </c>
      <c r="L199" s="186">
        <v>19630</v>
      </c>
      <c r="M199" s="186">
        <v>957.60520650282388</v>
      </c>
      <c r="N199" s="174">
        <f t="shared" si="15"/>
        <v>1082.0454495588449</v>
      </c>
      <c r="O199" s="186">
        <v>9848</v>
      </c>
      <c r="P199" s="186">
        <v>1279.8360091262539</v>
      </c>
      <c r="Q199" s="174">
        <f t="shared" si="11"/>
        <v>1446.1499587226101</v>
      </c>
      <c r="R199" s="186">
        <v>7135</v>
      </c>
      <c r="S199" s="186">
        <v>155.36971992416409</v>
      </c>
      <c r="T199" s="174">
        <f t="shared" si="12"/>
        <v>175.55992521922258</v>
      </c>
    </row>
    <row r="200" spans="1:20" x14ac:dyDescent="0.2">
      <c r="A200" s="166">
        <v>2</v>
      </c>
      <c r="C200" s="177">
        <f>+E200-E199</f>
        <v>188.69592411436798</v>
      </c>
      <c r="D200" s="169">
        <f>+G200-G199</f>
        <v>171.45081948058601</v>
      </c>
      <c r="E200" s="166">
        <v>408.11452316890899</v>
      </c>
      <c r="G200" s="166">
        <v>374.04241853512701</v>
      </c>
      <c r="I200" s="166">
        <v>139.6</v>
      </c>
      <c r="J200" s="166">
        <v>2</v>
      </c>
      <c r="L200" s="186">
        <v>15703.949675889351</v>
      </c>
      <c r="M200" s="186">
        <v>739.71582874915612</v>
      </c>
      <c r="N200" s="174">
        <f t="shared" si="15"/>
        <v>828.65658939066475</v>
      </c>
      <c r="O200" s="186">
        <v>5422.7168724637304</v>
      </c>
      <c r="P200" s="186">
        <v>1206.7408437095464</v>
      </c>
      <c r="Q200" s="174">
        <f t="shared" si="11"/>
        <v>1351.8350060423886</v>
      </c>
      <c r="R200" s="186">
        <v>9988.3050621118018</v>
      </c>
      <c r="S200" s="186">
        <v>168.85276765034422</v>
      </c>
      <c r="T200" s="174">
        <f t="shared" si="12"/>
        <v>189.15501482091034</v>
      </c>
    </row>
    <row r="201" spans="1:20" x14ac:dyDescent="0.2">
      <c r="A201" s="166">
        <v>3</v>
      </c>
      <c r="C201" s="177">
        <f>+E201-E200</f>
        <v>180.38826158445403</v>
      </c>
      <c r="D201" s="169">
        <f>+G201-G200</f>
        <v>162.29720926756397</v>
      </c>
      <c r="E201" s="166">
        <v>588.50278475336302</v>
      </c>
      <c r="G201" s="166">
        <v>536.33962780269098</v>
      </c>
      <c r="I201" s="166">
        <v>139.69999999999999</v>
      </c>
      <c r="J201" s="166">
        <v>3</v>
      </c>
      <c r="L201" s="186">
        <v>22728.974837944646</v>
      </c>
      <c r="M201" s="186">
        <v>979.87465749478997</v>
      </c>
      <c r="N201" s="174">
        <f t="shared" si="15"/>
        <v>1096.905499730299</v>
      </c>
      <c r="O201" s="186">
        <v>8619.8584362319707</v>
      </c>
      <c r="P201" s="186">
        <v>1341.1049733657396</v>
      </c>
      <c r="Q201" s="174">
        <f t="shared" si="11"/>
        <v>1501.2791786671528</v>
      </c>
      <c r="R201" s="186">
        <v>10649.652531055901</v>
      </c>
      <c r="S201" s="186">
        <v>131.16322330640469</v>
      </c>
      <c r="T201" s="174">
        <f t="shared" si="12"/>
        <v>146.82863762900573</v>
      </c>
    </row>
    <row r="202" spans="1:20" x14ac:dyDescent="0.2">
      <c r="A202" s="166">
        <v>4</v>
      </c>
      <c r="C202" s="177">
        <f>+E202-E201</f>
        <v>195.22963867497901</v>
      </c>
      <c r="D202" s="169">
        <f>+G202-G201</f>
        <v>179.89113138755602</v>
      </c>
      <c r="E202" s="166">
        <v>783.73242342834203</v>
      </c>
      <c r="G202" s="166">
        <v>716.230759190247</v>
      </c>
      <c r="I202" s="166">
        <v>141.69999999999999</v>
      </c>
      <c r="J202" s="166">
        <v>4</v>
      </c>
      <c r="L202" s="186">
        <v>17661.404213438705</v>
      </c>
      <c r="M202" s="186">
        <v>882.4718984768997</v>
      </c>
      <c r="N202" s="174">
        <f t="shared" si="15"/>
        <v>973.92637856958356</v>
      </c>
      <c r="O202" s="186">
        <v>7193.856491304301</v>
      </c>
      <c r="P202" s="186">
        <v>1425.3376484527203</v>
      </c>
      <c r="Q202" s="174">
        <f t="shared" si="11"/>
        <v>1573.0517159723267</v>
      </c>
      <c r="R202" s="186">
        <v>9159.825978260902</v>
      </c>
      <c r="S202" s="186">
        <v>158.55842389179503</v>
      </c>
      <c r="T202" s="174">
        <f t="shared" si="12"/>
        <v>174.99053719349592</v>
      </c>
    </row>
    <row r="203" spans="1:20" x14ac:dyDescent="0.2">
      <c r="A203" s="166">
        <v>1</v>
      </c>
      <c r="B203" s="166">
        <v>2016</v>
      </c>
      <c r="C203" s="177">
        <f>E203</f>
        <v>217.297581707322</v>
      </c>
      <c r="D203" s="169">
        <f>G203</f>
        <v>201.19677375494101</v>
      </c>
      <c r="E203" s="166">
        <v>217.297581707322</v>
      </c>
      <c r="G203" s="166">
        <v>201.19677375494101</v>
      </c>
      <c r="I203" s="166">
        <v>142.69999999999999</v>
      </c>
      <c r="J203" s="166">
        <v>1</v>
      </c>
      <c r="K203" s="166">
        <v>2016</v>
      </c>
      <c r="L203" s="186">
        <v>20668.165818181998</v>
      </c>
      <c r="M203" s="186">
        <v>1021.6300324660001</v>
      </c>
      <c r="N203" s="174">
        <f t="shared" si="15"/>
        <v>1119.6048537294707</v>
      </c>
      <c r="O203" s="186">
        <v>6682.5362000000005</v>
      </c>
      <c r="P203" s="186">
        <v>1267.176908724</v>
      </c>
      <c r="Q203" s="174">
        <f t="shared" si="11"/>
        <v>1388.6997958710776</v>
      </c>
      <c r="R203" s="186">
        <v>6340.7358571430004</v>
      </c>
      <c r="S203" s="186">
        <v>128.592957756</v>
      </c>
      <c r="T203" s="174">
        <f t="shared" si="12"/>
        <v>140.92508548473768</v>
      </c>
    </row>
    <row r="204" spans="1:20" x14ac:dyDescent="0.2">
      <c r="A204" s="166">
        <v>2</v>
      </c>
      <c r="C204" s="177">
        <f>+E204-E203</f>
        <v>210.94903078835901</v>
      </c>
      <c r="D204" s="169">
        <f>+G204-G203</f>
        <v>192.89311593057502</v>
      </c>
      <c r="E204" s="166">
        <v>428.24661249568101</v>
      </c>
      <c r="G204" s="166">
        <v>394.08988968551603</v>
      </c>
      <c r="I204" s="166">
        <v>144.30000000000001</v>
      </c>
      <c r="J204" s="166">
        <v>2</v>
      </c>
      <c r="L204" s="186">
        <v>19039.287573122998</v>
      </c>
      <c r="M204" s="186">
        <v>795.20392340999979</v>
      </c>
      <c r="N204" s="174">
        <f t="shared" si="15"/>
        <v>861.80156314949977</v>
      </c>
      <c r="O204" s="186">
        <v>5385.3991579709982</v>
      </c>
      <c r="P204" s="186">
        <v>991.5183596400002</v>
      </c>
      <c r="Q204" s="174">
        <f t="shared" si="11"/>
        <v>1074.5571633562124</v>
      </c>
      <c r="R204" s="186">
        <v>10107.700518632999</v>
      </c>
      <c r="S204" s="186">
        <v>152.61472035099999</v>
      </c>
      <c r="T204" s="174">
        <f t="shared" si="12"/>
        <v>165.39607097776255</v>
      </c>
    </row>
    <row r="205" spans="1:20" x14ac:dyDescent="0.2">
      <c r="A205" s="166">
        <v>3</v>
      </c>
      <c r="C205" s="177">
        <f>+E205-E204</f>
        <v>193.64755294266695</v>
      </c>
      <c r="D205" s="169">
        <f>+G205-G204</f>
        <v>175.641874720337</v>
      </c>
      <c r="E205" s="166">
        <v>621.89416543834795</v>
      </c>
      <c r="G205" s="166">
        <v>569.73176440585303</v>
      </c>
      <c r="I205" s="166">
        <v>145.30000000000001</v>
      </c>
      <c r="J205" s="166">
        <v>3</v>
      </c>
      <c r="L205" s="186">
        <v>25325.005330874006</v>
      </c>
      <c r="M205" s="186">
        <v>1404.3111468839998</v>
      </c>
      <c r="N205" s="174">
        <f t="shared" si="15"/>
        <v>1511.4466531689902</v>
      </c>
      <c r="O205" s="186">
        <v>9666.7747891530034</v>
      </c>
      <c r="P205" s="186">
        <v>1492.4533452979995</v>
      </c>
      <c r="Q205" s="174">
        <f t="shared" si="11"/>
        <v>1606.3132581171897</v>
      </c>
      <c r="R205" s="186">
        <v>10325.156290487997</v>
      </c>
      <c r="S205" s="186">
        <v>149.15188867200001</v>
      </c>
      <c r="T205" s="174">
        <f t="shared" si="12"/>
        <v>160.53075092891066</v>
      </c>
    </row>
    <row r="206" spans="1:20" x14ac:dyDescent="0.2">
      <c r="A206" s="166">
        <v>4</v>
      </c>
      <c r="C206" s="177">
        <f>+E206-E205</f>
        <v>194.66297676649504</v>
      </c>
      <c r="D206" s="169">
        <f>+G206-G205</f>
        <v>178.45454935802093</v>
      </c>
      <c r="E206" s="166">
        <v>816.55714220484299</v>
      </c>
      <c r="G206" s="166">
        <v>748.18631376387395</v>
      </c>
      <c r="I206" s="166">
        <v>146.69999999999999</v>
      </c>
      <c r="J206" s="166">
        <v>4</v>
      </c>
      <c r="L206" s="186">
        <v>18369.446222722992</v>
      </c>
      <c r="M206" s="186">
        <v>962.00640138500057</v>
      </c>
      <c r="N206" s="174">
        <f t="shared" si="15"/>
        <v>1025.5171852801182</v>
      </c>
      <c r="O206" s="186">
        <v>6575.4640743699983</v>
      </c>
      <c r="P206" s="186">
        <v>1222.1149542560006</v>
      </c>
      <c r="Q206" s="174">
        <f t="shared" si="11"/>
        <v>1302.7978672210272</v>
      </c>
      <c r="R206" s="186">
        <v>7957.0224983410008</v>
      </c>
      <c r="S206" s="186">
        <v>147.86469469900001</v>
      </c>
      <c r="T206" s="174">
        <f t="shared" si="12"/>
        <v>157.62658677916238</v>
      </c>
    </row>
    <row r="207" spans="1:20" x14ac:dyDescent="0.2">
      <c r="A207" s="166">
        <v>1</v>
      </c>
      <c r="B207" s="166">
        <v>2017</v>
      </c>
      <c r="C207" s="177">
        <f>E207</f>
        <v>227.02914608932699</v>
      </c>
      <c r="D207" s="169">
        <f>G207</f>
        <v>210.737716871462</v>
      </c>
      <c r="E207" s="166">
        <v>227.02914608932699</v>
      </c>
      <c r="G207" s="166">
        <v>210.737716871462</v>
      </c>
      <c r="I207" s="166">
        <v>146.4</v>
      </c>
      <c r="J207" s="166">
        <v>1</v>
      </c>
      <c r="K207" s="166">
        <v>2017</v>
      </c>
      <c r="L207" s="186">
        <v>20188.970584052</v>
      </c>
      <c r="M207" s="186">
        <v>1029.1484993670001</v>
      </c>
      <c r="N207" s="174">
        <f t="shared" si="15"/>
        <v>1099.3400824693192</v>
      </c>
      <c r="O207" s="186">
        <v>7124.2571060979999</v>
      </c>
      <c r="P207" s="186">
        <v>1296.4468783369998</v>
      </c>
      <c r="Q207" s="174">
        <f t="shared" si="11"/>
        <v>1384.8691603055447</v>
      </c>
      <c r="R207" s="186">
        <v>6121.3819215860003</v>
      </c>
      <c r="S207" s="186">
        <v>141.149656131</v>
      </c>
      <c r="T207" s="174">
        <f t="shared" si="12"/>
        <v>150.77656403037184</v>
      </c>
    </row>
    <row r="208" spans="1:20" x14ac:dyDescent="0.2">
      <c r="A208" s="166">
        <v>2</v>
      </c>
      <c r="C208" s="177">
        <f>+E208-E207</f>
        <v>200.76722202181199</v>
      </c>
      <c r="D208" s="169">
        <f>+G208-G207</f>
        <v>183.70797761744905</v>
      </c>
      <c r="E208" s="166">
        <v>427.79636811113897</v>
      </c>
      <c r="G208" s="166">
        <v>394.44569448891104</v>
      </c>
      <c r="I208" s="166">
        <v>147.4</v>
      </c>
      <c r="J208" s="166">
        <v>2</v>
      </c>
      <c r="L208" s="186">
        <v>16357.538075795001</v>
      </c>
      <c r="M208" s="186">
        <v>768.50776898899994</v>
      </c>
      <c r="N208" s="174">
        <f t="shared" si="15"/>
        <v>815.35337485308526</v>
      </c>
      <c r="O208" s="186">
        <v>5007.3623026510004</v>
      </c>
      <c r="P208" s="186">
        <v>1681.8190342150001</v>
      </c>
      <c r="Q208" s="174">
        <f t="shared" si="11"/>
        <v>1784.3369719519187</v>
      </c>
      <c r="R208" s="186">
        <v>7194.9193664359991</v>
      </c>
      <c r="S208" s="186">
        <v>119.946167266</v>
      </c>
      <c r="T208" s="174">
        <f t="shared" si="12"/>
        <v>127.2576754945279</v>
      </c>
    </row>
    <row r="209" spans="1:20" x14ac:dyDescent="0.2">
      <c r="A209" s="166">
        <v>3</v>
      </c>
      <c r="C209" s="177">
        <f>+E209-E208</f>
        <v>195.05863188886104</v>
      </c>
      <c r="D209" s="169">
        <f>+G209-G208</f>
        <v>176.76630551108894</v>
      </c>
      <c r="E209" s="166">
        <v>622.85500000000002</v>
      </c>
      <c r="G209" s="166">
        <v>571.21199999999999</v>
      </c>
      <c r="I209" s="166">
        <v>147.30000000000001</v>
      </c>
      <c r="J209" s="166">
        <v>3</v>
      </c>
      <c r="L209" s="186">
        <v>19399</v>
      </c>
      <c r="M209" s="186">
        <v>907</v>
      </c>
      <c r="N209" s="174">
        <f t="shared" si="15"/>
        <v>962.94090291921259</v>
      </c>
      <c r="O209" s="186">
        <v>8892</v>
      </c>
      <c r="P209" s="186">
        <v>954</v>
      </c>
      <c r="Q209" s="174">
        <f t="shared" si="11"/>
        <v>1012.8397148676171</v>
      </c>
      <c r="R209" s="186">
        <v>8727</v>
      </c>
      <c r="S209" s="186">
        <v>128</v>
      </c>
      <c r="T209" s="174">
        <f t="shared" si="12"/>
        <v>135.89463679565512</v>
      </c>
    </row>
    <row r="210" spans="1:20" x14ac:dyDescent="0.2">
      <c r="A210" s="166">
        <v>4</v>
      </c>
      <c r="C210" s="177">
        <f>+E210-E209</f>
        <v>225.423</v>
      </c>
      <c r="D210" s="169">
        <f>+G210-G209</f>
        <v>208.21799999999996</v>
      </c>
      <c r="E210" s="166">
        <v>848.27800000000002</v>
      </c>
      <c r="G210" s="166">
        <v>779.43</v>
      </c>
      <c r="I210" s="166">
        <v>148.4</v>
      </c>
      <c r="J210" s="166">
        <v>4</v>
      </c>
      <c r="L210" s="186">
        <v>23333</v>
      </c>
      <c r="M210" s="186">
        <v>1141</v>
      </c>
      <c r="N210" s="174">
        <f t="shared" si="15"/>
        <v>1202.3941037735849</v>
      </c>
      <c r="O210" s="186">
        <v>6366</v>
      </c>
      <c r="P210" s="186">
        <v>1205</v>
      </c>
      <c r="Q210" s="174">
        <f t="shared" si="11"/>
        <v>1269.8377695417789</v>
      </c>
      <c r="R210" s="186">
        <v>7520</v>
      </c>
      <c r="S210" s="186">
        <v>124</v>
      </c>
      <c r="T210" s="174">
        <f t="shared" si="12"/>
        <v>130.67210242587603</v>
      </c>
    </row>
    <row r="211" spans="1:20" x14ac:dyDescent="0.2">
      <c r="A211" s="166">
        <v>1</v>
      </c>
      <c r="B211" s="166">
        <v>2018</v>
      </c>
      <c r="C211" s="177">
        <f>E211</f>
        <v>241.52799999999999</v>
      </c>
      <c r="D211" s="177">
        <f>G211</f>
        <v>222.678</v>
      </c>
      <c r="E211" s="166">
        <v>241.52799999999999</v>
      </c>
      <c r="G211" s="166">
        <v>222.678</v>
      </c>
      <c r="I211" s="166">
        <v>149.69999999999999</v>
      </c>
      <c r="J211" s="166">
        <v>1</v>
      </c>
      <c r="K211" s="166">
        <v>2018</v>
      </c>
      <c r="L211" s="186">
        <v>25111</v>
      </c>
      <c r="M211" s="186">
        <v>1175</v>
      </c>
      <c r="N211" s="174">
        <f t="shared" si="15"/>
        <v>1227.4707748830997</v>
      </c>
      <c r="O211" s="186">
        <v>6317</v>
      </c>
      <c r="P211" s="186">
        <v>1262</v>
      </c>
      <c r="Q211" s="174">
        <f t="shared" si="11"/>
        <v>1318.3558450233804</v>
      </c>
      <c r="R211" s="186">
        <v>5433</v>
      </c>
      <c r="S211" s="186">
        <v>116</v>
      </c>
      <c r="T211" s="174">
        <f t="shared" si="12"/>
        <v>121.1800935203741</v>
      </c>
    </row>
    <row r="212" spans="1:20" x14ac:dyDescent="0.2">
      <c r="A212" s="166">
        <v>2</v>
      </c>
      <c r="C212" s="177">
        <f>+E212-E211</f>
        <v>226.77080239162902</v>
      </c>
      <c r="D212" s="177">
        <f>+G212-G211</f>
        <v>208.83864191330298</v>
      </c>
      <c r="E212" s="166">
        <v>468.29880239162901</v>
      </c>
      <c r="G212" s="166">
        <v>431.51664191330298</v>
      </c>
      <c r="I212" s="166">
        <v>150.80000000000001</v>
      </c>
      <c r="J212" s="166">
        <v>2</v>
      </c>
      <c r="L212" s="186">
        <v>20973.437462450995</v>
      </c>
      <c r="M212" s="186">
        <v>1076.7915513600001</v>
      </c>
      <c r="N212" s="174">
        <f t="shared" si="15"/>
        <v>1116.6713976089763</v>
      </c>
      <c r="O212" s="186">
        <v>5869.5992710140017</v>
      </c>
      <c r="P212" s="186">
        <v>1471.9660798479999</v>
      </c>
      <c r="Q212" s="174">
        <f t="shared" si="11"/>
        <v>1526.4815344630601</v>
      </c>
      <c r="R212" s="186">
        <v>9319.6839472049996</v>
      </c>
      <c r="S212" s="186">
        <v>135.61776245999999</v>
      </c>
      <c r="T212" s="174">
        <f t="shared" si="12"/>
        <v>140.64047600999402</v>
      </c>
    </row>
    <row r="213" spans="1:20" x14ac:dyDescent="0.2">
      <c r="A213" s="166">
        <v>3</v>
      </c>
      <c r="C213" s="177">
        <f>+E213-E212</f>
        <v>230.04425590433516</v>
      </c>
      <c r="D213" s="177">
        <f>+G213-G212</f>
        <v>207.39460472346803</v>
      </c>
      <c r="E213" s="166">
        <v>698.34305829596417</v>
      </c>
      <c r="G213" s="166">
        <v>638.91124663677101</v>
      </c>
      <c r="I213" s="166">
        <v>152.30000000000001</v>
      </c>
      <c r="J213" s="166">
        <v>3</v>
      </c>
      <c r="L213" s="186">
        <v>22635.655438734771</v>
      </c>
      <c r="M213" s="186">
        <v>1212.1884087902995</v>
      </c>
      <c r="N213" s="174">
        <f t="shared" si="15"/>
        <v>1244.7018011074917</v>
      </c>
      <c r="O213" s="186">
        <v>10333.380031159912</v>
      </c>
      <c r="P213" s="186">
        <v>1822.4517080118057</v>
      </c>
      <c r="Q213" s="174">
        <f t="shared" si="11"/>
        <v>1871.3336202063444</v>
      </c>
      <c r="R213" s="186">
        <v>9726.2967189440697</v>
      </c>
      <c r="S213" s="186">
        <v>150.27129325880639</v>
      </c>
      <c r="T213" s="174">
        <f t="shared" si="12"/>
        <v>154.30187916138175</v>
      </c>
    </row>
    <row r="214" spans="1:20" x14ac:dyDescent="0.2">
      <c r="A214" s="166">
        <v>4</v>
      </c>
      <c r="C214" s="177">
        <f>+E214-E213</f>
        <v>212.66674917787782</v>
      </c>
      <c r="D214" s="177">
        <f>+G214-G213</f>
        <v>195.66619934230232</v>
      </c>
      <c r="E214" s="166">
        <v>911.00980747384199</v>
      </c>
      <c r="G214" s="166">
        <v>834.57744597907333</v>
      </c>
      <c r="I214" s="166">
        <v>153.6</v>
      </c>
      <c r="J214" s="166">
        <v>4</v>
      </c>
      <c r="L214" s="186">
        <v>22335.438371541502</v>
      </c>
      <c r="M214" s="186">
        <v>1078.6341079945755</v>
      </c>
      <c r="N214" s="174">
        <f t="shared" si="15"/>
        <v>1098.1913735594512</v>
      </c>
      <c r="O214" s="186">
        <v>7362.2217963768126</v>
      </c>
      <c r="P214" s="186">
        <v>1452.0805351783911</v>
      </c>
      <c r="Q214" s="174">
        <f t="shared" si="11"/>
        <v>1478.4089485278173</v>
      </c>
      <c r="R214" s="186">
        <v>8182.2589673913026</v>
      </c>
      <c r="S214" s="186">
        <v>116.53210966099653</v>
      </c>
      <c r="T214" s="174">
        <f t="shared" si="12"/>
        <v>118.64501282119105</v>
      </c>
    </row>
    <row r="215" spans="1:20" x14ac:dyDescent="0.2">
      <c r="A215" s="166">
        <v>1</v>
      </c>
      <c r="B215" s="166">
        <v>2019</v>
      </c>
      <c r="C215" s="177">
        <f>E215</f>
        <v>242.05576995515696</v>
      </c>
      <c r="D215" s="177">
        <f>G215</f>
        <v>223.58363596412556</v>
      </c>
      <c r="E215" s="166">
        <v>242.05576995515696</v>
      </c>
      <c r="G215" s="166">
        <v>223.58363596412556</v>
      </c>
      <c r="I215" s="166">
        <v>154.1</v>
      </c>
      <c r="J215" s="166">
        <v>1</v>
      </c>
      <c r="K215" s="166">
        <v>2019</v>
      </c>
      <c r="L215" s="186">
        <v>22394.924612648225</v>
      </c>
      <c r="M215" s="186">
        <v>1151.1138601930163</v>
      </c>
      <c r="N215" s="174">
        <f t="shared" si="15"/>
        <v>1168.1826153555151</v>
      </c>
      <c r="O215" s="186">
        <v>6179.0660115942028</v>
      </c>
      <c r="P215" s="186">
        <v>1384.5030606846908</v>
      </c>
      <c r="Q215" s="174">
        <f t="shared" si="11"/>
        <v>1405.0325187876406</v>
      </c>
      <c r="R215" s="186">
        <v>6840.1016739130437</v>
      </c>
      <c r="S215" s="186">
        <v>122.43916062391185</v>
      </c>
      <c r="T215" s="174">
        <f t="shared" si="12"/>
        <v>124.25469262926967</v>
      </c>
    </row>
    <row r="216" spans="1:20" x14ac:dyDescent="0.2">
      <c r="A216" s="166">
        <v>2</v>
      </c>
      <c r="C216" s="177">
        <f>+E216-E215</f>
        <v>221.71122705530604</v>
      </c>
      <c r="D216" s="177">
        <f>+G216-G215</f>
        <v>199.97176164424542</v>
      </c>
      <c r="E216" s="166">
        <v>463.766997010463</v>
      </c>
      <c r="G216" s="166">
        <v>423.55539760837098</v>
      </c>
      <c r="I216" s="166">
        <v>154.6</v>
      </c>
      <c r="J216" s="166">
        <v>2</v>
      </c>
      <c r="L216" s="186">
        <v>19703.243703557309</v>
      </c>
      <c r="M216" s="186">
        <v>1006.9446819648526</v>
      </c>
      <c r="N216" s="174">
        <f t="shared" si="15"/>
        <v>1018.5707897094017</v>
      </c>
      <c r="O216" s="186">
        <v>8628.701004347824</v>
      </c>
      <c r="P216" s="186">
        <v>1346.7424148398591</v>
      </c>
      <c r="Q216" s="174">
        <f t="shared" si="11"/>
        <v>1362.2918017123636</v>
      </c>
      <c r="R216" s="186">
        <v>10227.612341614906</v>
      </c>
      <c r="S216" s="186">
        <v>141.53554504088498</v>
      </c>
      <c r="T216" s="174">
        <f t="shared" si="12"/>
        <v>143.16970382418373</v>
      </c>
    </row>
    <row r="217" spans="1:20" x14ac:dyDescent="0.2">
      <c r="A217" s="166">
        <v>3</v>
      </c>
      <c r="C217" s="177">
        <f>+E217-E216</f>
        <v>200.66800298953694</v>
      </c>
      <c r="D217" s="177">
        <f>+G217-G216</f>
        <v>183.517602391629</v>
      </c>
      <c r="E217" s="166">
        <v>664.43499999999995</v>
      </c>
      <c r="G217" s="166">
        <v>607.07299999999998</v>
      </c>
      <c r="I217" s="166">
        <v>154.69999999999999</v>
      </c>
      <c r="J217" s="166">
        <v>3</v>
      </c>
      <c r="L217" s="186">
        <v>26165.077849802379</v>
      </c>
      <c r="M217" s="186">
        <v>1402.3482904344257</v>
      </c>
      <c r="N217" s="174">
        <f t="shared" si="15"/>
        <v>1417.6227369074836</v>
      </c>
      <c r="O217" s="186">
        <v>13748.462299275363</v>
      </c>
      <c r="P217" s="186">
        <v>1484.9789315777889</v>
      </c>
      <c r="Q217" s="174">
        <f t="shared" si="11"/>
        <v>1501.1533950536041</v>
      </c>
      <c r="R217" s="186">
        <v>10507.793672360251</v>
      </c>
      <c r="S217" s="186">
        <v>144.78676128055025</v>
      </c>
      <c r="T217" s="174">
        <f t="shared" si="12"/>
        <v>146.36378579740693</v>
      </c>
    </row>
    <row r="218" spans="1:20" x14ac:dyDescent="0.2">
      <c r="A218" s="166">
        <v>4</v>
      </c>
      <c r="C218" s="177">
        <f>+E218-E217</f>
        <v>216.91973572496272</v>
      </c>
      <c r="D218" s="177">
        <f>+G218-G217</f>
        <v>199.72038857997018</v>
      </c>
      <c r="E218" s="166">
        <v>881.35473572496267</v>
      </c>
      <c r="G218" s="166">
        <v>806.79338857997016</v>
      </c>
      <c r="I218" s="166">
        <v>156.1</v>
      </c>
      <c r="J218" s="166">
        <v>4</v>
      </c>
      <c r="L218" s="186">
        <v>22621.988837944664</v>
      </c>
      <c r="M218" s="186">
        <v>1317.7971704198299</v>
      </c>
      <c r="N218" s="174">
        <f t="shared" si="15"/>
        <v>1320.2031421915767</v>
      </c>
      <c r="O218" s="186">
        <v>7776.9221253623255</v>
      </c>
      <c r="P218" s="186">
        <v>1227.7391162265512</v>
      </c>
      <c r="Q218" s="174">
        <f t="shared" si="11"/>
        <v>1229.9806642606613</v>
      </c>
      <c r="R218" s="186">
        <v>9597.5708897515542</v>
      </c>
      <c r="S218" s="186">
        <v>133.20019148427383</v>
      </c>
      <c r="T218" s="174">
        <f t="shared" si="12"/>
        <v>133.44338209652892</v>
      </c>
    </row>
    <row r="219" spans="1:20" x14ac:dyDescent="0.2">
      <c r="A219" s="166">
        <v>1</v>
      </c>
      <c r="B219" s="166">
        <v>2020</v>
      </c>
      <c r="C219" s="177">
        <f>E219</f>
        <v>245.16278393124065</v>
      </c>
      <c r="D219" s="177">
        <f>G219</f>
        <v>227.94719714499254</v>
      </c>
      <c r="E219" s="166">
        <v>245.16278393124065</v>
      </c>
      <c r="G219" s="166">
        <v>227.94719714499254</v>
      </c>
      <c r="I219" s="166">
        <v>155.52000000000001</v>
      </c>
      <c r="J219" s="166">
        <v>1</v>
      </c>
      <c r="K219" s="166">
        <v>2020</v>
      </c>
      <c r="L219" s="186">
        <v>22417.308750988144</v>
      </c>
      <c r="M219" s="186">
        <v>1187.0066434405767</v>
      </c>
      <c r="N219" s="174">
        <f t="shared" si="15"/>
        <v>1193.6087572945899</v>
      </c>
      <c r="O219" s="186">
        <v>7817.2878601449283</v>
      </c>
      <c r="P219" s="186">
        <v>1773.3957103534681</v>
      </c>
      <c r="Q219" s="174">
        <f t="shared" si="11"/>
        <v>1783.2593117517176</v>
      </c>
      <c r="R219" s="186">
        <v>8173.2696444099374</v>
      </c>
      <c r="S219" s="186">
        <v>145.83786039029874</v>
      </c>
      <c r="T219" s="174">
        <f t="shared" si="12"/>
        <v>146.64900846924428</v>
      </c>
    </row>
    <row r="220" spans="1:20" x14ac:dyDescent="0.2">
      <c r="A220" s="166">
        <v>2</v>
      </c>
      <c r="C220" s="177">
        <f>+E220-E219</f>
        <v>219.4338294469357</v>
      </c>
      <c r="D220" s="177">
        <f>+G220-G219</f>
        <v>199.23928355754859</v>
      </c>
      <c r="E220" s="185">
        <v>464.59661337817636</v>
      </c>
      <c r="G220" s="166">
        <v>427.18648070254113</v>
      </c>
      <c r="I220" s="166">
        <v>156.5</v>
      </c>
      <c r="J220" s="166">
        <v>2</v>
      </c>
      <c r="L220" s="186">
        <v>20318.697663474304</v>
      </c>
      <c r="M220" s="186">
        <v>1003.3659178621033</v>
      </c>
      <c r="N220" s="174">
        <f t="shared" si="15"/>
        <v>1002.6286202227799</v>
      </c>
      <c r="O220" s="186">
        <v>6698.4276256020294</v>
      </c>
      <c r="P220" s="186">
        <v>1195.3385633418739</v>
      </c>
      <c r="Q220" s="174">
        <f t="shared" si="11"/>
        <v>1194.4601995413352</v>
      </c>
      <c r="R220" s="186">
        <v>9378.7613872911825</v>
      </c>
      <c r="S220" s="186">
        <v>125.6048434375343</v>
      </c>
      <c r="T220" s="174">
        <f t="shared" si="12"/>
        <v>125.51254594874635</v>
      </c>
    </row>
    <row r="221" spans="1:20" x14ac:dyDescent="0.2">
      <c r="A221" s="166">
        <v>3</v>
      </c>
      <c r="C221" s="177">
        <f>+E221-E220</f>
        <v>230.4091689088192</v>
      </c>
      <c r="D221" s="177">
        <f>+G221-G220</f>
        <v>212.03913512705532</v>
      </c>
      <c r="E221" s="185">
        <v>695.00578228699555</v>
      </c>
      <c r="G221" s="166">
        <v>639.22561582959645</v>
      </c>
      <c r="I221" s="166">
        <v>157.30000000000001</v>
      </c>
      <c r="J221" s="166">
        <v>3</v>
      </c>
      <c r="L221" s="186">
        <v>23115.129949173919</v>
      </c>
      <c r="M221" s="186">
        <v>1190.2908927373355</v>
      </c>
      <c r="N221" s="174">
        <f t="shared" si="15"/>
        <v>1183.3670773091433</v>
      </c>
      <c r="O221" s="186">
        <v>9381.5569490356484</v>
      </c>
      <c r="P221" s="186">
        <v>1044.8337260564822</v>
      </c>
      <c r="Q221" s="174">
        <f t="shared" si="11"/>
        <v>1038.756021928436</v>
      </c>
      <c r="R221" s="186">
        <v>12479.986334758509</v>
      </c>
      <c r="S221" s="186">
        <v>159.02277544572789</v>
      </c>
      <c r="T221" s="174">
        <f t="shared" si="12"/>
        <v>158.09775421538563</v>
      </c>
    </row>
    <row r="222" spans="1:20" x14ac:dyDescent="0.2">
      <c r="A222" s="166">
        <v>4</v>
      </c>
      <c r="C222" s="177">
        <f>+E222-E221</f>
        <v>210.53825269058302</v>
      </c>
      <c r="D222" s="177">
        <f>+G222-G221</f>
        <v>195.42257215246639</v>
      </c>
      <c r="E222" s="185">
        <v>905.54403497757858</v>
      </c>
      <c r="G222" s="166">
        <v>834.64818798206284</v>
      </c>
      <c r="I222" s="166">
        <v>156.1</v>
      </c>
      <c r="J222" s="166">
        <v>4</v>
      </c>
      <c r="L222" s="186">
        <v>24544.608407612643</v>
      </c>
      <c r="M222" s="186">
        <v>1241.5801516088959</v>
      </c>
      <c r="N222" s="174">
        <f t="shared" si="15"/>
        <v>1243.8469699510392</v>
      </c>
      <c r="O222" s="186">
        <v>8299.8127776884066</v>
      </c>
      <c r="P222" s="186">
        <v>1192.0542375158043</v>
      </c>
      <c r="Q222" s="174">
        <f t="shared" si="11"/>
        <v>1194.2306337854523</v>
      </c>
      <c r="R222" s="186">
        <v>9374.137683010551</v>
      </c>
      <c r="S222" s="186">
        <v>112.80928620726445</v>
      </c>
      <c r="T222" s="174">
        <f t="shared" si="12"/>
        <v>113.0152480686935</v>
      </c>
    </row>
    <row r="223" spans="1:20" x14ac:dyDescent="0.2">
      <c r="A223" s="166">
        <v>1</v>
      </c>
      <c r="B223" s="166">
        <v>2021</v>
      </c>
      <c r="C223" s="177">
        <f>E223</f>
        <v>246.03664372197312</v>
      </c>
      <c r="D223" s="177">
        <f>G223</f>
        <v>229.48208497757849</v>
      </c>
      <c r="E223" s="185">
        <v>246.03664372197312</v>
      </c>
      <c r="G223" s="166">
        <v>229.48208497757849</v>
      </c>
      <c r="I223" s="166">
        <v>155.5</v>
      </c>
      <c r="J223" s="166">
        <v>1</v>
      </c>
      <c r="K223" s="166">
        <v>2021</v>
      </c>
      <c r="L223" s="186">
        <v>34994.274094861663</v>
      </c>
      <c r="M223" s="186">
        <v>1823.5241188431366</v>
      </c>
      <c r="N223" s="174">
        <f t="shared" si="15"/>
        <v>1833.9023750822118</v>
      </c>
      <c r="O223" s="186">
        <v>8185.2405021739132</v>
      </c>
      <c r="P223" s="186">
        <v>1464.197591740502</v>
      </c>
      <c r="Q223" s="174">
        <f t="shared" si="11"/>
        <v>1472.5308063301509</v>
      </c>
      <c r="R223" s="186">
        <v>6121.5967593167707</v>
      </c>
      <c r="S223" s="186">
        <v>112.87324166947003</v>
      </c>
      <c r="T223" s="174">
        <f t="shared" si="12"/>
        <v>113.51563921852136</v>
      </c>
    </row>
    <row r="224" spans="1:20" x14ac:dyDescent="0.2">
      <c r="A224" s="166">
        <v>2</v>
      </c>
      <c r="C224" s="177">
        <f>+E224-E223</f>
        <v>241.94121614349774</v>
      </c>
      <c r="D224" s="177">
        <f>+G224-G223</f>
        <v>221.09553291479824</v>
      </c>
      <c r="E224" s="185">
        <v>487.97785986547086</v>
      </c>
      <c r="G224" s="166">
        <v>450.57761789237674</v>
      </c>
      <c r="I224" s="166">
        <v>160.69999999999999</v>
      </c>
      <c r="J224" s="166">
        <v>2</v>
      </c>
      <c r="L224" s="186">
        <v>20425.734197628459</v>
      </c>
      <c r="M224" s="186">
        <v>1061.5540769322004</v>
      </c>
      <c r="N224" s="174">
        <f t="shared" si="15"/>
        <v>1033.049995774998</v>
      </c>
      <c r="O224" s="186">
        <v>6967.5044210144924</v>
      </c>
      <c r="P224" s="186">
        <v>1472.113681221721</v>
      </c>
      <c r="Q224" s="174">
        <f t="shared" si="11"/>
        <v>1432.5855509512064</v>
      </c>
      <c r="R224" s="186">
        <v>8820.4369021739112</v>
      </c>
      <c r="S224" s="186">
        <v>115.80617621183073</v>
      </c>
      <c r="T224" s="174">
        <f t="shared" si="12"/>
        <v>112.69663265020007</v>
      </c>
    </row>
    <row r="225" spans="1:20" x14ac:dyDescent="0.2">
      <c r="A225" s="166">
        <v>3</v>
      </c>
      <c r="C225" s="177">
        <f>+E225-E224</f>
        <v>223.16246838565024</v>
      </c>
      <c r="D225" s="177">
        <f>+G225-G224</f>
        <v>200.95042470852019</v>
      </c>
      <c r="E225" s="185">
        <v>711.1403282511211</v>
      </c>
      <c r="G225" s="166">
        <v>651.52804260089692</v>
      </c>
      <c r="I225" s="166">
        <v>162.69999999999999</v>
      </c>
      <c r="J225" s="166">
        <v>3</v>
      </c>
      <c r="L225" s="186">
        <v>24805.341992094851</v>
      </c>
      <c r="M225" s="186">
        <v>1156.0227184873836</v>
      </c>
      <c r="N225" s="174">
        <f t="shared" si="15"/>
        <v>1111.1531212701261</v>
      </c>
      <c r="O225" s="186">
        <v>11835.432255072465</v>
      </c>
      <c r="P225" s="186">
        <v>1387.9440913118756</v>
      </c>
      <c r="Q225" s="174">
        <f t="shared" si="11"/>
        <v>1334.0727518119711</v>
      </c>
      <c r="R225" s="186">
        <v>8162.7090062111811</v>
      </c>
      <c r="S225" s="186">
        <v>122.41533537856195</v>
      </c>
      <c r="T225" s="174">
        <f t="shared" si="12"/>
        <v>117.66393499186488</v>
      </c>
    </row>
    <row r="226" spans="1:20" x14ac:dyDescent="0.2">
      <c r="C226" s="177"/>
      <c r="D226" s="169"/>
      <c r="L226" s="186"/>
      <c r="M226" s="186"/>
      <c r="N226" s="174"/>
      <c r="O226" s="186"/>
      <c r="P226" s="186"/>
      <c r="Q226" s="174"/>
      <c r="R226" s="186"/>
      <c r="S226" s="186"/>
      <c r="T226" s="174"/>
    </row>
    <row r="227" spans="1:20" x14ac:dyDescent="0.2">
      <c r="C227" s="177"/>
      <c r="E227" s="170" t="s">
        <v>110</v>
      </c>
      <c r="J227" s="188"/>
      <c r="K227" s="189" t="s">
        <v>160</v>
      </c>
      <c r="L227" s="190">
        <f>L229-L224-L223</f>
        <v>24805.341992094851</v>
      </c>
      <c r="M227" s="190">
        <f>M229-M224-M223</f>
        <v>1156.0227184873836</v>
      </c>
      <c r="N227" s="191" t="s">
        <v>174</v>
      </c>
      <c r="O227" s="190">
        <f>O229-O224-O223</f>
        <v>11835.432255072465</v>
      </c>
      <c r="P227" s="190">
        <f>P229-P224-P223</f>
        <v>1387.9440913118756</v>
      </c>
      <c r="Q227" s="191" t="s">
        <v>174</v>
      </c>
      <c r="R227" s="190">
        <f>R229-R224-R223</f>
        <v>8162.7090062111811</v>
      </c>
      <c r="S227" s="190">
        <f>S229-S224-S223</f>
        <v>122.41533537856195</v>
      </c>
      <c r="T227" s="192" t="s">
        <v>174</v>
      </c>
    </row>
    <row r="228" spans="1:20" x14ac:dyDescent="0.2">
      <c r="E228" s="185">
        <f>IF('Tab5'!E8="",'Tab5'!E7,'Tab5'!E8)/1000</f>
        <v>711.1403282511211</v>
      </c>
      <c r="G228" s="185">
        <f>IF('Tab5'!E10="",'Tab5'!E9,'Tab5'!E10)/1000</f>
        <v>651.52804260089692</v>
      </c>
      <c r="K228" s="172" t="s">
        <v>188</v>
      </c>
      <c r="L228" s="193">
        <f>SUM('Tab7'!E11,'Tab11'!E11)</f>
        <v>108318.00704984312</v>
      </c>
      <c r="M228" s="194">
        <f>SUM('Tab7'!E39,'Tab11'!E39)</f>
        <v>5506.9063477537002</v>
      </c>
      <c r="N228" s="195" t="s">
        <v>173</v>
      </c>
      <c r="O228" s="193">
        <f>SUM('Tab7'!E9,'Tab11'!E9)</f>
        <v>35497.592802749452</v>
      </c>
      <c r="P228" s="194">
        <f>SUM('Tab7'!E37,'Tab11'!E37)</f>
        <v>5588.560907677891</v>
      </c>
      <c r="Q228" s="195" t="s">
        <v>173</v>
      </c>
      <c r="R228" s="193">
        <f>SUM('Tab7'!E13,'Tab11'!E13)</f>
        <v>30350.76160423856</v>
      </c>
      <c r="S228" s="194">
        <f>SUM('Tab7'!E41,'Tab11'!E41)</f>
        <v>447.30149910688016</v>
      </c>
      <c r="T228" s="196" t="s">
        <v>173</v>
      </c>
    </row>
    <row r="229" spans="1:20" x14ac:dyDescent="0.2">
      <c r="K229" s="172" t="s">
        <v>187</v>
      </c>
      <c r="L229" s="193">
        <f>SUM('Tab7'!E12,'Tab11'!E12)</f>
        <v>80225.350284584973</v>
      </c>
      <c r="M229" s="194">
        <f>SUM('Tab7'!E40,'Tab11'!E40)</f>
        <v>4041.1009142627208</v>
      </c>
      <c r="N229" s="195" t="s">
        <v>173</v>
      </c>
      <c r="O229" s="193">
        <f>SUM('Tab7'!E10,'Tab11'!E10)</f>
        <v>26988.17717826087</v>
      </c>
      <c r="P229" s="194">
        <f>SUM('Tab7'!E38,'Tab11'!E38)</f>
        <v>4324.2553642740986</v>
      </c>
      <c r="Q229" s="195" t="s">
        <v>173</v>
      </c>
      <c r="R229" s="193">
        <f>SUM('Tab7'!E14,'Tab11'!E14)</f>
        <v>23104.742667701863</v>
      </c>
      <c r="S229" s="194">
        <f>SUM('Tab7'!E42,'Tab11'!E42)</f>
        <v>351.09475325986273</v>
      </c>
      <c r="T229" s="196"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211:D21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2</v>
      </c>
      <c r="B7" s="19" t="s">
        <v>3</v>
      </c>
      <c r="C7" s="20">
        <v>2227308.6919127963</v>
      </c>
      <c r="D7" s="20">
        <v>2421842.5613065525</v>
      </c>
      <c r="E7" s="79">
        <v>2223613.5543633616</v>
      </c>
      <c r="F7" s="22" t="s">
        <v>240</v>
      </c>
      <c r="G7" s="23">
        <v>-0.16590145599715811</v>
      </c>
      <c r="H7" s="24">
        <v>-8.1850492724122006</v>
      </c>
    </row>
    <row r="8" spans="1:8" x14ac:dyDescent="0.2">
      <c r="A8" s="207"/>
      <c r="B8" s="25" t="s">
        <v>241</v>
      </c>
      <c r="C8" s="26">
        <v>1669976.1112712934</v>
      </c>
      <c r="D8" s="26">
        <v>1841095.2179925563</v>
      </c>
      <c r="E8" s="26">
        <v>1682597.5964046796</v>
      </c>
      <c r="F8" s="27"/>
      <c r="G8" s="28">
        <v>0.75578836416873685</v>
      </c>
      <c r="H8" s="29">
        <v>-8.6088769357999411</v>
      </c>
    </row>
    <row r="9" spans="1:8" x14ac:dyDescent="0.2">
      <c r="A9" s="30" t="s">
        <v>4</v>
      </c>
      <c r="B9" s="31" t="s">
        <v>3</v>
      </c>
      <c r="C9" s="20">
        <v>700505.74065171904</v>
      </c>
      <c r="D9" s="20">
        <v>735648.49503139011</v>
      </c>
      <c r="E9" s="20">
        <v>776808.63313713646</v>
      </c>
      <c r="F9" s="22" t="s">
        <v>240</v>
      </c>
      <c r="G9" s="32">
        <v>10.892543494993873</v>
      </c>
      <c r="H9" s="33">
        <v>5.5950822143651777</v>
      </c>
    </row>
    <row r="10" spans="1:8" x14ac:dyDescent="0.2">
      <c r="A10" s="34"/>
      <c r="B10" s="25" t="s">
        <v>241</v>
      </c>
      <c r="C10" s="26">
        <v>486889.16850224219</v>
      </c>
      <c r="D10" s="26">
        <v>532674.99829820625</v>
      </c>
      <c r="E10" s="26">
        <v>554753.82544843049</v>
      </c>
      <c r="F10" s="27"/>
      <c r="G10" s="28">
        <v>13.938419939583397</v>
      </c>
      <c r="H10" s="29">
        <v>4.1448964604612399</v>
      </c>
    </row>
    <row r="11" spans="1:8" x14ac:dyDescent="0.2">
      <c r="A11" s="30" t="s">
        <v>5</v>
      </c>
      <c r="B11" s="31" t="s">
        <v>3</v>
      </c>
      <c r="C11" s="20">
        <v>180848.99507324363</v>
      </c>
      <c r="D11" s="20">
        <v>169895.53994618845</v>
      </c>
      <c r="E11" s="20">
        <v>159013.36935712135</v>
      </c>
      <c r="F11" s="22" t="s">
        <v>240</v>
      </c>
      <c r="G11" s="37">
        <v>-12.073954686493479</v>
      </c>
      <c r="H11" s="33">
        <v>-6.4052126339007174</v>
      </c>
    </row>
    <row r="12" spans="1:8" x14ac:dyDescent="0.2">
      <c r="A12" s="34"/>
      <c r="B12" s="25" t="s">
        <v>241</v>
      </c>
      <c r="C12" s="26">
        <v>188937.39113901334</v>
      </c>
      <c r="D12" s="26">
        <v>162330.78398878919</v>
      </c>
      <c r="E12" s="26">
        <v>156386.50280269061</v>
      </c>
      <c r="F12" s="27"/>
      <c r="G12" s="28">
        <v>-17.228399386743391</v>
      </c>
      <c r="H12" s="29">
        <v>-3.6618323647775242</v>
      </c>
    </row>
    <row r="13" spans="1:8" x14ac:dyDescent="0.2">
      <c r="A13" s="30" t="s">
        <v>6</v>
      </c>
      <c r="B13" s="31" t="s">
        <v>3</v>
      </c>
      <c r="C13" s="20">
        <v>436422.05680252536</v>
      </c>
      <c r="D13" s="20">
        <v>479818.33846073353</v>
      </c>
      <c r="E13" s="20">
        <v>471825.77424671029</v>
      </c>
      <c r="F13" s="22" t="s">
        <v>240</v>
      </c>
      <c r="G13" s="23">
        <v>8.1122658427423602</v>
      </c>
      <c r="H13" s="24">
        <v>-1.6657479661289187</v>
      </c>
    </row>
    <row r="14" spans="1:8" x14ac:dyDescent="0.2">
      <c r="A14" s="34"/>
      <c r="B14" s="25" t="s">
        <v>241</v>
      </c>
      <c r="C14" s="26">
        <v>329887.15209543239</v>
      </c>
      <c r="D14" s="26">
        <v>357034.97546172765</v>
      </c>
      <c r="E14" s="26">
        <v>352921.90535237797</v>
      </c>
      <c r="F14" s="27"/>
      <c r="G14" s="38">
        <v>6.9826160584398593</v>
      </c>
      <c r="H14" s="24">
        <v>-1.1520076160691417</v>
      </c>
    </row>
    <row r="15" spans="1:8" x14ac:dyDescent="0.2">
      <c r="A15" s="30" t="s">
        <v>168</v>
      </c>
      <c r="B15" s="31" t="s">
        <v>3</v>
      </c>
      <c r="C15" s="20">
        <v>46862.684981684986</v>
      </c>
      <c r="D15" s="20">
        <v>45810.752901417422</v>
      </c>
      <c r="E15" s="20">
        <v>48163.666222303335</v>
      </c>
      <c r="F15" s="22" t="s">
        <v>240</v>
      </c>
      <c r="G15" s="37">
        <v>2.7761559994413432</v>
      </c>
      <c r="H15" s="33">
        <v>5.1361594644586432</v>
      </c>
    </row>
    <row r="16" spans="1:8" x14ac:dyDescent="0.2">
      <c r="A16" s="34"/>
      <c r="B16" s="25" t="s">
        <v>241</v>
      </c>
      <c r="C16" s="26">
        <v>35803.787386526514</v>
      </c>
      <c r="D16" s="26">
        <v>33616.30625895843</v>
      </c>
      <c r="E16" s="26">
        <v>35814.894648829431</v>
      </c>
      <c r="F16" s="27"/>
      <c r="G16" s="28">
        <v>3.1022590384097271E-2</v>
      </c>
      <c r="H16" s="29">
        <v>6.5402438118408668</v>
      </c>
    </row>
    <row r="17" spans="1:8" x14ac:dyDescent="0.2">
      <c r="A17" s="30" t="s">
        <v>7</v>
      </c>
      <c r="B17" s="31" t="s">
        <v>3</v>
      </c>
      <c r="C17" s="20">
        <v>9550.4275265306132</v>
      </c>
      <c r="D17" s="20">
        <v>8509.779069387756</v>
      </c>
      <c r="E17" s="20">
        <v>8663.5162936021861</v>
      </c>
      <c r="F17" s="22" t="s">
        <v>240</v>
      </c>
      <c r="G17" s="23">
        <v>-9.286612881618467</v>
      </c>
      <c r="H17" s="24">
        <v>1.8065947771484332</v>
      </c>
    </row>
    <row r="18" spans="1:8" x14ac:dyDescent="0.2">
      <c r="A18" s="30"/>
      <c r="B18" s="25" t="s">
        <v>241</v>
      </c>
      <c r="C18" s="26">
        <v>7040.4526530612247</v>
      </c>
      <c r="D18" s="26">
        <v>6161.3536816326532</v>
      </c>
      <c r="E18" s="26">
        <v>6310.199289795919</v>
      </c>
      <c r="F18" s="27"/>
      <c r="G18" s="38">
        <v>-10.372250184052973</v>
      </c>
      <c r="H18" s="24">
        <v>2.4157939286456411</v>
      </c>
    </row>
    <row r="19" spans="1:8" x14ac:dyDescent="0.2">
      <c r="A19" s="39" t="s">
        <v>8</v>
      </c>
      <c r="B19" s="31" t="s">
        <v>3</v>
      </c>
      <c r="C19" s="20">
        <v>5250</v>
      </c>
      <c r="D19" s="20">
        <v>5522</v>
      </c>
      <c r="E19" s="20">
        <v>5144.4495611508755</v>
      </c>
      <c r="F19" s="22" t="s">
        <v>240</v>
      </c>
      <c r="G19" s="37">
        <v>-2.010484549507126</v>
      </c>
      <c r="H19" s="33">
        <v>-6.8372046151598056</v>
      </c>
    </row>
    <row r="20" spans="1:8" x14ac:dyDescent="0.2">
      <c r="A20" s="34"/>
      <c r="B20" s="25" t="s">
        <v>241</v>
      </c>
      <c r="C20" s="26">
        <v>3867.6905142857145</v>
      </c>
      <c r="D20" s="26">
        <v>3966</v>
      </c>
      <c r="E20" s="26">
        <v>3726</v>
      </c>
      <c r="F20" s="27"/>
      <c r="G20" s="28">
        <v>-3.6634398166649049</v>
      </c>
      <c r="H20" s="29">
        <v>-6.0514372163388828</v>
      </c>
    </row>
    <row r="21" spans="1:8" x14ac:dyDescent="0.2">
      <c r="A21" s="39" t="s">
        <v>9</v>
      </c>
      <c r="B21" s="31" t="s">
        <v>3</v>
      </c>
      <c r="C21" s="20">
        <v>27254.799999999999</v>
      </c>
      <c r="D21" s="20">
        <v>27600.996666666666</v>
      </c>
      <c r="E21" s="20">
        <v>31383.90301197629</v>
      </c>
      <c r="F21" s="22" t="s">
        <v>240</v>
      </c>
      <c r="G21" s="37">
        <v>15.150002979204729</v>
      </c>
      <c r="H21" s="33">
        <v>13.705687482938572</v>
      </c>
    </row>
    <row r="22" spans="1:8" x14ac:dyDescent="0.2">
      <c r="A22" s="34"/>
      <c r="B22" s="25" t="s">
        <v>241</v>
      </c>
      <c r="C22" s="26">
        <v>19854.9175</v>
      </c>
      <c r="D22" s="26">
        <v>19809.1175</v>
      </c>
      <c r="E22" s="26">
        <v>22635.919999999998</v>
      </c>
      <c r="F22" s="27"/>
      <c r="G22" s="28">
        <v>14.006618259683009</v>
      </c>
      <c r="H22" s="29">
        <v>14.270209159999169</v>
      </c>
    </row>
    <row r="23" spans="1:8" x14ac:dyDescent="0.2">
      <c r="A23" s="39" t="s">
        <v>190</v>
      </c>
      <c r="B23" s="31" t="s">
        <v>3</v>
      </c>
      <c r="C23" s="20">
        <v>6375</v>
      </c>
      <c r="D23" s="20">
        <v>6379</v>
      </c>
      <c r="E23" s="20">
        <v>6927.1693177801335</v>
      </c>
      <c r="F23" s="22" t="s">
        <v>240</v>
      </c>
      <c r="G23" s="37">
        <v>8.6614794945903242</v>
      </c>
      <c r="H23" s="33">
        <v>8.5933424953775557</v>
      </c>
    </row>
    <row r="24" spans="1:8" x14ac:dyDescent="0.2">
      <c r="A24" s="34"/>
      <c r="B24" s="25" t="s">
        <v>241</v>
      </c>
      <c r="C24" s="26">
        <v>4618.1849056603778</v>
      </c>
      <c r="D24" s="26">
        <v>4715</v>
      </c>
      <c r="E24" s="26">
        <v>5145</v>
      </c>
      <c r="F24" s="27"/>
      <c r="G24" s="28">
        <v>11.407405833705781</v>
      </c>
      <c r="H24" s="29">
        <v>9.1198303287380611</v>
      </c>
    </row>
    <row r="25" spans="1:8" x14ac:dyDescent="0.2">
      <c r="A25" s="39" t="s">
        <v>191</v>
      </c>
      <c r="B25" s="31" t="s">
        <v>3</v>
      </c>
      <c r="C25" s="20">
        <v>1628</v>
      </c>
      <c r="D25" s="20">
        <v>1472</v>
      </c>
      <c r="E25" s="20">
        <v>1887.301587301587</v>
      </c>
      <c r="F25" s="22" t="s">
        <v>240</v>
      </c>
      <c r="G25" s="37">
        <v>15.927615927615918</v>
      </c>
      <c r="H25" s="33">
        <v>28.213423050379561</v>
      </c>
    </row>
    <row r="26" spans="1:8" x14ac:dyDescent="0.2">
      <c r="A26" s="34"/>
      <c r="B26" s="25" t="s">
        <v>241</v>
      </c>
      <c r="C26" s="26">
        <v>1103.6732954545455</v>
      </c>
      <c r="D26" s="26">
        <v>1127</v>
      </c>
      <c r="E26" s="26">
        <v>1435</v>
      </c>
      <c r="F26" s="27"/>
      <c r="G26" s="28">
        <v>30.020360727220293</v>
      </c>
      <c r="H26" s="29">
        <v>27.329192546583855</v>
      </c>
    </row>
    <row r="27" spans="1:8" x14ac:dyDescent="0.2">
      <c r="A27" s="39" t="s">
        <v>192</v>
      </c>
      <c r="B27" s="31" t="s">
        <v>3</v>
      </c>
      <c r="C27" s="20">
        <v>335300.03885714285</v>
      </c>
      <c r="D27" s="20">
        <v>343016</v>
      </c>
      <c r="E27" s="20">
        <v>435898.60568887659</v>
      </c>
      <c r="F27" s="22" t="s">
        <v>240</v>
      </c>
      <c r="G27" s="37">
        <v>30.002551498240223</v>
      </c>
      <c r="H27" s="33">
        <v>27.078213753549861</v>
      </c>
    </row>
    <row r="28" spans="1:8" x14ac:dyDescent="0.2">
      <c r="A28" s="34"/>
      <c r="B28" s="25" t="s">
        <v>241</v>
      </c>
      <c r="C28" s="26">
        <v>228573.55542857142</v>
      </c>
      <c r="D28" s="26">
        <v>233131.40685714287</v>
      </c>
      <c r="E28" s="26">
        <v>305821</v>
      </c>
      <c r="F28" s="27"/>
      <c r="G28" s="28">
        <v>33.795442533407225</v>
      </c>
      <c r="H28" s="29">
        <v>31.179665632695929</v>
      </c>
    </row>
    <row r="29" spans="1:8" x14ac:dyDescent="0.2">
      <c r="A29" s="30" t="s">
        <v>10</v>
      </c>
      <c r="B29" s="31" t="s">
        <v>3</v>
      </c>
      <c r="C29" s="20">
        <v>351332</v>
      </c>
      <c r="D29" s="20">
        <v>447542</v>
      </c>
      <c r="E29" s="20">
        <v>138480.49491691409</v>
      </c>
      <c r="F29" s="22" t="s">
        <v>240</v>
      </c>
      <c r="G29" s="37">
        <v>-60.584149773742759</v>
      </c>
      <c r="H29" s="33">
        <v>-69.057542104000504</v>
      </c>
    </row>
    <row r="30" spans="1:8" x14ac:dyDescent="0.2">
      <c r="A30" s="30"/>
      <c r="B30" s="25" t="s">
        <v>241</v>
      </c>
      <c r="C30" s="26">
        <v>271454.89423076925</v>
      </c>
      <c r="D30" s="26">
        <v>375186</v>
      </c>
      <c r="E30" s="26">
        <v>112892.84615384616</v>
      </c>
      <c r="F30" s="27"/>
      <c r="G30" s="28">
        <v>-58.411931944069615</v>
      </c>
      <c r="H30" s="29">
        <v>-69.910165583511599</v>
      </c>
    </row>
    <row r="31" spans="1:8" x14ac:dyDescent="0.2">
      <c r="A31" s="39" t="s">
        <v>11</v>
      </c>
      <c r="B31" s="31" t="s">
        <v>3</v>
      </c>
      <c r="C31" s="20">
        <v>10785.192019950126</v>
      </c>
      <c r="D31" s="20">
        <v>13466</v>
      </c>
      <c r="E31" s="20">
        <v>12839.131200693035</v>
      </c>
      <c r="F31" s="22" t="s">
        <v>240</v>
      </c>
      <c r="G31" s="37">
        <v>19.044066873761679</v>
      </c>
      <c r="H31" s="33">
        <v>-4.6551967867738426</v>
      </c>
    </row>
    <row r="32" spans="1:8" x14ac:dyDescent="0.2">
      <c r="A32" s="34"/>
      <c r="B32" s="25" t="s">
        <v>241</v>
      </c>
      <c r="C32" s="26">
        <v>8920.4557356608475</v>
      </c>
      <c r="D32" s="26">
        <v>11333.992503086034</v>
      </c>
      <c r="E32" s="26">
        <v>10743.278054862843</v>
      </c>
      <c r="F32" s="27"/>
      <c r="G32" s="28">
        <v>20.434183781832942</v>
      </c>
      <c r="H32" s="29">
        <v>-5.2118831741096585</v>
      </c>
    </row>
    <row r="33" spans="1:8" x14ac:dyDescent="0.2">
      <c r="A33" s="30" t="s">
        <v>12</v>
      </c>
      <c r="B33" s="31" t="s">
        <v>3</v>
      </c>
      <c r="C33" s="20">
        <v>11204.776</v>
      </c>
      <c r="D33" s="20">
        <v>11603.98</v>
      </c>
      <c r="E33" s="20">
        <v>11996.034495254113</v>
      </c>
      <c r="F33" s="22" t="s">
        <v>240</v>
      </c>
      <c r="G33" s="37">
        <v>7.0617966414867368</v>
      </c>
      <c r="H33" s="33">
        <v>3.378620915014622</v>
      </c>
    </row>
    <row r="34" spans="1:8" x14ac:dyDescent="0.2">
      <c r="A34" s="30"/>
      <c r="B34" s="25" t="s">
        <v>241</v>
      </c>
      <c r="C34" s="26">
        <v>7645.16</v>
      </c>
      <c r="D34" s="26">
        <v>8411.9601644300001</v>
      </c>
      <c r="E34" s="26">
        <v>8518.8459999999995</v>
      </c>
      <c r="F34" s="27"/>
      <c r="G34" s="28">
        <v>11.427962266322737</v>
      </c>
      <c r="H34" s="29">
        <v>1.270641247470067</v>
      </c>
    </row>
    <row r="35" spans="1:8" x14ac:dyDescent="0.2">
      <c r="A35" s="39" t="s">
        <v>13</v>
      </c>
      <c r="B35" s="31" t="s">
        <v>3</v>
      </c>
      <c r="C35" s="20">
        <v>47</v>
      </c>
      <c r="D35" s="20">
        <v>50</v>
      </c>
      <c r="E35" s="20">
        <v>74.85135135135134</v>
      </c>
      <c r="F35" s="22" t="s">
        <v>240</v>
      </c>
      <c r="G35" s="23">
        <v>59.258194364577321</v>
      </c>
      <c r="H35" s="24">
        <v>49.70270270270268</v>
      </c>
    </row>
    <row r="36" spans="1:8" x14ac:dyDescent="0.2">
      <c r="A36" s="34"/>
      <c r="B36" s="25" t="s">
        <v>241</v>
      </c>
      <c r="C36" s="26">
        <v>38</v>
      </c>
      <c r="D36" s="26">
        <v>37</v>
      </c>
      <c r="E36" s="26">
        <v>57</v>
      </c>
      <c r="F36" s="27"/>
      <c r="G36" s="28">
        <v>50</v>
      </c>
      <c r="H36" s="29">
        <v>54.054054054054063</v>
      </c>
    </row>
    <row r="37" spans="1:8" x14ac:dyDescent="0.2">
      <c r="A37" s="30" t="s">
        <v>14</v>
      </c>
      <c r="B37" s="31" t="s">
        <v>3</v>
      </c>
      <c r="C37" s="40">
        <v>103941.98</v>
      </c>
      <c r="D37" s="40">
        <v>125507.67923076924</v>
      </c>
      <c r="E37" s="20">
        <v>144838.99335772308</v>
      </c>
      <c r="F37" s="22" t="s">
        <v>240</v>
      </c>
      <c r="G37" s="23">
        <v>39.346001834603385</v>
      </c>
      <c r="H37" s="24">
        <v>15.402495086702729</v>
      </c>
    </row>
    <row r="38" spans="1:8" ht="13.5" thickBot="1" x14ac:dyDescent="0.25">
      <c r="A38" s="41"/>
      <c r="B38" s="42" t="s">
        <v>241</v>
      </c>
      <c r="C38" s="43">
        <v>75341.627884615387</v>
      </c>
      <c r="D38" s="43">
        <v>91559.323278582699</v>
      </c>
      <c r="E38" s="43">
        <v>105435.37865384616</v>
      </c>
      <c r="F38" s="44"/>
      <c r="G38" s="45">
        <v>39.94305885627918</v>
      </c>
      <c r="H38" s="46">
        <v>15.155262051297086</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9">
        <v>9</v>
      </c>
    </row>
    <row r="62" spans="1:8" ht="12.75" customHeight="1" x14ac:dyDescent="0.2">
      <c r="A62" s="54" t="s">
        <v>243</v>
      </c>
      <c r="G62" s="53"/>
      <c r="H62" s="202"/>
    </row>
    <row r="63" spans="1:8" x14ac:dyDescent="0.2">
      <c r="H63" s="87"/>
    </row>
    <row r="64" spans="1:8" x14ac:dyDescent="0.2">
      <c r="A64" s="208"/>
      <c r="H64" s="53"/>
    </row>
    <row r="65" spans="1:8" x14ac:dyDescent="0.2">
      <c r="A65" s="208"/>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10" t="s">
        <v>16</v>
      </c>
      <c r="D5" s="204"/>
      <c r="E5" s="204"/>
      <c r="F5" s="211"/>
      <c r="G5" s="204" t="s">
        <v>1</v>
      </c>
      <c r="H5" s="205"/>
    </row>
    <row r="6" spans="1:10" x14ac:dyDescent="0.2">
      <c r="A6" s="12"/>
      <c r="B6" s="13"/>
      <c r="C6" s="14" t="s">
        <v>235</v>
      </c>
      <c r="D6" s="15" t="s">
        <v>236</v>
      </c>
      <c r="E6" s="15" t="s">
        <v>237</v>
      </c>
      <c r="F6" s="16"/>
      <c r="G6" s="17" t="s">
        <v>238</v>
      </c>
      <c r="H6" s="18" t="s">
        <v>239</v>
      </c>
    </row>
    <row r="7" spans="1:10" x14ac:dyDescent="0.2">
      <c r="A7" s="206" t="s">
        <v>2</v>
      </c>
      <c r="B7" s="19" t="s">
        <v>3</v>
      </c>
      <c r="C7" s="80">
        <v>43407.636043431892</v>
      </c>
      <c r="D7" s="80">
        <v>43726.073478287661</v>
      </c>
      <c r="E7" s="81">
        <v>44844.38383192847</v>
      </c>
      <c r="F7" s="22" t="s">
        <v>240</v>
      </c>
      <c r="G7" s="23">
        <v>3.3098964132924209</v>
      </c>
      <c r="H7" s="24">
        <v>2.5575366473189263</v>
      </c>
    </row>
    <row r="8" spans="1:10" x14ac:dyDescent="0.2">
      <c r="A8" s="207"/>
      <c r="B8" s="25" t="s">
        <v>241</v>
      </c>
      <c r="C8" s="82">
        <v>32768.38811532675</v>
      </c>
      <c r="D8" s="82">
        <v>33354.054099715941</v>
      </c>
      <c r="E8" s="82">
        <v>34088.239850789316</v>
      </c>
      <c r="F8" s="27"/>
      <c r="G8" s="28">
        <v>4.0278201381691758</v>
      </c>
      <c r="H8" s="29">
        <v>2.2011889435642189</v>
      </c>
      <c r="J8" s="94"/>
    </row>
    <row r="9" spans="1:10" x14ac:dyDescent="0.2">
      <c r="A9" s="30" t="s">
        <v>4</v>
      </c>
      <c r="B9" s="31" t="s">
        <v>3</v>
      </c>
      <c r="C9" s="80">
        <v>10720.587163369206</v>
      </c>
      <c r="D9" s="80">
        <v>11715.583932812993</v>
      </c>
      <c r="E9" s="80">
        <v>11820.611966137598</v>
      </c>
      <c r="F9" s="22" t="s">
        <v>240</v>
      </c>
      <c r="G9" s="32">
        <v>10.260863383742901</v>
      </c>
      <c r="H9" s="33">
        <v>0.89648142104503847</v>
      </c>
    </row>
    <row r="10" spans="1:10" x14ac:dyDescent="0.2">
      <c r="A10" s="34"/>
      <c r="B10" s="25" t="s">
        <v>241</v>
      </c>
      <c r="C10" s="82">
        <v>7940.2293511089874</v>
      </c>
      <c r="D10" s="82">
        <v>8542.1836320153106</v>
      </c>
      <c r="E10" s="82">
        <v>8663.6902981272669</v>
      </c>
      <c r="F10" s="27"/>
      <c r="G10" s="35">
        <v>9.1113356431856261</v>
      </c>
      <c r="H10" s="29">
        <v>1.4224309772100838</v>
      </c>
      <c r="J10" s="94"/>
    </row>
    <row r="11" spans="1:10" x14ac:dyDescent="0.2">
      <c r="A11" s="30" t="s">
        <v>5</v>
      </c>
      <c r="B11" s="31" t="s">
        <v>3</v>
      </c>
      <c r="C11" s="80">
        <v>5112.0898873813076</v>
      </c>
      <c r="D11" s="80">
        <v>3786.8559341359833</v>
      </c>
      <c r="E11" s="80">
        <v>4282.7159763098553</v>
      </c>
      <c r="F11" s="22" t="s">
        <v>240</v>
      </c>
      <c r="G11" s="37">
        <v>-16.223774020849675</v>
      </c>
      <c r="H11" s="33">
        <v>13.094240995650893</v>
      </c>
    </row>
    <row r="12" spans="1:10" x14ac:dyDescent="0.2">
      <c r="A12" s="34"/>
      <c r="B12" s="25" t="s">
        <v>241</v>
      </c>
      <c r="C12" s="82">
        <v>3845.6480712881321</v>
      </c>
      <c r="D12" s="82">
        <v>3297.8428890743053</v>
      </c>
      <c r="E12" s="82">
        <v>3543.4529703809367</v>
      </c>
      <c r="F12" s="27"/>
      <c r="G12" s="28">
        <v>-7.8581059760357164</v>
      </c>
      <c r="H12" s="29">
        <v>7.4475980077866524</v>
      </c>
    </row>
    <row r="13" spans="1:10" x14ac:dyDescent="0.2">
      <c r="A13" s="30" t="s">
        <v>6</v>
      </c>
      <c r="B13" s="31" t="s">
        <v>3</v>
      </c>
      <c r="C13" s="80">
        <v>8866.8966085764332</v>
      </c>
      <c r="D13" s="80">
        <v>8740.3543440821522</v>
      </c>
      <c r="E13" s="80">
        <v>9609.5022541513972</v>
      </c>
      <c r="F13" s="22" t="s">
        <v>240</v>
      </c>
      <c r="G13" s="23">
        <v>8.3750344495579867</v>
      </c>
      <c r="H13" s="24">
        <v>9.9440809360059887</v>
      </c>
    </row>
    <row r="14" spans="1:10" x14ac:dyDescent="0.2">
      <c r="A14" s="34"/>
      <c r="B14" s="25" t="s">
        <v>241</v>
      </c>
      <c r="C14" s="82">
        <v>6540.8636296685318</v>
      </c>
      <c r="D14" s="82">
        <v>6389.0238891145436</v>
      </c>
      <c r="E14" s="82">
        <v>7045.6600904351508</v>
      </c>
      <c r="F14" s="27"/>
      <c r="G14" s="38">
        <v>7.7175811841868409</v>
      </c>
      <c r="H14" s="24">
        <v>10.277566850851301</v>
      </c>
    </row>
    <row r="15" spans="1:10" x14ac:dyDescent="0.2">
      <c r="A15" s="30" t="s">
        <v>168</v>
      </c>
      <c r="B15" s="31" t="s">
        <v>3</v>
      </c>
      <c r="C15" s="80">
        <v>5905.4067986511109</v>
      </c>
      <c r="D15" s="80">
        <v>5870.5359812985025</v>
      </c>
      <c r="E15" s="80">
        <v>5952.3560548352307</v>
      </c>
      <c r="F15" s="22" t="s">
        <v>240</v>
      </c>
      <c r="G15" s="37">
        <v>0.7950215418664186</v>
      </c>
      <c r="H15" s="33">
        <v>1.3937411132029212</v>
      </c>
    </row>
    <row r="16" spans="1:10" x14ac:dyDescent="0.2">
      <c r="A16" s="34"/>
      <c r="B16" s="25" t="s">
        <v>241</v>
      </c>
      <c r="C16" s="82">
        <v>4767.1996395704155</v>
      </c>
      <c r="D16" s="82">
        <v>4539.8772908809278</v>
      </c>
      <c r="E16" s="82">
        <v>4668.5546809425559</v>
      </c>
      <c r="F16" s="27"/>
      <c r="G16" s="28">
        <v>-2.0692432892688544</v>
      </c>
      <c r="H16" s="29">
        <v>2.8343803547311097</v>
      </c>
    </row>
    <row r="17" spans="1:8" x14ac:dyDescent="0.2">
      <c r="A17" s="30" t="s">
        <v>7</v>
      </c>
      <c r="B17" s="31" t="s">
        <v>3</v>
      </c>
      <c r="C17" s="80">
        <v>2097.286501513945</v>
      </c>
      <c r="D17" s="80">
        <v>1776.8332046777334</v>
      </c>
      <c r="E17" s="80">
        <v>1822.7987004265535</v>
      </c>
      <c r="F17" s="22" t="s">
        <v>240</v>
      </c>
      <c r="G17" s="23">
        <v>-13.08775891559165</v>
      </c>
      <c r="H17" s="24">
        <v>2.586933631576116</v>
      </c>
    </row>
    <row r="18" spans="1:8" x14ac:dyDescent="0.2">
      <c r="A18" s="30"/>
      <c r="B18" s="25" t="s">
        <v>241</v>
      </c>
      <c r="C18" s="82">
        <v>1538.0958501144171</v>
      </c>
      <c r="D18" s="82">
        <v>1346.5649977752034</v>
      </c>
      <c r="E18" s="82">
        <v>1366.2038966588648</v>
      </c>
      <c r="F18" s="27"/>
      <c r="G18" s="38">
        <v>-11.175633393898394</v>
      </c>
      <c r="H18" s="24">
        <v>1.4584441832446799</v>
      </c>
    </row>
    <row r="19" spans="1:8" x14ac:dyDescent="0.2">
      <c r="A19" s="39" t="s">
        <v>8</v>
      </c>
      <c r="B19" s="31" t="s">
        <v>3</v>
      </c>
      <c r="C19" s="80">
        <v>1715.0155545624007</v>
      </c>
      <c r="D19" s="80">
        <v>2036.0218121420889</v>
      </c>
      <c r="E19" s="80">
        <v>2414.0997475707886</v>
      </c>
      <c r="F19" s="22" t="s">
        <v>240</v>
      </c>
      <c r="G19" s="37">
        <v>40.762557001225844</v>
      </c>
      <c r="H19" s="33">
        <v>18.569444255163731</v>
      </c>
    </row>
    <row r="20" spans="1:8" x14ac:dyDescent="0.2">
      <c r="A20" s="34"/>
      <c r="B20" s="25" t="s">
        <v>241</v>
      </c>
      <c r="C20" s="82">
        <v>1281.1842179109667</v>
      </c>
      <c r="D20" s="82">
        <v>1496.9494315651552</v>
      </c>
      <c r="E20" s="82">
        <v>1784.3249974431346</v>
      </c>
      <c r="F20" s="27"/>
      <c r="G20" s="28">
        <v>39.271540540248253</v>
      </c>
      <c r="H20" s="29">
        <v>19.197413073433609</v>
      </c>
    </row>
    <row r="21" spans="1:8" x14ac:dyDescent="0.2">
      <c r="A21" s="39" t="s">
        <v>9</v>
      </c>
      <c r="B21" s="31" t="s">
        <v>3</v>
      </c>
      <c r="C21" s="80">
        <v>750.93103671113693</v>
      </c>
      <c r="D21" s="80">
        <v>790.99551165503703</v>
      </c>
      <c r="E21" s="80">
        <v>929.50169781266129</v>
      </c>
      <c r="F21" s="22" t="s">
        <v>240</v>
      </c>
      <c r="G21" s="37">
        <v>23.779901531785512</v>
      </c>
      <c r="H21" s="33">
        <v>17.510363095211659</v>
      </c>
    </row>
    <row r="22" spans="1:8" x14ac:dyDescent="0.2">
      <c r="A22" s="34"/>
      <c r="B22" s="25" t="s">
        <v>241</v>
      </c>
      <c r="C22" s="82">
        <v>567.3578591433693</v>
      </c>
      <c r="D22" s="82">
        <v>621.67456663159805</v>
      </c>
      <c r="E22" s="82">
        <v>720.86371230413965</v>
      </c>
      <c r="F22" s="27"/>
      <c r="G22" s="28">
        <v>27.056266285363989</v>
      </c>
      <c r="H22" s="29">
        <v>15.955155799597094</v>
      </c>
    </row>
    <row r="23" spans="1:8" x14ac:dyDescent="0.2">
      <c r="A23" s="39" t="s">
        <v>190</v>
      </c>
      <c r="B23" s="31" t="s">
        <v>3</v>
      </c>
      <c r="C23" s="80">
        <v>1135.0357251820456</v>
      </c>
      <c r="D23" s="80">
        <v>1443.9436886190492</v>
      </c>
      <c r="E23" s="80">
        <v>1909.4761731752467</v>
      </c>
      <c r="F23" s="22" t="s">
        <v>240</v>
      </c>
      <c r="G23" s="23">
        <v>68.230490971461762</v>
      </c>
      <c r="H23" s="24">
        <v>32.240348998749454</v>
      </c>
    </row>
    <row r="24" spans="1:8" x14ac:dyDescent="0.2">
      <c r="A24" s="34"/>
      <c r="B24" s="25" t="s">
        <v>241</v>
      </c>
      <c r="C24" s="82">
        <v>802.08942815572084</v>
      </c>
      <c r="D24" s="82">
        <v>1072.5941125280385</v>
      </c>
      <c r="E24" s="82">
        <v>1422.9412700764183</v>
      </c>
      <c r="F24" s="27"/>
      <c r="G24" s="38">
        <v>77.404316791489094</v>
      </c>
      <c r="H24" s="24">
        <v>32.663535391093376</v>
      </c>
    </row>
    <row r="25" spans="1:8" x14ac:dyDescent="0.2">
      <c r="A25" s="39" t="s">
        <v>191</v>
      </c>
      <c r="B25" s="31" t="s">
        <v>3</v>
      </c>
      <c r="C25" s="80">
        <v>454.12308686202277</v>
      </c>
      <c r="D25" s="80">
        <v>590.1806121196131</v>
      </c>
      <c r="E25" s="80">
        <v>595.51766961349369</v>
      </c>
      <c r="F25" s="22" t="s">
        <v>240</v>
      </c>
      <c r="G25" s="37">
        <v>31.135739811975498</v>
      </c>
      <c r="H25" s="33">
        <v>0.90430918676109684</v>
      </c>
    </row>
    <row r="26" spans="1:8" x14ac:dyDescent="0.2">
      <c r="A26" s="34"/>
      <c r="B26" s="25" t="s">
        <v>241</v>
      </c>
      <c r="C26" s="82">
        <v>339.56913184407608</v>
      </c>
      <c r="D26" s="82">
        <v>494.28345973779921</v>
      </c>
      <c r="E26" s="82">
        <v>480.0808958766014</v>
      </c>
      <c r="F26" s="27"/>
      <c r="G26" s="38">
        <v>41.379427885407949</v>
      </c>
      <c r="H26" s="24">
        <v>-2.8733641762424753</v>
      </c>
    </row>
    <row r="27" spans="1:8" x14ac:dyDescent="0.2">
      <c r="A27" s="39" t="s">
        <v>192</v>
      </c>
      <c r="B27" s="31" t="s">
        <v>3</v>
      </c>
      <c r="C27" s="80">
        <v>1333.7987954130613</v>
      </c>
      <c r="D27" s="80">
        <v>1456.5722955892095</v>
      </c>
      <c r="E27" s="80">
        <v>1682.2833016081509</v>
      </c>
      <c r="F27" s="22" t="s">
        <v>240</v>
      </c>
      <c r="G27" s="37">
        <v>26.127217043044951</v>
      </c>
      <c r="H27" s="33">
        <v>15.496038658873232</v>
      </c>
    </row>
    <row r="28" spans="1:8" x14ac:dyDescent="0.2">
      <c r="A28" s="34"/>
      <c r="B28" s="25" t="s">
        <v>241</v>
      </c>
      <c r="C28" s="82">
        <v>953.43436993335831</v>
      </c>
      <c r="D28" s="82">
        <v>992.97695116972727</v>
      </c>
      <c r="E28" s="82">
        <v>1182.7403741772173</v>
      </c>
      <c r="F28" s="27"/>
      <c r="G28" s="38">
        <v>24.050528434367919</v>
      </c>
      <c r="H28" s="24">
        <v>19.110556673440257</v>
      </c>
    </row>
    <row r="29" spans="1:8" x14ac:dyDescent="0.2">
      <c r="A29" s="30" t="s">
        <v>10</v>
      </c>
      <c r="B29" s="31" t="s">
        <v>3</v>
      </c>
      <c r="C29" s="80">
        <v>2298.9281077959999</v>
      </c>
      <c r="D29" s="80">
        <v>2302.5662864483888</v>
      </c>
      <c r="E29" s="80">
        <v>520.13513001007834</v>
      </c>
      <c r="F29" s="22" t="s">
        <v>240</v>
      </c>
      <c r="G29" s="37">
        <v>-77.374884919357669</v>
      </c>
      <c r="H29" s="33">
        <v>-77.410633818826341</v>
      </c>
    </row>
    <row r="30" spans="1:8" x14ac:dyDescent="0.2">
      <c r="A30" s="30"/>
      <c r="B30" s="25" t="s">
        <v>241</v>
      </c>
      <c r="C30" s="82">
        <v>1851.682857968809</v>
      </c>
      <c r="D30" s="82">
        <v>2135.9802845817817</v>
      </c>
      <c r="E30" s="82">
        <v>459.27839719113013</v>
      </c>
      <c r="F30" s="27"/>
      <c r="G30" s="28">
        <v>-75.196703084731666</v>
      </c>
      <c r="H30" s="29">
        <v>-78.49800391387717</v>
      </c>
    </row>
    <row r="31" spans="1:8" x14ac:dyDescent="0.2">
      <c r="A31" s="39" t="s">
        <v>11</v>
      </c>
      <c r="B31" s="31" t="s">
        <v>3</v>
      </c>
      <c r="C31" s="80">
        <v>506.53855755591928</v>
      </c>
      <c r="D31" s="80">
        <v>607.81922434697947</v>
      </c>
      <c r="E31" s="80">
        <v>583.75452117319298</v>
      </c>
      <c r="F31" s="22" t="s">
        <v>240</v>
      </c>
      <c r="G31" s="23">
        <v>15.243847179145774</v>
      </c>
      <c r="H31" s="24">
        <v>-3.9591875692383383</v>
      </c>
    </row>
    <row r="32" spans="1:8" x14ac:dyDescent="0.2">
      <c r="A32" s="34"/>
      <c r="B32" s="25" t="s">
        <v>241</v>
      </c>
      <c r="C32" s="82">
        <v>434.7220534550143</v>
      </c>
      <c r="D32" s="82">
        <v>517.48476821085421</v>
      </c>
      <c r="E32" s="82">
        <v>498.32076263552295</v>
      </c>
      <c r="F32" s="27"/>
      <c r="G32" s="38">
        <v>14.629740698694491</v>
      </c>
      <c r="H32" s="24">
        <v>-3.7032984838546383</v>
      </c>
    </row>
    <row r="33" spans="1:8" x14ac:dyDescent="0.2">
      <c r="A33" s="30" t="s">
        <v>12</v>
      </c>
      <c r="B33" s="31" t="s">
        <v>3</v>
      </c>
      <c r="C33" s="80">
        <v>1202.7935045741633</v>
      </c>
      <c r="D33" s="80">
        <v>1394.3954936555808</v>
      </c>
      <c r="E33" s="80">
        <v>1634.2437398016286</v>
      </c>
      <c r="F33" s="22" t="s">
        <v>240</v>
      </c>
      <c r="G33" s="37">
        <v>35.870682173347433</v>
      </c>
      <c r="H33" s="33">
        <v>17.200876454158347</v>
      </c>
    </row>
    <row r="34" spans="1:8" x14ac:dyDescent="0.2">
      <c r="A34" s="30"/>
      <c r="B34" s="25" t="s">
        <v>241</v>
      </c>
      <c r="C34" s="82">
        <v>893.73782567895341</v>
      </c>
      <c r="D34" s="82">
        <v>973.3508217150146</v>
      </c>
      <c r="E34" s="82">
        <v>1164.2826107355791</v>
      </c>
      <c r="F34" s="27"/>
      <c r="G34" s="28">
        <v>30.271157523303714</v>
      </c>
      <c r="H34" s="29">
        <v>19.615927244418259</v>
      </c>
    </row>
    <row r="35" spans="1:8" x14ac:dyDescent="0.2">
      <c r="A35" s="39" t="s">
        <v>13</v>
      </c>
      <c r="B35" s="31" t="s">
        <v>3</v>
      </c>
      <c r="C35" s="80">
        <v>271.74329495989718</v>
      </c>
      <c r="D35" s="80">
        <v>143.74115385315406</v>
      </c>
      <c r="E35" s="80">
        <v>197.61426794922693</v>
      </c>
      <c r="F35" s="22" t="s">
        <v>240</v>
      </c>
      <c r="G35" s="23">
        <v>-27.279063875931115</v>
      </c>
      <c r="H35" s="24">
        <v>37.479255350287247</v>
      </c>
    </row>
    <row r="36" spans="1:8" x14ac:dyDescent="0.2">
      <c r="A36" s="34"/>
      <c r="B36" s="25" t="s">
        <v>241</v>
      </c>
      <c r="C36" s="82">
        <v>247.17795775804598</v>
      </c>
      <c r="D36" s="82">
        <v>124.35932278810138</v>
      </c>
      <c r="E36" s="82">
        <v>173.79863372908108</v>
      </c>
      <c r="F36" s="27"/>
      <c r="G36" s="28">
        <v>-29.686839673945926</v>
      </c>
      <c r="H36" s="29">
        <v>39.755210813764592</v>
      </c>
    </row>
    <row r="37" spans="1:8" x14ac:dyDescent="0.2">
      <c r="A37" s="30" t="s">
        <v>14</v>
      </c>
      <c r="B37" s="31" t="s">
        <v>3</v>
      </c>
      <c r="C37" s="85">
        <v>1036.4614203232363</v>
      </c>
      <c r="D37" s="85">
        <v>1069.6740028511836</v>
      </c>
      <c r="E37" s="83">
        <v>1218.3894482258152</v>
      </c>
      <c r="F37" s="22" t="s">
        <v>240</v>
      </c>
      <c r="G37" s="23">
        <v>17.552802674106459</v>
      </c>
      <c r="H37" s="24">
        <v>13.902875546964324</v>
      </c>
    </row>
    <row r="38" spans="1:8" ht="13.5" thickBot="1" x14ac:dyDescent="0.25">
      <c r="A38" s="41"/>
      <c r="B38" s="42" t="s">
        <v>241</v>
      </c>
      <c r="C38" s="86">
        <v>765.39587172795655</v>
      </c>
      <c r="D38" s="86">
        <v>808.90768192759413</v>
      </c>
      <c r="E38" s="86">
        <v>914.0462600757055</v>
      </c>
      <c r="F38" s="44"/>
      <c r="G38" s="45">
        <v>19.421373153235862</v>
      </c>
      <c r="H38" s="46">
        <v>12.997599169483777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1">
        <v>10</v>
      </c>
    </row>
    <row r="62" spans="1:8" ht="12.75" customHeight="1" x14ac:dyDescent="0.2">
      <c r="A62" s="54" t="s">
        <v>243</v>
      </c>
      <c r="H62" s="202"/>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26</v>
      </c>
      <c r="B7" s="19" t="s">
        <v>3</v>
      </c>
      <c r="C7" s="20">
        <v>881354.73572496255</v>
      </c>
      <c r="D7" s="20">
        <v>905544.03497757844</v>
      </c>
      <c r="E7" s="21">
        <v>926846.7844142156</v>
      </c>
      <c r="F7" s="22" t="s">
        <v>240</v>
      </c>
      <c r="G7" s="23">
        <v>5.1616048391495184</v>
      </c>
      <c r="H7" s="24">
        <v>2.3524807865544091</v>
      </c>
    </row>
    <row r="8" spans="1:8" x14ac:dyDescent="0.2">
      <c r="A8" s="207"/>
      <c r="B8" s="25" t="s">
        <v>241</v>
      </c>
      <c r="C8" s="26">
        <v>675826.55964125553</v>
      </c>
      <c r="D8" s="26">
        <v>695005.78228699556</v>
      </c>
      <c r="E8" s="26">
        <v>711140.3282511211</v>
      </c>
      <c r="F8" s="27"/>
      <c r="G8" s="28">
        <v>5.2252709080582633</v>
      </c>
      <c r="H8" s="29">
        <v>2.3214980904235034</v>
      </c>
    </row>
    <row r="9" spans="1:8" x14ac:dyDescent="0.2">
      <c r="A9" s="30" t="s">
        <v>28</v>
      </c>
      <c r="B9" s="31" t="s">
        <v>3</v>
      </c>
      <c r="C9" s="20">
        <v>806793.38857997011</v>
      </c>
      <c r="D9" s="20">
        <v>834648.18798206281</v>
      </c>
      <c r="E9" s="21">
        <v>851497.24446397997</v>
      </c>
      <c r="F9" s="22" t="s">
        <v>240</v>
      </c>
      <c r="G9" s="32">
        <v>5.5409298733462293</v>
      </c>
      <c r="H9" s="33">
        <v>2.0187016187806393</v>
      </c>
    </row>
    <row r="10" spans="1:8" x14ac:dyDescent="0.2">
      <c r="A10" s="34"/>
      <c r="B10" s="25" t="s">
        <v>241</v>
      </c>
      <c r="C10" s="26">
        <v>616185.68771300453</v>
      </c>
      <c r="D10" s="26">
        <v>639225.61582959641</v>
      </c>
      <c r="E10" s="26">
        <v>651528.04260089691</v>
      </c>
      <c r="F10" s="27"/>
      <c r="G10" s="35">
        <v>5.7356663084900248</v>
      </c>
      <c r="H10" s="29">
        <v>1.9245828806992051</v>
      </c>
    </row>
    <row r="11" spans="1:8" x14ac:dyDescent="0.2">
      <c r="A11" s="30" t="s">
        <v>29</v>
      </c>
      <c r="B11" s="31" t="s">
        <v>3</v>
      </c>
      <c r="C11" s="20">
        <v>33630.173572496264</v>
      </c>
      <c r="D11" s="20">
        <v>29354.423497757845</v>
      </c>
      <c r="E11" s="21">
        <v>32084.307763627701</v>
      </c>
      <c r="F11" s="22" t="s">
        <v>240</v>
      </c>
      <c r="G11" s="37">
        <v>-4.5966631885980433</v>
      </c>
      <c r="H11" s="33">
        <v>9.2997372817707316</v>
      </c>
    </row>
    <row r="12" spans="1:8" x14ac:dyDescent="0.2">
      <c r="A12" s="34"/>
      <c r="B12" s="25" t="s">
        <v>241</v>
      </c>
      <c r="C12" s="26">
        <v>26287.935964125558</v>
      </c>
      <c r="D12" s="26">
        <v>21878.08322869955</v>
      </c>
      <c r="E12" s="26">
        <v>24289.392825112107</v>
      </c>
      <c r="F12" s="27"/>
      <c r="G12" s="28">
        <v>-7.6025106791982751</v>
      </c>
      <c r="H12" s="29">
        <v>11.021576118923491</v>
      </c>
    </row>
    <row r="13" spans="1:8" x14ac:dyDescent="0.2">
      <c r="A13" s="30" t="s">
        <v>27</v>
      </c>
      <c r="B13" s="31" t="s">
        <v>3</v>
      </c>
      <c r="C13" s="20">
        <v>10399.352071748879</v>
      </c>
      <c r="D13" s="20">
        <v>11188.027049327355</v>
      </c>
      <c r="E13" s="21">
        <v>11619.481047570949</v>
      </c>
      <c r="F13" s="22" t="s">
        <v>240</v>
      </c>
      <c r="G13" s="23">
        <v>11.732740341936292</v>
      </c>
      <c r="H13" s="24">
        <v>3.8563903746508572</v>
      </c>
    </row>
    <row r="14" spans="1:8" x14ac:dyDescent="0.2">
      <c r="A14" s="34"/>
      <c r="B14" s="25" t="s">
        <v>241</v>
      </c>
      <c r="C14" s="26">
        <v>8875.6807892376673</v>
      </c>
      <c r="D14" s="26">
        <v>9024.024968609865</v>
      </c>
      <c r="E14" s="26">
        <v>9546.9178475336321</v>
      </c>
      <c r="F14" s="27"/>
      <c r="G14" s="38">
        <v>7.5626543386945855</v>
      </c>
      <c r="H14" s="24">
        <v>5.794452926966116</v>
      </c>
    </row>
    <row r="15" spans="1:8" x14ac:dyDescent="0.2">
      <c r="A15" s="30" t="s">
        <v>30</v>
      </c>
      <c r="B15" s="31" t="s">
        <v>3</v>
      </c>
      <c r="C15" s="20">
        <v>14500.469428998505</v>
      </c>
      <c r="D15" s="20">
        <v>14655.36939910314</v>
      </c>
      <c r="E15" s="21">
        <v>14334.937882786919</v>
      </c>
      <c r="F15" s="22" t="s">
        <v>240</v>
      </c>
      <c r="G15" s="37">
        <v>-1.1415599130918679</v>
      </c>
      <c r="H15" s="33">
        <v>-2.1864444872732491</v>
      </c>
    </row>
    <row r="16" spans="1:8" x14ac:dyDescent="0.2">
      <c r="A16" s="34"/>
      <c r="B16" s="25" t="s">
        <v>241</v>
      </c>
      <c r="C16" s="26">
        <v>11330.574385650223</v>
      </c>
      <c r="D16" s="26">
        <v>11850.03329147982</v>
      </c>
      <c r="E16" s="26">
        <v>11458.057130044843</v>
      </c>
      <c r="F16" s="27"/>
      <c r="G16" s="28">
        <v>1.1251216404004367</v>
      </c>
      <c r="H16" s="29">
        <v>-3.3078064153356195</v>
      </c>
    </row>
    <row r="17" spans="1:9" x14ac:dyDescent="0.2">
      <c r="A17" s="30" t="s">
        <v>31</v>
      </c>
      <c r="B17" s="31" t="s">
        <v>3</v>
      </c>
      <c r="C17" s="20">
        <v>16031.352071748879</v>
      </c>
      <c r="D17" s="20">
        <v>15698.027049327355</v>
      </c>
      <c r="E17" s="21">
        <v>17321.377711860176</v>
      </c>
      <c r="F17" s="22" t="s">
        <v>240</v>
      </c>
      <c r="G17" s="37">
        <v>8.0468923290920316</v>
      </c>
      <c r="H17" s="33">
        <v>10.341112659774538</v>
      </c>
    </row>
    <row r="18" spans="1:9" ht="13.5" thickBot="1" x14ac:dyDescent="0.25">
      <c r="A18" s="56"/>
      <c r="B18" s="42" t="s">
        <v>241</v>
      </c>
      <c r="C18" s="43">
        <v>13146.680789237667</v>
      </c>
      <c r="D18" s="43">
        <v>13028.024968609865</v>
      </c>
      <c r="E18" s="43">
        <v>14317.917847533632</v>
      </c>
      <c r="F18" s="44"/>
      <c r="G18" s="57">
        <v>8.9089944227959137</v>
      </c>
      <c r="H18" s="46">
        <v>9.9009088640194847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10" t="s">
        <v>16</v>
      </c>
      <c r="D33" s="204"/>
      <c r="E33" s="204"/>
      <c r="F33" s="211"/>
      <c r="G33" s="204" t="s">
        <v>1</v>
      </c>
      <c r="H33" s="205"/>
    </row>
    <row r="34" spans="1:9" x14ac:dyDescent="0.2">
      <c r="A34" s="12"/>
      <c r="B34" s="13"/>
      <c r="C34" s="14" t="s">
        <v>235</v>
      </c>
      <c r="D34" s="15" t="s">
        <v>236</v>
      </c>
      <c r="E34" s="15" t="s">
        <v>237</v>
      </c>
      <c r="F34" s="16"/>
      <c r="G34" s="17" t="s">
        <v>238</v>
      </c>
      <c r="H34" s="18" t="s">
        <v>239</v>
      </c>
    </row>
    <row r="35" spans="1:9" ht="12.75" customHeight="1" x14ac:dyDescent="0.2">
      <c r="A35" s="206" t="s">
        <v>26</v>
      </c>
      <c r="B35" s="19" t="s">
        <v>3</v>
      </c>
      <c r="C35" s="80">
        <v>15832.677050750515</v>
      </c>
      <c r="D35" s="80">
        <v>15502.439866948976</v>
      </c>
      <c r="E35" s="83">
        <v>16121.606197377485</v>
      </c>
      <c r="F35" s="22" t="s">
        <v>240</v>
      </c>
      <c r="G35" s="23">
        <v>1.8248913036047441</v>
      </c>
      <c r="H35" s="24">
        <v>3.9939927891516191</v>
      </c>
    </row>
    <row r="36" spans="1:9" ht="12.75" customHeight="1" x14ac:dyDescent="0.2">
      <c r="A36" s="207"/>
      <c r="B36" s="25" t="s">
        <v>241</v>
      </c>
      <c r="C36" s="82">
        <v>11785.877422397121</v>
      </c>
      <c r="D36" s="82">
        <v>11840.02652108962</v>
      </c>
      <c r="E36" s="82">
        <v>12207.143268508205</v>
      </c>
      <c r="F36" s="27"/>
      <c r="G36" s="28">
        <v>3.5743274006103007</v>
      </c>
      <c r="H36" s="29">
        <v>3.100641259246089</v>
      </c>
    </row>
    <row r="37" spans="1:9" x14ac:dyDescent="0.2">
      <c r="A37" s="30" t="s">
        <v>28</v>
      </c>
      <c r="B37" s="31" t="s">
        <v>3</v>
      </c>
      <c r="C37" s="80">
        <v>13112.650068268358</v>
      </c>
      <c r="D37" s="80">
        <v>12905.803856264896</v>
      </c>
      <c r="E37" s="83">
        <v>13261.036359480207</v>
      </c>
      <c r="F37" s="22" t="s">
        <v>240</v>
      </c>
      <c r="G37" s="32">
        <v>1.1316270200097307</v>
      </c>
      <c r="H37" s="33">
        <v>2.7525019531648098</v>
      </c>
    </row>
    <row r="38" spans="1:9" x14ac:dyDescent="0.2">
      <c r="A38" s="34"/>
      <c r="B38" s="25" t="s">
        <v>241</v>
      </c>
      <c r="C38" s="82">
        <v>9735.9034269870863</v>
      </c>
      <c r="D38" s="82">
        <v>9879.0692940696536</v>
      </c>
      <c r="E38" s="82">
        <v>10047.276186615913</v>
      </c>
      <c r="F38" s="27"/>
      <c r="G38" s="35">
        <v>3.1981907171113448</v>
      </c>
      <c r="H38" s="29">
        <v>1.7026593046293641</v>
      </c>
    </row>
    <row r="39" spans="1:9" x14ac:dyDescent="0.2">
      <c r="A39" s="30" t="s">
        <v>29</v>
      </c>
      <c r="B39" s="31" t="s">
        <v>3</v>
      </c>
      <c r="C39" s="80">
        <v>1087.6094540315009</v>
      </c>
      <c r="D39" s="80">
        <v>929.77291269380692</v>
      </c>
      <c r="E39" s="83">
        <v>966.22396288894845</v>
      </c>
      <c r="F39" s="22" t="s">
        <v>240</v>
      </c>
      <c r="G39" s="37">
        <v>-11.16076094158673</v>
      </c>
      <c r="H39" s="33">
        <v>3.9204250519121615</v>
      </c>
    </row>
    <row r="40" spans="1:9" x14ac:dyDescent="0.2">
      <c r="A40" s="34"/>
      <c r="B40" s="25" t="s">
        <v>241</v>
      </c>
      <c r="C40" s="82">
        <v>832.41289699865195</v>
      </c>
      <c r="D40" s="82">
        <v>698.38890587286278</v>
      </c>
      <c r="E40" s="82">
        <v>730.29181867195518</v>
      </c>
      <c r="F40" s="27"/>
      <c r="G40" s="28">
        <v>-12.268079782870316</v>
      </c>
      <c r="H40" s="29">
        <v>4.5680726785342358</v>
      </c>
    </row>
    <row r="41" spans="1:9" x14ac:dyDescent="0.2">
      <c r="A41" s="30" t="s">
        <v>27</v>
      </c>
      <c r="B41" s="31" t="s">
        <v>3</v>
      </c>
      <c r="C41" s="80">
        <v>313.01303950799797</v>
      </c>
      <c r="D41" s="80">
        <v>326.4079194629839</v>
      </c>
      <c r="E41" s="83">
        <v>434.10300946245798</v>
      </c>
      <c r="F41" s="22" t="s">
        <v>240</v>
      </c>
      <c r="G41" s="23">
        <v>38.685279739397544</v>
      </c>
      <c r="H41" s="24">
        <v>32.994018704159288</v>
      </c>
    </row>
    <row r="42" spans="1:9" x14ac:dyDescent="0.2">
      <c r="A42" s="34"/>
      <c r="B42" s="25" t="s">
        <v>241</v>
      </c>
      <c r="C42" s="82">
        <v>259.50648254513453</v>
      </c>
      <c r="D42" s="82">
        <v>262.37186719148423</v>
      </c>
      <c r="E42" s="82">
        <v>352.51678155335685</v>
      </c>
      <c r="F42" s="27"/>
      <c r="G42" s="38">
        <v>35.841223732068272</v>
      </c>
      <c r="H42" s="24">
        <v>34.357690604108512</v>
      </c>
    </row>
    <row r="43" spans="1:9" x14ac:dyDescent="0.2">
      <c r="A43" s="30" t="s">
        <v>30</v>
      </c>
      <c r="B43" s="31" t="s">
        <v>3</v>
      </c>
      <c r="C43" s="80">
        <v>784.1713110857296</v>
      </c>
      <c r="D43" s="80">
        <v>791.47903614085703</v>
      </c>
      <c r="E43" s="83">
        <v>875.08783307832618</v>
      </c>
      <c r="F43" s="22" t="s">
        <v>240</v>
      </c>
      <c r="G43" s="37">
        <v>11.593961766685595</v>
      </c>
      <c r="H43" s="33">
        <v>10.563614842552767</v>
      </c>
    </row>
    <row r="44" spans="1:9" x14ac:dyDescent="0.2">
      <c r="A44" s="34"/>
      <c r="B44" s="25" t="s">
        <v>241</v>
      </c>
      <c r="C44" s="82">
        <v>557.66261386475435</v>
      </c>
      <c r="D44" s="82">
        <v>583.21671810487555</v>
      </c>
      <c r="E44" s="82">
        <v>637.14418095396013</v>
      </c>
      <c r="F44" s="27"/>
      <c r="G44" s="28">
        <v>14.252626070515433</v>
      </c>
      <c r="H44" s="29">
        <v>9.2465564129091433</v>
      </c>
    </row>
    <row r="45" spans="1:9" x14ac:dyDescent="0.2">
      <c r="A45" s="30" t="s">
        <v>31</v>
      </c>
      <c r="B45" s="31" t="s">
        <v>3</v>
      </c>
      <c r="C45" s="80">
        <v>535.23317785692666</v>
      </c>
      <c r="D45" s="80">
        <v>548.97614238643348</v>
      </c>
      <c r="E45" s="83">
        <v>582.13565502788515</v>
      </c>
      <c r="F45" s="22" t="s">
        <v>240</v>
      </c>
      <c r="G45" s="37">
        <v>8.762998840758712</v>
      </c>
      <c r="H45" s="33">
        <v>6.0402465756171466</v>
      </c>
    </row>
    <row r="46" spans="1:9" ht="13.5" thickBot="1" x14ac:dyDescent="0.25">
      <c r="A46" s="56"/>
      <c r="B46" s="42" t="s">
        <v>241</v>
      </c>
      <c r="C46" s="86">
        <v>400.39200200149207</v>
      </c>
      <c r="D46" s="86">
        <v>416.97973585074226</v>
      </c>
      <c r="E46" s="86">
        <v>439.91430071301988</v>
      </c>
      <c r="F46" s="44"/>
      <c r="G46" s="57">
        <v>9.8709011453681654</v>
      </c>
      <c r="H46" s="46">
        <v>5.500162931295776</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9">
        <v>11</v>
      </c>
    </row>
    <row r="62" spans="1:9"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ht="12.75" customHeight="1" x14ac:dyDescent="0.2">
      <c r="A7" s="206" t="s">
        <v>26</v>
      </c>
      <c r="B7" s="19" t="s">
        <v>3</v>
      </c>
      <c r="C7" s="20">
        <v>881354.73572496255</v>
      </c>
      <c r="D7" s="20">
        <v>905544.03497757844</v>
      </c>
      <c r="E7" s="21">
        <v>926846.7844142156</v>
      </c>
      <c r="F7" s="22" t="s">
        <v>240</v>
      </c>
      <c r="G7" s="23">
        <v>5.1616048391495184</v>
      </c>
      <c r="H7" s="24">
        <v>2.3524807865544091</v>
      </c>
    </row>
    <row r="8" spans="1:8" ht="12.75" customHeight="1" x14ac:dyDescent="0.2">
      <c r="A8" s="207"/>
      <c r="B8" s="25" t="s">
        <v>241</v>
      </c>
      <c r="C8" s="26">
        <v>675826.55964125553</v>
      </c>
      <c r="D8" s="26">
        <v>695005.78228699556</v>
      </c>
      <c r="E8" s="26">
        <v>711140.3282511211</v>
      </c>
      <c r="F8" s="27"/>
      <c r="G8" s="28">
        <v>5.2252709080582633</v>
      </c>
      <c r="H8" s="29">
        <v>2.3214980904235034</v>
      </c>
    </row>
    <row r="9" spans="1:8" x14ac:dyDescent="0.2">
      <c r="A9" s="30" t="s">
        <v>34</v>
      </c>
      <c r="B9" s="31" t="s">
        <v>3</v>
      </c>
      <c r="C9" s="20">
        <v>10149.056399999999</v>
      </c>
      <c r="D9" s="20">
        <v>9026.7504000000008</v>
      </c>
      <c r="E9" s="21">
        <v>8714.6042784106885</v>
      </c>
      <c r="F9" s="22" t="s">
        <v>240</v>
      </c>
      <c r="G9" s="32">
        <v>-14.133847178042203</v>
      </c>
      <c r="H9" s="33">
        <v>-3.4580121057663575</v>
      </c>
    </row>
    <row r="10" spans="1:8" x14ac:dyDescent="0.2">
      <c r="A10" s="34"/>
      <c r="B10" s="25" t="s">
        <v>241</v>
      </c>
      <c r="C10" s="26">
        <v>8120.0602000000008</v>
      </c>
      <c r="D10" s="26">
        <v>6709.7821000000004</v>
      </c>
      <c r="E10" s="26">
        <v>6634.6459999999997</v>
      </c>
      <c r="F10" s="27"/>
      <c r="G10" s="35">
        <v>-18.293142703547943</v>
      </c>
      <c r="H10" s="29">
        <v>-1.1197994045141968</v>
      </c>
    </row>
    <row r="11" spans="1:8" x14ac:dyDescent="0.2">
      <c r="A11" s="30" t="s">
        <v>35</v>
      </c>
      <c r="B11" s="31" t="s">
        <v>3</v>
      </c>
      <c r="C11" s="20">
        <v>3469.444512</v>
      </c>
      <c r="D11" s="20">
        <v>3099.940032</v>
      </c>
      <c r="E11" s="21">
        <v>3056.3868281754994</v>
      </c>
      <c r="F11" s="22" t="s">
        <v>240</v>
      </c>
      <c r="G11" s="37">
        <v>-11.905585530935298</v>
      </c>
      <c r="H11" s="33">
        <v>-1.4049692373049254</v>
      </c>
    </row>
    <row r="12" spans="1:8" x14ac:dyDescent="0.2">
      <c r="A12" s="34"/>
      <c r="B12" s="25" t="s">
        <v>241</v>
      </c>
      <c r="C12" s="26">
        <v>2486.8848159999998</v>
      </c>
      <c r="D12" s="26">
        <v>2291.7025679999997</v>
      </c>
      <c r="E12" s="26">
        <v>2236.13168</v>
      </c>
      <c r="F12" s="27"/>
      <c r="G12" s="28">
        <v>-10.083021714022152</v>
      </c>
      <c r="H12" s="29">
        <v>-2.4248734882073819</v>
      </c>
    </row>
    <row r="13" spans="1:8" x14ac:dyDescent="0.2">
      <c r="A13" s="30" t="s">
        <v>36</v>
      </c>
      <c r="B13" s="31" t="s">
        <v>3</v>
      </c>
      <c r="C13" s="20">
        <v>163221.03962666666</v>
      </c>
      <c r="D13" s="20">
        <v>144885.03456</v>
      </c>
      <c r="E13" s="21">
        <v>143993.10694556666</v>
      </c>
      <c r="F13" s="22" t="s">
        <v>240</v>
      </c>
      <c r="G13" s="23">
        <v>-11.780302787606175</v>
      </c>
      <c r="H13" s="24">
        <v>-0.61561058886587716</v>
      </c>
    </row>
    <row r="14" spans="1:8" x14ac:dyDescent="0.2">
      <c r="A14" s="34"/>
      <c r="B14" s="25" t="s">
        <v>241</v>
      </c>
      <c r="C14" s="26">
        <v>121547.25128</v>
      </c>
      <c r="D14" s="26">
        <v>110904.59844</v>
      </c>
      <c r="E14" s="26">
        <v>109205.7144</v>
      </c>
      <c r="F14" s="27"/>
      <c r="G14" s="38">
        <v>-10.15369475659277</v>
      </c>
      <c r="H14" s="24">
        <v>-1.5318427404244233</v>
      </c>
    </row>
    <row r="15" spans="1:8" x14ac:dyDescent="0.2">
      <c r="A15" s="30" t="s">
        <v>18</v>
      </c>
      <c r="B15" s="31" t="s">
        <v>3</v>
      </c>
      <c r="C15" s="20">
        <v>3303.7460799999999</v>
      </c>
      <c r="D15" s="20">
        <v>4883.2428799999998</v>
      </c>
      <c r="E15" s="21">
        <v>3206.6694474023284</v>
      </c>
      <c r="F15" s="22" t="s">
        <v>240</v>
      </c>
      <c r="G15" s="37">
        <v>-2.9383805609440685</v>
      </c>
      <c r="H15" s="33">
        <v>-34.333197708930498</v>
      </c>
    </row>
    <row r="16" spans="1:8" x14ac:dyDescent="0.2">
      <c r="A16" s="34"/>
      <c r="B16" s="25" t="s">
        <v>241</v>
      </c>
      <c r="C16" s="26">
        <v>2572.2034399999998</v>
      </c>
      <c r="D16" s="26">
        <v>4075.21612</v>
      </c>
      <c r="E16" s="26">
        <v>2613.4512</v>
      </c>
      <c r="F16" s="27"/>
      <c r="G16" s="28">
        <v>1.6035963314006096</v>
      </c>
      <c r="H16" s="29">
        <v>-35.869629412439608</v>
      </c>
    </row>
    <row r="17" spans="1:9" x14ac:dyDescent="0.2">
      <c r="A17" s="30" t="s">
        <v>37</v>
      </c>
      <c r="B17" s="31" t="s">
        <v>3</v>
      </c>
      <c r="C17" s="20">
        <v>2790.166768</v>
      </c>
      <c r="D17" s="20">
        <v>2548.4100480000002</v>
      </c>
      <c r="E17" s="21">
        <v>1740.9989082336403</v>
      </c>
      <c r="F17" s="22" t="s">
        <v>240</v>
      </c>
      <c r="G17" s="37">
        <v>-37.602335165019774</v>
      </c>
      <c r="H17" s="33">
        <v>-31.682936598057239</v>
      </c>
    </row>
    <row r="18" spans="1:9" x14ac:dyDescent="0.2">
      <c r="A18" s="34"/>
      <c r="B18" s="25" t="s">
        <v>241</v>
      </c>
      <c r="C18" s="26">
        <v>2137.3272239999997</v>
      </c>
      <c r="D18" s="26">
        <v>1961.053852</v>
      </c>
      <c r="E18" s="26">
        <v>1337.6975200000002</v>
      </c>
      <c r="F18" s="27"/>
      <c r="G18" s="28">
        <v>-37.412600888669523</v>
      </c>
      <c r="H18" s="29">
        <v>-31.786803374331811</v>
      </c>
    </row>
    <row r="19" spans="1:9" x14ac:dyDescent="0.2">
      <c r="A19" s="30" t="s">
        <v>38</v>
      </c>
      <c r="B19" s="31" t="s">
        <v>3</v>
      </c>
      <c r="C19" s="20">
        <v>5614.7408533333328</v>
      </c>
      <c r="D19" s="20">
        <v>5079.5667199999998</v>
      </c>
      <c r="E19" s="21">
        <v>4399.8814655697661</v>
      </c>
      <c r="F19" s="22" t="s">
        <v>240</v>
      </c>
      <c r="G19" s="23">
        <v>-21.636962764583075</v>
      </c>
      <c r="H19" s="24">
        <v>-13.380772256698179</v>
      </c>
    </row>
    <row r="20" spans="1:9" x14ac:dyDescent="0.2">
      <c r="A20" s="30"/>
      <c r="B20" s="25" t="s">
        <v>241</v>
      </c>
      <c r="C20" s="26">
        <v>4296.1413599999996</v>
      </c>
      <c r="D20" s="26">
        <v>3855.5042800000001</v>
      </c>
      <c r="E20" s="26">
        <v>3348.5527999999999</v>
      </c>
      <c r="F20" s="27"/>
      <c r="G20" s="38">
        <v>-22.056736047437681</v>
      </c>
      <c r="H20" s="24">
        <v>-13.148772331281151</v>
      </c>
    </row>
    <row r="21" spans="1:9" x14ac:dyDescent="0.2">
      <c r="A21" s="39" t="s">
        <v>39</v>
      </c>
      <c r="B21" s="31" t="s">
        <v>3</v>
      </c>
      <c r="C21" s="20">
        <v>246464.55791999999</v>
      </c>
      <c r="D21" s="20">
        <v>260980.90111999999</v>
      </c>
      <c r="E21" s="21">
        <v>248528.52982411411</v>
      </c>
      <c r="F21" s="22" t="s">
        <v>240</v>
      </c>
      <c r="G21" s="37">
        <v>0.83743152424540312</v>
      </c>
      <c r="H21" s="33">
        <v>-4.7713726339538596</v>
      </c>
    </row>
    <row r="22" spans="1:9" x14ac:dyDescent="0.2">
      <c r="A22" s="34"/>
      <c r="B22" s="25" t="s">
        <v>241</v>
      </c>
      <c r="C22" s="26">
        <v>194718.96855999998</v>
      </c>
      <c r="D22" s="26">
        <v>206899.58987999998</v>
      </c>
      <c r="E22" s="26">
        <v>196801.10879999999</v>
      </c>
      <c r="F22" s="27"/>
      <c r="G22" s="28">
        <v>1.0693052943932457</v>
      </c>
      <c r="H22" s="29">
        <v>-4.8808608493893217</v>
      </c>
    </row>
    <row r="23" spans="1:9" x14ac:dyDescent="0.2">
      <c r="A23" s="39" t="s">
        <v>40</v>
      </c>
      <c r="B23" s="31" t="s">
        <v>3</v>
      </c>
      <c r="C23" s="20">
        <v>192266.22560000001</v>
      </c>
      <c r="D23" s="20">
        <v>208428.00159999999</v>
      </c>
      <c r="E23" s="21">
        <v>241216.45770843021</v>
      </c>
      <c r="F23" s="22" t="s">
        <v>240</v>
      </c>
      <c r="G23" s="23">
        <v>25.459610472755955</v>
      </c>
      <c r="H23" s="24">
        <v>15.731310503737149</v>
      </c>
    </row>
    <row r="24" spans="1:9" x14ac:dyDescent="0.2">
      <c r="A24" s="34"/>
      <c r="B24" s="25" t="s">
        <v>241</v>
      </c>
      <c r="C24" s="26">
        <v>150301.2408</v>
      </c>
      <c r="D24" s="26">
        <v>157609.12839999999</v>
      </c>
      <c r="E24" s="26">
        <v>184412.584</v>
      </c>
      <c r="F24" s="27"/>
      <c r="G24" s="38">
        <v>22.69531709681003</v>
      </c>
      <c r="H24" s="24">
        <v>17.006283755325953</v>
      </c>
    </row>
    <row r="25" spans="1:9" x14ac:dyDescent="0.2">
      <c r="A25" s="30" t="s">
        <v>41</v>
      </c>
      <c r="B25" s="31" t="s">
        <v>3</v>
      </c>
      <c r="C25" s="20">
        <v>333427.1974</v>
      </c>
      <c r="D25" s="20">
        <v>312814.12640000001</v>
      </c>
      <c r="E25" s="21">
        <v>315538.35891323059</v>
      </c>
      <c r="F25" s="22" t="s">
        <v>240</v>
      </c>
      <c r="G25" s="37">
        <v>-5.3651407642397118</v>
      </c>
      <c r="H25" s="33">
        <v>0.87087899276872349</v>
      </c>
    </row>
    <row r="26" spans="1:9" x14ac:dyDescent="0.2">
      <c r="A26" s="34"/>
      <c r="B26" s="25" t="s">
        <v>241</v>
      </c>
      <c r="C26" s="26">
        <v>244349.2107</v>
      </c>
      <c r="D26" s="26">
        <v>238611.73735000001</v>
      </c>
      <c r="E26" s="26">
        <v>237455.011</v>
      </c>
      <c r="F26" s="27"/>
      <c r="G26" s="28">
        <v>-2.8214536401610815</v>
      </c>
      <c r="H26" s="29">
        <v>-0.48477344947340839</v>
      </c>
    </row>
    <row r="27" spans="1:9" x14ac:dyDescent="0.2">
      <c r="A27" s="30" t="s">
        <v>24</v>
      </c>
      <c r="B27" s="31" t="s">
        <v>3</v>
      </c>
      <c r="C27" s="20">
        <v>176584.81706666667</v>
      </c>
      <c r="D27" s="20">
        <v>180300.33439999999</v>
      </c>
      <c r="E27" s="21">
        <v>181564.07175563785</v>
      </c>
      <c r="F27" s="22" t="s">
        <v>240</v>
      </c>
      <c r="G27" s="23">
        <v>2.819752440602727</v>
      </c>
      <c r="H27" s="24">
        <v>0.70090682851105157</v>
      </c>
    </row>
    <row r="28" spans="1:9" ht="13.5" thickBot="1" x14ac:dyDescent="0.25">
      <c r="A28" s="56"/>
      <c r="B28" s="42" t="s">
        <v>241</v>
      </c>
      <c r="C28" s="43">
        <v>129627.8272</v>
      </c>
      <c r="D28" s="43">
        <v>134393.08559999999</v>
      </c>
      <c r="E28" s="43">
        <v>134644.05599999998</v>
      </c>
      <c r="F28" s="44"/>
      <c r="G28" s="57">
        <v>3.8697160234434307</v>
      </c>
      <c r="H28" s="46">
        <v>0.1867435358593923</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ht="12.75" customHeight="1" x14ac:dyDescent="0.2">
      <c r="A35" s="206" t="s">
        <v>26</v>
      </c>
      <c r="B35" s="19" t="s">
        <v>3</v>
      </c>
      <c r="C35" s="80">
        <v>15832.677050750515</v>
      </c>
      <c r="D35" s="80">
        <v>15502.439866948976</v>
      </c>
      <c r="E35" s="83">
        <v>16121.606197377485</v>
      </c>
      <c r="F35" s="22" t="s">
        <v>240</v>
      </c>
      <c r="G35" s="23">
        <v>1.8248913036047441</v>
      </c>
      <c r="H35" s="24">
        <v>3.9939927891516191</v>
      </c>
    </row>
    <row r="36" spans="1:8" ht="12.75" customHeight="1" x14ac:dyDescent="0.2">
      <c r="A36" s="207"/>
      <c r="B36" s="25" t="s">
        <v>241</v>
      </c>
      <c r="C36" s="82">
        <v>11785.877422397118</v>
      </c>
      <c r="D36" s="82">
        <v>11840.02652108962</v>
      </c>
      <c r="E36" s="82">
        <v>12207.143268508205</v>
      </c>
      <c r="F36" s="27"/>
      <c r="G36" s="28">
        <v>3.5743274006103434</v>
      </c>
      <c r="H36" s="29">
        <v>3.100641259246089</v>
      </c>
    </row>
    <row r="37" spans="1:8" x14ac:dyDescent="0.2">
      <c r="A37" s="30" t="s">
        <v>34</v>
      </c>
      <c r="B37" s="31" t="s">
        <v>3</v>
      </c>
      <c r="C37" s="84">
        <v>1290.8265800279778</v>
      </c>
      <c r="D37" s="84">
        <v>1173.4909154312006</v>
      </c>
      <c r="E37" s="83">
        <v>1155.8434148323001</v>
      </c>
      <c r="F37" s="22" t="s">
        <v>240</v>
      </c>
      <c r="G37" s="32">
        <v>-10.457110760203904</v>
      </c>
      <c r="H37" s="33">
        <v>-1.5038463755312392</v>
      </c>
    </row>
    <row r="38" spans="1:8" x14ac:dyDescent="0.2">
      <c r="A38" s="34"/>
      <c r="B38" s="25" t="s">
        <v>241</v>
      </c>
      <c r="C38" s="82">
        <v>1063.5489790562472</v>
      </c>
      <c r="D38" s="82">
        <v>929.74079289935082</v>
      </c>
      <c r="E38" s="82">
        <v>927.63393187073848</v>
      </c>
      <c r="F38" s="27"/>
      <c r="G38" s="35">
        <v>-12.779387678611144</v>
      </c>
      <c r="H38" s="29">
        <v>-0.22660735601824911</v>
      </c>
    </row>
    <row r="39" spans="1:8" x14ac:dyDescent="0.2">
      <c r="A39" s="30" t="s">
        <v>35</v>
      </c>
      <c r="B39" s="31" t="s">
        <v>3</v>
      </c>
      <c r="C39" s="84">
        <v>50.11711659841302</v>
      </c>
      <c r="D39" s="84">
        <v>55.412940768714726</v>
      </c>
      <c r="E39" s="83">
        <v>53.828069551922383</v>
      </c>
      <c r="F39" s="22" t="s">
        <v>240</v>
      </c>
      <c r="G39" s="37">
        <v>7.4045619648175602</v>
      </c>
      <c r="H39" s="33">
        <v>-2.8601102825554108</v>
      </c>
    </row>
    <row r="40" spans="1:8" x14ac:dyDescent="0.2">
      <c r="A40" s="34"/>
      <c r="B40" s="25" t="s">
        <v>241</v>
      </c>
      <c r="C40" s="82">
        <v>38.633364836924024</v>
      </c>
      <c r="D40" s="82">
        <v>42.905083470166673</v>
      </c>
      <c r="E40" s="82">
        <v>41.616451642889963</v>
      </c>
      <c r="F40" s="27"/>
      <c r="G40" s="28">
        <v>7.7215298707681796</v>
      </c>
      <c r="H40" s="29">
        <v>-3.0034478972001892</v>
      </c>
    </row>
    <row r="41" spans="1:8" x14ac:dyDescent="0.2">
      <c r="A41" s="30" t="s">
        <v>36</v>
      </c>
      <c r="B41" s="31" t="s">
        <v>3</v>
      </c>
      <c r="C41" s="84">
        <v>2902.8218499061218</v>
      </c>
      <c r="D41" s="84">
        <v>2649.3064202585679</v>
      </c>
      <c r="E41" s="83">
        <v>2861.6283966380302</v>
      </c>
      <c r="F41" s="22" t="s">
        <v>240</v>
      </c>
      <c r="G41" s="23">
        <v>-1.4190830646194712</v>
      </c>
      <c r="H41" s="24">
        <v>8.0142476066902049</v>
      </c>
    </row>
    <row r="42" spans="1:8" x14ac:dyDescent="0.2">
      <c r="A42" s="34"/>
      <c r="B42" s="25" t="s">
        <v>241</v>
      </c>
      <c r="C42" s="82">
        <v>2111.3619949687672</v>
      </c>
      <c r="D42" s="82">
        <v>1935.3896861964781</v>
      </c>
      <c r="E42" s="82">
        <v>2087.4555882222508</v>
      </c>
      <c r="F42" s="27"/>
      <c r="G42" s="38">
        <v>-1.1322741814754522</v>
      </c>
      <c r="H42" s="24">
        <v>7.8571206155707074</v>
      </c>
    </row>
    <row r="43" spans="1:8" x14ac:dyDescent="0.2">
      <c r="A43" s="30" t="s">
        <v>18</v>
      </c>
      <c r="B43" s="31" t="s">
        <v>3</v>
      </c>
      <c r="C43" s="84">
        <v>266.32922584417423</v>
      </c>
      <c r="D43" s="84">
        <v>400.10805758700963</v>
      </c>
      <c r="E43" s="83">
        <v>267.16443450946298</v>
      </c>
      <c r="F43" s="22" t="s">
        <v>240</v>
      </c>
      <c r="G43" s="37">
        <v>0.313600079991744</v>
      </c>
      <c r="H43" s="33">
        <v>-33.226929714764879</v>
      </c>
    </row>
    <row r="44" spans="1:8" x14ac:dyDescent="0.2">
      <c r="A44" s="34"/>
      <c r="B44" s="25" t="s">
        <v>241</v>
      </c>
      <c r="C44" s="82">
        <v>211.31382226645789</v>
      </c>
      <c r="D44" s="82">
        <v>332.71894143146426</v>
      </c>
      <c r="E44" s="82">
        <v>218.66279462913724</v>
      </c>
      <c r="F44" s="27"/>
      <c r="G44" s="28">
        <v>3.4777527962239105</v>
      </c>
      <c r="H44" s="29">
        <v>-34.280028155782375</v>
      </c>
    </row>
    <row r="45" spans="1:8" x14ac:dyDescent="0.2">
      <c r="A45" s="30" t="s">
        <v>37</v>
      </c>
      <c r="B45" s="31" t="s">
        <v>3</v>
      </c>
      <c r="C45" s="84">
        <v>134.5963927207346</v>
      </c>
      <c r="D45" s="84">
        <v>104.2841681353503</v>
      </c>
      <c r="E45" s="83">
        <v>65.807428180659684</v>
      </c>
      <c r="F45" s="22" t="s">
        <v>240</v>
      </c>
      <c r="G45" s="37">
        <v>-51.107584051528569</v>
      </c>
      <c r="H45" s="33">
        <v>-36.896051090661906</v>
      </c>
    </row>
    <row r="46" spans="1:8" x14ac:dyDescent="0.2">
      <c r="A46" s="34"/>
      <c r="B46" s="25" t="s">
        <v>241</v>
      </c>
      <c r="C46" s="82">
        <v>105.03717509036846</v>
      </c>
      <c r="D46" s="82">
        <v>80.500931638824937</v>
      </c>
      <c r="E46" s="82">
        <v>50.983239766928314</v>
      </c>
      <c r="F46" s="27"/>
      <c r="G46" s="28">
        <v>-51.461718460092804</v>
      </c>
      <c r="H46" s="29">
        <v>-36.66751585476122</v>
      </c>
    </row>
    <row r="47" spans="1:8" x14ac:dyDescent="0.2">
      <c r="A47" s="30" t="s">
        <v>38</v>
      </c>
      <c r="B47" s="31" t="s">
        <v>3</v>
      </c>
      <c r="C47" s="84">
        <v>126.50901799240216</v>
      </c>
      <c r="D47" s="84">
        <v>105.8260538839358</v>
      </c>
      <c r="E47" s="83">
        <v>85.538088479244422</v>
      </c>
      <c r="F47" s="22" t="s">
        <v>240</v>
      </c>
      <c r="G47" s="23">
        <v>-32.385777838871817</v>
      </c>
      <c r="H47" s="24">
        <v>-19.171049718004312</v>
      </c>
    </row>
    <row r="48" spans="1:8" x14ac:dyDescent="0.2">
      <c r="A48" s="30"/>
      <c r="B48" s="25" t="s">
        <v>241</v>
      </c>
      <c r="C48" s="82">
        <v>94.980995922058696</v>
      </c>
      <c r="D48" s="82">
        <v>77.910908817601467</v>
      </c>
      <c r="E48" s="82">
        <v>63.384525772090342</v>
      </c>
      <c r="F48" s="27"/>
      <c r="G48" s="38">
        <v>-33.266096910477103</v>
      </c>
      <c r="H48" s="24">
        <v>-18.644864070985335</v>
      </c>
    </row>
    <row r="49" spans="1:9" x14ac:dyDescent="0.2">
      <c r="A49" s="39" t="s">
        <v>39</v>
      </c>
      <c r="B49" s="31" t="s">
        <v>3</v>
      </c>
      <c r="C49" s="84">
        <v>1593.2205910805935</v>
      </c>
      <c r="D49" s="84">
        <v>1683.7532472702133</v>
      </c>
      <c r="E49" s="83">
        <v>1633.6248321512214</v>
      </c>
      <c r="F49" s="22" t="s">
        <v>240</v>
      </c>
      <c r="G49" s="37">
        <v>2.5360104744330414</v>
      </c>
      <c r="H49" s="33">
        <v>-2.9771829809541686</v>
      </c>
    </row>
    <row r="50" spans="1:9" x14ac:dyDescent="0.2">
      <c r="A50" s="34"/>
      <c r="B50" s="25" t="s">
        <v>241</v>
      </c>
      <c r="C50" s="82">
        <v>1202.7920383883024</v>
      </c>
      <c r="D50" s="82">
        <v>1318.6882112382614</v>
      </c>
      <c r="E50" s="82">
        <v>1263.6718574092993</v>
      </c>
      <c r="F50" s="27"/>
      <c r="G50" s="28">
        <v>5.061541569777404</v>
      </c>
      <c r="H50" s="29">
        <v>-4.1720516919842083</v>
      </c>
    </row>
    <row r="51" spans="1:9" x14ac:dyDescent="0.2">
      <c r="A51" s="39" t="s">
        <v>40</v>
      </c>
      <c r="B51" s="31" t="s">
        <v>3</v>
      </c>
      <c r="C51" s="84">
        <v>863.94073953695613</v>
      </c>
      <c r="D51" s="84">
        <v>850.75359543371462</v>
      </c>
      <c r="E51" s="83">
        <v>1073.6968693662216</v>
      </c>
      <c r="F51" s="22" t="s">
        <v>240</v>
      </c>
      <c r="G51" s="23">
        <v>24.278995101178793</v>
      </c>
      <c r="H51" s="24">
        <v>26.205387215419336</v>
      </c>
    </row>
    <row r="52" spans="1:9" x14ac:dyDescent="0.2">
      <c r="A52" s="34"/>
      <c r="B52" s="25" t="s">
        <v>241</v>
      </c>
      <c r="C52" s="82">
        <v>611.17906981955161</v>
      </c>
      <c r="D52" s="82">
        <v>770.82294491011669</v>
      </c>
      <c r="E52" s="82">
        <v>889.56949294235812</v>
      </c>
      <c r="F52" s="27"/>
      <c r="G52" s="38">
        <v>45.549731145898079</v>
      </c>
      <c r="H52" s="24">
        <v>15.405165196021528</v>
      </c>
    </row>
    <row r="53" spans="1:9" x14ac:dyDescent="0.2">
      <c r="A53" s="30" t="s">
        <v>41</v>
      </c>
      <c r="B53" s="31" t="s">
        <v>3</v>
      </c>
      <c r="C53" s="84">
        <v>7804.6326024530808</v>
      </c>
      <c r="D53" s="84">
        <v>7376.5297567928401</v>
      </c>
      <c r="E53" s="83">
        <v>7729.36702708336</v>
      </c>
      <c r="F53" s="22" t="s">
        <v>240</v>
      </c>
      <c r="G53" s="37">
        <v>-0.96437051176584987</v>
      </c>
      <c r="H53" s="33">
        <v>4.7832420111313354</v>
      </c>
    </row>
    <row r="54" spans="1:9" x14ac:dyDescent="0.2">
      <c r="A54" s="34"/>
      <c r="B54" s="25" t="s">
        <v>241</v>
      </c>
      <c r="C54" s="82">
        <v>5698.188577713192</v>
      </c>
      <c r="D54" s="82">
        <v>5550.1468235705388</v>
      </c>
      <c r="E54" s="82">
        <v>5757.003070305992</v>
      </c>
      <c r="F54" s="27"/>
      <c r="G54" s="28">
        <v>1.0321612173882073</v>
      </c>
      <c r="H54" s="29">
        <v>3.7270409830775861</v>
      </c>
    </row>
    <row r="55" spans="1:9" x14ac:dyDescent="0.2">
      <c r="A55" s="30" t="s">
        <v>24</v>
      </c>
      <c r="B55" s="31" t="s">
        <v>3</v>
      </c>
      <c r="C55" s="84">
        <v>799.68293459006009</v>
      </c>
      <c r="D55" s="84">
        <v>1102.9747113874296</v>
      </c>
      <c r="E55" s="83">
        <v>1205.2490623535168</v>
      </c>
      <c r="F55" s="22" t="s">
        <v>240</v>
      </c>
      <c r="G55" s="23">
        <v>50.715866279097384</v>
      </c>
      <c r="H55" s="24">
        <v>9.2725925544962422</v>
      </c>
    </row>
    <row r="56" spans="1:9" ht="13.5" thickBot="1" x14ac:dyDescent="0.25">
      <c r="A56" s="56"/>
      <c r="B56" s="42" t="s">
        <v>241</v>
      </c>
      <c r="C56" s="86">
        <v>648.84140433525113</v>
      </c>
      <c r="D56" s="86">
        <v>801.20219691681461</v>
      </c>
      <c r="E56" s="86">
        <v>907.16231594652209</v>
      </c>
      <c r="F56" s="44"/>
      <c r="G56" s="57">
        <v>39.812642948691746</v>
      </c>
      <c r="H56" s="46">
        <v>13.225140849271639</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1">
        <v>12</v>
      </c>
    </row>
    <row r="62" spans="1:9" ht="12.75" customHeight="1" x14ac:dyDescent="0.2">
      <c r="A62" s="54" t="s">
        <v>243</v>
      </c>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4" t="s">
        <v>1</v>
      </c>
      <c r="H5" s="205"/>
    </row>
    <row r="6" spans="1:8" x14ac:dyDescent="0.2">
      <c r="A6" s="12"/>
      <c r="B6" s="13"/>
      <c r="C6" s="14" t="s">
        <v>235</v>
      </c>
      <c r="D6" s="15" t="s">
        <v>236</v>
      </c>
      <c r="E6" s="15" t="s">
        <v>237</v>
      </c>
      <c r="F6" s="16"/>
      <c r="G6" s="17" t="s">
        <v>238</v>
      </c>
      <c r="H6" s="18" t="s">
        <v>239</v>
      </c>
    </row>
    <row r="7" spans="1:8" x14ac:dyDescent="0.2">
      <c r="A7" s="206" t="s">
        <v>17</v>
      </c>
      <c r="B7" s="19" t="s">
        <v>3</v>
      </c>
      <c r="C7" s="20">
        <v>436422.05680252536</v>
      </c>
      <c r="D7" s="20">
        <v>479818.33846073353</v>
      </c>
      <c r="E7" s="21">
        <v>471825.77424671024</v>
      </c>
      <c r="F7" s="22" t="s">
        <v>240</v>
      </c>
      <c r="G7" s="23">
        <v>8.112265842742346</v>
      </c>
      <c r="H7" s="24">
        <v>-1.6657479661289329</v>
      </c>
    </row>
    <row r="8" spans="1:8" x14ac:dyDescent="0.2">
      <c r="A8" s="207"/>
      <c r="B8" s="25" t="s">
        <v>241</v>
      </c>
      <c r="C8" s="26">
        <v>329887.15209543239</v>
      </c>
      <c r="D8" s="26">
        <v>357034.97546172765</v>
      </c>
      <c r="E8" s="26">
        <v>352921.90535237791</v>
      </c>
      <c r="F8" s="27"/>
      <c r="G8" s="28">
        <v>6.9826160584398451</v>
      </c>
      <c r="H8" s="29">
        <v>-1.1520076160691559</v>
      </c>
    </row>
    <row r="9" spans="1:8" x14ac:dyDescent="0.2">
      <c r="A9" s="30" t="s">
        <v>18</v>
      </c>
      <c r="B9" s="31" t="s">
        <v>3</v>
      </c>
      <c r="C9" s="20">
        <v>31193.199773913046</v>
      </c>
      <c r="D9" s="20">
        <v>27408.687252173913</v>
      </c>
      <c r="E9" s="21">
        <v>30670.959432228407</v>
      </c>
      <c r="F9" s="22" t="s">
        <v>240</v>
      </c>
      <c r="G9" s="32">
        <v>-1.6742121535136363</v>
      </c>
      <c r="H9" s="33">
        <v>11.902329177752762</v>
      </c>
    </row>
    <row r="10" spans="1:8" x14ac:dyDescent="0.2">
      <c r="A10" s="34"/>
      <c r="B10" s="25" t="s">
        <v>241</v>
      </c>
      <c r="C10" s="26">
        <v>25095.49717826087</v>
      </c>
      <c r="D10" s="26">
        <v>20548.03852173913</v>
      </c>
      <c r="E10" s="26">
        <v>23528.212069565219</v>
      </c>
      <c r="F10" s="27"/>
      <c r="G10" s="35">
        <v>-6.2452841542160087</v>
      </c>
      <c r="H10" s="29">
        <v>14.503445400266131</v>
      </c>
    </row>
    <row r="11" spans="1:8" x14ac:dyDescent="0.2">
      <c r="A11" s="30" t="s">
        <v>19</v>
      </c>
      <c r="B11" s="31" t="s">
        <v>3</v>
      </c>
      <c r="C11" s="20">
        <v>70509.665913043485</v>
      </c>
      <c r="D11" s="20">
        <v>69574.624173913035</v>
      </c>
      <c r="E11" s="21">
        <v>82450.496964488004</v>
      </c>
      <c r="F11" s="22" t="s">
        <v>240</v>
      </c>
      <c r="G11" s="37">
        <v>16.935027129713859</v>
      </c>
      <c r="H11" s="33">
        <v>18.506564632515506</v>
      </c>
    </row>
    <row r="12" spans="1:8" x14ac:dyDescent="0.2">
      <c r="A12" s="34"/>
      <c r="B12" s="25" t="s">
        <v>241</v>
      </c>
      <c r="C12" s="26">
        <v>54101.657260869571</v>
      </c>
      <c r="D12" s="26">
        <v>50741.461739130435</v>
      </c>
      <c r="E12" s="26">
        <v>61140.873565217385</v>
      </c>
      <c r="F12" s="27"/>
      <c r="G12" s="28">
        <v>13.011091823686357</v>
      </c>
      <c r="H12" s="29">
        <v>20.494899968692096</v>
      </c>
    </row>
    <row r="13" spans="1:8" x14ac:dyDescent="0.2">
      <c r="A13" s="30" t="s">
        <v>20</v>
      </c>
      <c r="B13" s="31" t="s">
        <v>3</v>
      </c>
      <c r="C13" s="20">
        <v>34331.50757763975</v>
      </c>
      <c r="D13" s="20">
        <v>36547.916273291921</v>
      </c>
      <c r="E13" s="21">
        <v>28073.010683008808</v>
      </c>
      <c r="F13" s="22" t="s">
        <v>240</v>
      </c>
      <c r="G13" s="23">
        <v>-18.229601133820069</v>
      </c>
      <c r="H13" s="24">
        <v>-23.188478180016816</v>
      </c>
    </row>
    <row r="14" spans="1:8" x14ac:dyDescent="0.2">
      <c r="A14" s="34"/>
      <c r="B14" s="25" t="s">
        <v>241</v>
      </c>
      <c r="C14" s="26">
        <v>26164.31298136646</v>
      </c>
      <c r="D14" s="26">
        <v>27812.077018633539</v>
      </c>
      <c r="E14" s="26">
        <v>21373.463602484473</v>
      </c>
      <c r="F14" s="27"/>
      <c r="G14" s="38">
        <v>-18.310625554333896</v>
      </c>
      <c r="H14" s="24">
        <v>-23.150422788759442</v>
      </c>
    </row>
    <row r="15" spans="1:8" x14ac:dyDescent="0.2">
      <c r="A15" s="30" t="s">
        <v>21</v>
      </c>
      <c r="B15" s="31" t="s">
        <v>3</v>
      </c>
      <c r="C15" s="20">
        <v>5193.3147101449276</v>
      </c>
      <c r="D15" s="20">
        <v>6986.5589130434782</v>
      </c>
      <c r="E15" s="21">
        <v>8074.3387128985651</v>
      </c>
      <c r="F15" s="22" t="s">
        <v>240</v>
      </c>
      <c r="G15" s="37">
        <v>55.475629026018311</v>
      </c>
      <c r="H15" s="33">
        <v>15.569607490523964</v>
      </c>
    </row>
    <row r="16" spans="1:8" x14ac:dyDescent="0.2">
      <c r="A16" s="34"/>
      <c r="B16" s="25" t="s">
        <v>241</v>
      </c>
      <c r="C16" s="26">
        <v>4205.1746195652177</v>
      </c>
      <c r="D16" s="26">
        <v>5300.3141304347828</v>
      </c>
      <c r="E16" s="26">
        <v>6257.1352173913046</v>
      </c>
      <c r="F16" s="27"/>
      <c r="G16" s="28">
        <v>48.796085382020209</v>
      </c>
      <c r="H16" s="29">
        <v>18.05215810629764</v>
      </c>
    </row>
    <row r="17" spans="1:8" x14ac:dyDescent="0.2">
      <c r="A17" s="30" t="s">
        <v>22</v>
      </c>
      <c r="B17" s="31" t="s">
        <v>3</v>
      </c>
      <c r="C17" s="20">
        <v>7586.3147101449276</v>
      </c>
      <c r="D17" s="20">
        <v>6720.5589130434782</v>
      </c>
      <c r="E17" s="21">
        <v>7564.4511013884394</v>
      </c>
      <c r="F17" s="22" t="s">
        <v>240</v>
      </c>
      <c r="G17" s="37">
        <v>-0.28819801961617486</v>
      </c>
      <c r="H17" s="33">
        <v>12.55687509422927</v>
      </c>
    </row>
    <row r="18" spans="1:8" x14ac:dyDescent="0.2">
      <c r="A18" s="34"/>
      <c r="B18" s="25" t="s">
        <v>241</v>
      </c>
      <c r="C18" s="26">
        <v>6107.1746195652177</v>
      </c>
      <c r="D18" s="26">
        <v>5088.3141304347828</v>
      </c>
      <c r="E18" s="26">
        <v>5843.1352173913037</v>
      </c>
      <c r="F18" s="27"/>
      <c r="G18" s="28">
        <v>-4.3234297137669131</v>
      </c>
      <c r="H18" s="29">
        <v>14.834404236988874</v>
      </c>
    </row>
    <row r="19" spans="1:8" x14ac:dyDescent="0.2">
      <c r="A19" s="30" t="s">
        <v>189</v>
      </c>
      <c r="B19" s="31" t="s">
        <v>3</v>
      </c>
      <c r="C19" s="20">
        <v>248706.26894409937</v>
      </c>
      <c r="D19" s="20">
        <v>287166.7906832298</v>
      </c>
      <c r="E19" s="21">
        <v>269702.20214140625</v>
      </c>
      <c r="F19" s="22" t="s">
        <v>240</v>
      </c>
      <c r="G19" s="23">
        <v>8.4420603012729316</v>
      </c>
      <c r="H19" s="24">
        <v>-6.0816881019813138</v>
      </c>
    </row>
    <row r="20" spans="1:8" x14ac:dyDescent="0.2">
      <c r="A20" s="30"/>
      <c r="B20" s="25" t="s">
        <v>241</v>
      </c>
      <c r="C20" s="26">
        <v>186628.78245341615</v>
      </c>
      <c r="D20" s="26">
        <v>215962.69254658386</v>
      </c>
      <c r="E20" s="26">
        <v>202680.15900621121</v>
      </c>
      <c r="F20" s="27"/>
      <c r="G20" s="38">
        <v>8.600697246043282</v>
      </c>
      <c r="H20" s="24">
        <v>-6.1503833758266211</v>
      </c>
    </row>
    <row r="21" spans="1:8" x14ac:dyDescent="0.2">
      <c r="A21" s="39" t="s">
        <v>12</v>
      </c>
      <c r="B21" s="31" t="s">
        <v>3</v>
      </c>
      <c r="C21" s="20">
        <v>1977.3888260869564</v>
      </c>
      <c r="D21" s="20">
        <v>2391.1353478260871</v>
      </c>
      <c r="E21" s="21">
        <v>2543.6007133895687</v>
      </c>
      <c r="F21" s="22" t="s">
        <v>240</v>
      </c>
      <c r="G21" s="37">
        <v>28.634322184528855</v>
      </c>
      <c r="H21" s="33">
        <v>6.3762750068538026</v>
      </c>
    </row>
    <row r="22" spans="1:8" x14ac:dyDescent="0.2">
      <c r="A22" s="34"/>
      <c r="B22" s="25" t="s">
        <v>241</v>
      </c>
      <c r="C22" s="26">
        <v>1632.3047717391305</v>
      </c>
      <c r="D22" s="26">
        <v>1800.7884782608696</v>
      </c>
      <c r="E22" s="26">
        <v>1973.2811304347827</v>
      </c>
      <c r="F22" s="27"/>
      <c r="G22" s="28">
        <v>20.889258219367974</v>
      </c>
      <c r="H22" s="29">
        <v>9.5787292209077037</v>
      </c>
    </row>
    <row r="23" spans="1:8" x14ac:dyDescent="0.2">
      <c r="A23" s="39" t="s">
        <v>23</v>
      </c>
      <c r="B23" s="31" t="s">
        <v>3</v>
      </c>
      <c r="C23" s="20">
        <v>13174.314710144927</v>
      </c>
      <c r="D23" s="20">
        <v>13589.558913043478</v>
      </c>
      <c r="E23" s="21">
        <v>13554.046332672118</v>
      </c>
      <c r="F23" s="22" t="s">
        <v>240</v>
      </c>
      <c r="G23" s="23">
        <v>2.8823633781480709</v>
      </c>
      <c r="H23" s="24">
        <v>-0.26132253885940315</v>
      </c>
    </row>
    <row r="24" spans="1:8" x14ac:dyDescent="0.2">
      <c r="A24" s="34"/>
      <c r="B24" s="25" t="s">
        <v>241</v>
      </c>
      <c r="C24" s="26">
        <v>9766.1746195652177</v>
      </c>
      <c r="D24" s="26">
        <v>9962.3141304347828</v>
      </c>
      <c r="E24" s="26">
        <v>9973.1352173913037</v>
      </c>
      <c r="F24" s="27"/>
      <c r="G24" s="28">
        <v>2.1191572533575993</v>
      </c>
      <c r="H24" s="29">
        <v>0.10862021428799551</v>
      </c>
    </row>
    <row r="25" spans="1:8" x14ac:dyDescent="0.2">
      <c r="A25" s="30" t="s">
        <v>24</v>
      </c>
      <c r="B25" s="31" t="s">
        <v>3</v>
      </c>
      <c r="C25" s="20">
        <v>34043.629420289857</v>
      </c>
      <c r="D25" s="20">
        <v>41764.117826086956</v>
      </c>
      <c r="E25" s="21">
        <v>43952.345432897971</v>
      </c>
      <c r="F25" s="22" t="s">
        <v>240</v>
      </c>
      <c r="G25" s="23">
        <v>29.105933125633669</v>
      </c>
      <c r="H25" s="24">
        <v>5.2394919866933947</v>
      </c>
    </row>
    <row r="26" spans="1:8" ht="13.5" thickBot="1" x14ac:dyDescent="0.25">
      <c r="A26" s="41"/>
      <c r="B26" s="42" t="s">
        <v>241</v>
      </c>
      <c r="C26" s="43">
        <v>23876.349239130435</v>
      </c>
      <c r="D26" s="43">
        <v>29489.628260869566</v>
      </c>
      <c r="E26" s="43">
        <v>30964.770434782607</v>
      </c>
      <c r="F26" s="44"/>
      <c r="G26" s="45">
        <v>29.688044535866965</v>
      </c>
      <c r="H26" s="46">
        <v>5.0022406551337895</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10" t="s">
        <v>16</v>
      </c>
      <c r="D33" s="204"/>
      <c r="E33" s="204"/>
      <c r="F33" s="211"/>
      <c r="G33" s="204" t="s">
        <v>1</v>
      </c>
      <c r="H33" s="205"/>
    </row>
    <row r="34" spans="1:8" x14ac:dyDescent="0.2">
      <c r="A34" s="12"/>
      <c r="B34" s="13"/>
      <c r="C34" s="14" t="s">
        <v>235</v>
      </c>
      <c r="D34" s="15" t="s">
        <v>236</v>
      </c>
      <c r="E34" s="15" t="s">
        <v>237</v>
      </c>
      <c r="F34" s="16"/>
      <c r="G34" s="17" t="s">
        <v>238</v>
      </c>
      <c r="H34" s="18" t="s">
        <v>239</v>
      </c>
    </row>
    <row r="35" spans="1:8" x14ac:dyDescent="0.2">
      <c r="A35" s="206" t="s">
        <v>17</v>
      </c>
      <c r="B35" s="19" t="s">
        <v>3</v>
      </c>
      <c r="C35" s="80">
        <v>8866.8966085764332</v>
      </c>
      <c r="D35" s="80">
        <v>8740.3543440821522</v>
      </c>
      <c r="E35" s="83">
        <v>9609.5022541514008</v>
      </c>
      <c r="F35" s="22" t="s">
        <v>240</v>
      </c>
      <c r="G35" s="23">
        <v>8.3750344495580009</v>
      </c>
      <c r="H35" s="24">
        <v>9.9440809360060314</v>
      </c>
    </row>
    <row r="36" spans="1:8" x14ac:dyDescent="0.2">
      <c r="A36" s="207"/>
      <c r="B36" s="25" t="s">
        <v>241</v>
      </c>
      <c r="C36" s="82">
        <v>6540.8636296685318</v>
      </c>
      <c r="D36" s="82">
        <v>6389.0238891145445</v>
      </c>
      <c r="E36" s="82">
        <v>7045.6600904351535</v>
      </c>
      <c r="F36" s="27"/>
      <c r="G36" s="28">
        <v>7.7175811841868835</v>
      </c>
      <c r="H36" s="29">
        <v>10.277566850851329</v>
      </c>
    </row>
    <row r="37" spans="1:8" x14ac:dyDescent="0.2">
      <c r="A37" s="30" t="s">
        <v>18</v>
      </c>
      <c r="B37" s="31" t="s">
        <v>3</v>
      </c>
      <c r="C37" s="80">
        <v>2867.3178072613059</v>
      </c>
      <c r="D37" s="80">
        <v>2536.4597419802935</v>
      </c>
      <c r="E37" s="83">
        <v>2879.9672516459445</v>
      </c>
      <c r="F37" s="22" t="s">
        <v>240</v>
      </c>
      <c r="G37" s="32">
        <v>0.44115948195921817</v>
      </c>
      <c r="H37" s="33">
        <v>13.542793681301006</v>
      </c>
    </row>
    <row r="38" spans="1:8" x14ac:dyDescent="0.2">
      <c r="A38" s="34"/>
      <c r="B38" s="25" t="s">
        <v>241</v>
      </c>
      <c r="C38" s="82">
        <v>2078.4593968071781</v>
      </c>
      <c r="D38" s="82">
        <v>1878.6873574212204</v>
      </c>
      <c r="E38" s="82">
        <v>2117.733669710422</v>
      </c>
      <c r="F38" s="27"/>
      <c r="G38" s="35">
        <v>1.8895857654748909</v>
      </c>
      <c r="H38" s="29">
        <v>12.72411353304301</v>
      </c>
    </row>
    <row r="39" spans="1:8" x14ac:dyDescent="0.2">
      <c r="A39" s="30" t="s">
        <v>19</v>
      </c>
      <c r="B39" s="31" t="s">
        <v>3</v>
      </c>
      <c r="C39" s="80">
        <v>3233.0145650993327</v>
      </c>
      <c r="D39" s="80">
        <v>2983.9453053103271</v>
      </c>
      <c r="E39" s="83">
        <v>3552.0208282348849</v>
      </c>
      <c r="F39" s="22" t="s">
        <v>240</v>
      </c>
      <c r="G39" s="37">
        <v>9.867145869964574</v>
      </c>
      <c r="H39" s="33">
        <v>19.037732424706036</v>
      </c>
    </row>
    <row r="40" spans="1:8" x14ac:dyDescent="0.2">
      <c r="A40" s="34"/>
      <c r="B40" s="25" t="s">
        <v>241</v>
      </c>
      <c r="C40" s="82">
        <v>2369.2545481460461</v>
      </c>
      <c r="D40" s="82">
        <v>2163.5966278691285</v>
      </c>
      <c r="E40" s="82">
        <v>2584.6100669802017</v>
      </c>
      <c r="F40" s="27"/>
      <c r="G40" s="28">
        <v>9.0895897615844063</v>
      </c>
      <c r="H40" s="29">
        <v>19.458961697759648</v>
      </c>
    </row>
    <row r="41" spans="1:8" x14ac:dyDescent="0.2">
      <c r="A41" s="30" t="s">
        <v>20</v>
      </c>
      <c r="B41" s="31" t="s">
        <v>3</v>
      </c>
      <c r="C41" s="80">
        <v>398.01623132637644</v>
      </c>
      <c r="D41" s="80">
        <v>402.88467715266017</v>
      </c>
      <c r="E41" s="83">
        <v>329.92281648821955</v>
      </c>
      <c r="F41" s="22" t="s">
        <v>240</v>
      </c>
      <c r="G41" s="23">
        <v>-17.108200490024686</v>
      </c>
      <c r="H41" s="24">
        <v>-18.109862400349883</v>
      </c>
    </row>
    <row r="42" spans="1:8" x14ac:dyDescent="0.2">
      <c r="A42" s="34"/>
      <c r="B42" s="25" t="s">
        <v>241</v>
      </c>
      <c r="C42" s="82">
        <v>310.55883287191614</v>
      </c>
      <c r="D42" s="82">
        <v>312.8992646741263</v>
      </c>
      <c r="E42" s="82">
        <v>256.63046104402662</v>
      </c>
      <c r="F42" s="27"/>
      <c r="G42" s="38">
        <v>-17.364945420866903</v>
      </c>
      <c r="H42" s="24">
        <v>-17.983041183782163</v>
      </c>
    </row>
    <row r="43" spans="1:8" x14ac:dyDescent="0.2">
      <c r="A43" s="30" t="s">
        <v>21</v>
      </c>
      <c r="B43" s="31" t="s">
        <v>3</v>
      </c>
      <c r="C43" s="80">
        <v>50.789542562724677</v>
      </c>
      <c r="D43" s="80">
        <v>67.030808103509273</v>
      </c>
      <c r="E43" s="83">
        <v>74.520559618238053</v>
      </c>
      <c r="F43" s="22" t="s">
        <v>240</v>
      </c>
      <c r="G43" s="37">
        <v>46.724218920077419</v>
      </c>
      <c r="H43" s="33">
        <v>11.173595734013929</v>
      </c>
    </row>
    <row r="44" spans="1:8" x14ac:dyDescent="0.2">
      <c r="A44" s="34"/>
      <c r="B44" s="25" t="s">
        <v>241</v>
      </c>
      <c r="C44" s="82">
        <v>40.378067077603419</v>
      </c>
      <c r="D44" s="82">
        <v>50.453574984669054</v>
      </c>
      <c r="E44" s="82">
        <v>57.104198563409433</v>
      </c>
      <c r="F44" s="27"/>
      <c r="G44" s="28">
        <v>41.423804298654829</v>
      </c>
      <c r="H44" s="29">
        <v>13.18166964533485</v>
      </c>
    </row>
    <row r="45" spans="1:8" x14ac:dyDescent="0.2">
      <c r="A45" s="30" t="s">
        <v>22</v>
      </c>
      <c r="B45" s="31" t="s">
        <v>3</v>
      </c>
      <c r="C45" s="80">
        <v>35.716650817172876</v>
      </c>
      <c r="D45" s="80">
        <v>33.438433235771839</v>
      </c>
      <c r="E45" s="83">
        <v>37.031554650250094</v>
      </c>
      <c r="F45" s="22" t="s">
        <v>240</v>
      </c>
      <c r="G45" s="37">
        <v>3.6814869339456493</v>
      </c>
      <c r="H45" s="33">
        <v>10.745483764575425</v>
      </c>
    </row>
    <row r="46" spans="1:8" x14ac:dyDescent="0.2">
      <c r="A46" s="34"/>
      <c r="B46" s="25" t="s">
        <v>241</v>
      </c>
      <c r="C46" s="82">
        <v>30.082306055782617</v>
      </c>
      <c r="D46" s="82">
        <v>25.067530039626352</v>
      </c>
      <c r="E46" s="82">
        <v>28.817090745997003</v>
      </c>
      <c r="F46" s="27"/>
      <c r="G46" s="28">
        <v>-4.2058454808600203</v>
      </c>
      <c r="H46" s="29">
        <v>14.957838687909828</v>
      </c>
    </row>
    <row r="47" spans="1:8" x14ac:dyDescent="0.2">
      <c r="A47" s="30" t="s">
        <v>189</v>
      </c>
      <c r="B47" s="31" t="s">
        <v>3</v>
      </c>
      <c r="C47" s="80">
        <v>1278.8408761161497</v>
      </c>
      <c r="D47" s="80">
        <v>1488.2956952963564</v>
      </c>
      <c r="E47" s="83">
        <v>1474.5672827165804</v>
      </c>
      <c r="F47" s="22" t="s">
        <v>240</v>
      </c>
      <c r="G47" s="23">
        <v>15.304985182742456</v>
      </c>
      <c r="H47" s="24">
        <v>-0.92242506802671187</v>
      </c>
    </row>
    <row r="48" spans="1:8" x14ac:dyDescent="0.2">
      <c r="A48" s="30"/>
      <c r="B48" s="25" t="s">
        <v>241</v>
      </c>
      <c r="C48" s="82">
        <v>985.11977724528344</v>
      </c>
      <c r="D48" s="82">
        <v>1095.2459822723838</v>
      </c>
      <c r="E48" s="82">
        <v>1101.5480372870493</v>
      </c>
      <c r="F48" s="27"/>
      <c r="G48" s="38">
        <v>11.818690755284322</v>
      </c>
      <c r="H48" s="24">
        <v>0.57540087949834628</v>
      </c>
    </row>
    <row r="49" spans="1:8" x14ac:dyDescent="0.2">
      <c r="A49" s="39" t="s">
        <v>12</v>
      </c>
      <c r="B49" s="31" t="s">
        <v>3</v>
      </c>
      <c r="C49" s="80">
        <v>35.355077256815157</v>
      </c>
      <c r="D49" s="80">
        <v>25.39066965769738</v>
      </c>
      <c r="E49" s="83">
        <v>35.636127430411769</v>
      </c>
      <c r="F49" s="22" t="s">
        <v>240</v>
      </c>
      <c r="G49" s="37">
        <v>0.79493582083019021</v>
      </c>
      <c r="H49" s="33">
        <v>40.351270410894415</v>
      </c>
    </row>
    <row r="50" spans="1:8" x14ac:dyDescent="0.2">
      <c r="A50" s="34"/>
      <c r="B50" s="25" t="s">
        <v>241</v>
      </c>
      <c r="C50" s="82">
        <v>23.296604735806891</v>
      </c>
      <c r="D50" s="82">
        <v>21.166765403201019</v>
      </c>
      <c r="E50" s="82">
        <v>27.295429845626828</v>
      </c>
      <c r="F50" s="27"/>
      <c r="G50" s="28">
        <v>17.164840779024516</v>
      </c>
      <c r="H50" s="29">
        <v>28.954185137323719</v>
      </c>
    </row>
    <row r="51" spans="1:8" x14ac:dyDescent="0.2">
      <c r="A51" s="39" t="s">
        <v>23</v>
      </c>
      <c r="B51" s="31" t="s">
        <v>3</v>
      </c>
      <c r="C51" s="80">
        <v>315.1599379711983</v>
      </c>
      <c r="D51" s="80">
        <v>346.31066871556175</v>
      </c>
      <c r="E51" s="83">
        <v>372.32385211826539</v>
      </c>
      <c r="F51" s="22" t="s">
        <v>240</v>
      </c>
      <c r="G51" s="23">
        <v>18.138064918736944</v>
      </c>
      <c r="H51" s="24">
        <v>7.5115166099804185</v>
      </c>
    </row>
    <row r="52" spans="1:8" x14ac:dyDescent="0.2">
      <c r="A52" s="34"/>
      <c r="B52" s="25" t="s">
        <v>241</v>
      </c>
      <c r="C52" s="82">
        <v>227.62770599007916</v>
      </c>
      <c r="D52" s="82">
        <v>229.33817757244501</v>
      </c>
      <c r="E52" s="82">
        <v>253.59040687606725</v>
      </c>
      <c r="F52" s="27"/>
      <c r="G52" s="28">
        <v>11.405773639488189</v>
      </c>
      <c r="H52" s="29">
        <v>10.574876612491295</v>
      </c>
    </row>
    <row r="53" spans="1:8" x14ac:dyDescent="0.2">
      <c r="A53" s="30" t="s">
        <v>24</v>
      </c>
      <c r="B53" s="31" t="s">
        <v>3</v>
      </c>
      <c r="C53" s="80">
        <v>652.68592016535786</v>
      </c>
      <c r="D53" s="80">
        <v>856.59834462997526</v>
      </c>
      <c r="E53" s="83">
        <v>859.00208121389653</v>
      </c>
      <c r="F53" s="22" t="s">
        <v>240</v>
      </c>
      <c r="G53" s="23">
        <v>31.610328133977276</v>
      </c>
      <c r="H53" s="24">
        <v>0.28061419905726837</v>
      </c>
    </row>
    <row r="54" spans="1:8" ht="13.5" thickBot="1" x14ac:dyDescent="0.25">
      <c r="A54" s="41"/>
      <c r="B54" s="42" t="s">
        <v>241</v>
      </c>
      <c r="C54" s="86">
        <v>476.08639073883631</v>
      </c>
      <c r="D54" s="86">
        <v>612.56860887774315</v>
      </c>
      <c r="E54" s="86">
        <v>618.33072938235102</v>
      </c>
      <c r="F54" s="44"/>
      <c r="G54" s="45">
        <v>29.877841797318837</v>
      </c>
      <c r="H54" s="46">
        <v>0.94064900177701816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9">
        <v>13</v>
      </c>
    </row>
    <row r="62" spans="1:8" ht="12.75" customHeight="1" x14ac:dyDescent="0.2">
      <c r="A62" s="54" t="s">
        <v>243</v>
      </c>
      <c r="G62" s="53"/>
      <c r="H62" s="202"/>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2021-11-16T12:28:00Z</cp:lastPrinted>
  <dcterms:created xsi:type="dcterms:W3CDTF">2002-02-09T09:48:14Z</dcterms:created>
  <dcterms:modified xsi:type="dcterms:W3CDTF">2021-11-23T11:46:10Z</dcterms:modified>
</cp:coreProperties>
</file>