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8_{C181F1E1-3FBC-457A-BF3B-1F4F9637D51A}" xr6:coauthVersionLast="45" xr6:coauthVersionMax="45" xr10:uidLastSave="{00000000-0000-0000-0000-000000000000}"/>
  <bookViews>
    <workbookView xWindow="-1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21" i="19" l="1"/>
  <c r="Q221" i="19"/>
  <c r="N221" i="19"/>
  <c r="D221" i="19" l="1"/>
  <c r="C221" i="19"/>
  <c r="B124" i="21" l="1"/>
  <c r="Y90" i="19" l="1"/>
  <c r="X86" i="19"/>
  <c r="Y133" i="19"/>
  <c r="Y125" i="19"/>
  <c r="X125" i="19"/>
  <c r="S225" i="19"/>
  <c r="S223" i="19" s="1"/>
  <c r="R225" i="19"/>
  <c r="R223" i="19" s="1"/>
  <c r="P225" i="19"/>
  <c r="P223" i="19" s="1"/>
  <c r="O225" i="19"/>
  <c r="O223" i="19" s="1"/>
  <c r="M225" i="19"/>
  <c r="M223" i="19" s="1"/>
  <c r="L225" i="19"/>
  <c r="L223" i="19" s="1"/>
  <c r="E224" i="19"/>
  <c r="T220" i="19"/>
  <c r="Q220" i="19"/>
  <c r="N220" i="19"/>
  <c r="D220" i="19"/>
  <c r="C220" i="19"/>
  <c r="T219" i="19"/>
  <c r="Q219" i="19"/>
  <c r="N219" i="19"/>
  <c r="D219" i="19"/>
  <c r="C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X133" i="19"/>
  <c r="W133" i="19"/>
  <c r="T133" i="19"/>
  <c r="Q133" i="19"/>
  <c r="N133" i="19"/>
  <c r="Y132" i="19"/>
  <c r="X132" i="19"/>
  <c r="W132" i="19"/>
  <c r="T132" i="19"/>
  <c r="Q132" i="19"/>
  <c r="N132" i="19"/>
  <c r="D132" i="19"/>
  <c r="D133" i="19" s="1"/>
  <c r="C132" i="19"/>
  <c r="C133" i="19" s="1"/>
  <c r="Y131" i="19"/>
  <c r="X131" i="19"/>
  <c r="W131" i="19"/>
  <c r="T131" i="19"/>
  <c r="Q131" i="19"/>
  <c r="N131" i="19"/>
  <c r="W130" i="19"/>
  <c r="T130" i="19"/>
  <c r="Q130" i="19"/>
  <c r="N130" i="19"/>
  <c r="W129" i="19"/>
  <c r="T129" i="19"/>
  <c r="Q129" i="19"/>
  <c r="N129" i="19"/>
  <c r="W128" i="19"/>
  <c r="T128" i="19"/>
  <c r="Q128" i="19"/>
  <c r="N128" i="19"/>
  <c r="D128" i="19"/>
  <c r="D129" i="19" s="1"/>
  <c r="C128" i="19"/>
  <c r="T127" i="19"/>
  <c r="Q127" i="19"/>
  <c r="N127" i="19"/>
  <c r="T126" i="19"/>
  <c r="Q126" i="19"/>
  <c r="N126" i="19"/>
  <c r="W125" i="19"/>
  <c r="T125" i="19"/>
  <c r="Q125" i="19"/>
  <c r="N125" i="19"/>
  <c r="Y124" i="19"/>
  <c r="X124" i="19"/>
  <c r="W124" i="19"/>
  <c r="T124" i="19"/>
  <c r="Q124" i="19"/>
  <c r="N124" i="19"/>
  <c r="D124" i="19"/>
  <c r="D125" i="19" s="1"/>
  <c r="D126" i="19" s="1"/>
  <c r="C124" i="19"/>
  <c r="Y123" i="19"/>
  <c r="X123" i="19"/>
  <c r="W123" i="19"/>
  <c r="T123" i="19"/>
  <c r="Q123" i="19"/>
  <c r="N123" i="19"/>
  <c r="Y122" i="19"/>
  <c r="X122" i="19"/>
  <c r="W122" i="19"/>
  <c r="T122" i="19"/>
  <c r="Q122" i="19"/>
  <c r="N122" i="19"/>
  <c r="W121" i="19"/>
  <c r="T121" i="19"/>
  <c r="Q121" i="19"/>
  <c r="N121" i="19"/>
  <c r="C121" i="19"/>
  <c r="C122" i="19" s="1"/>
  <c r="T120" i="19"/>
  <c r="Q120" i="19"/>
  <c r="N120" i="19"/>
  <c r="D120" i="19"/>
  <c r="C120" i="19"/>
  <c r="T119" i="19"/>
  <c r="Q119" i="19"/>
  <c r="N119" i="19"/>
  <c r="T118" i="19"/>
  <c r="Q118" i="19"/>
  <c r="N118" i="19"/>
  <c r="Y117" i="19"/>
  <c r="X117" i="19"/>
  <c r="W117" i="19"/>
  <c r="T117" i="19"/>
  <c r="Q117" i="19"/>
  <c r="N117" i="19"/>
  <c r="C117" i="19"/>
  <c r="C118" i="19" s="1"/>
  <c r="T116" i="19"/>
  <c r="Q116" i="19"/>
  <c r="N116" i="19"/>
  <c r="D116" i="19"/>
  <c r="C116" i="19"/>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Y92" i="19"/>
  <c r="N92" i="19"/>
  <c r="Y91" i="19"/>
  <c r="X91" i="19"/>
  <c r="N91" i="19"/>
  <c r="X90" i="19"/>
  <c r="W90" i="19"/>
  <c r="N90" i="19"/>
  <c r="X89" i="19"/>
  <c r="W89" i="19"/>
  <c r="N89" i="19"/>
  <c r="Y88" i="19"/>
  <c r="X88" i="19"/>
  <c r="W88" i="19"/>
  <c r="N88" i="19"/>
  <c r="Y87" i="19"/>
  <c r="X87" i="19"/>
  <c r="N87" i="19"/>
  <c r="Y86" i="19"/>
  <c r="N86" i="19"/>
  <c r="Y85" i="19"/>
  <c r="X85" i="19"/>
  <c r="W85" i="19"/>
  <c r="N85" i="19"/>
  <c r="X84" i="19"/>
  <c r="W84" i="19"/>
  <c r="N84" i="19"/>
  <c r="Y83" i="19"/>
  <c r="X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X70" i="19"/>
  <c r="AD62" i="19"/>
  <c r="W62" i="19"/>
  <c r="I62" i="19"/>
  <c r="A62" i="19"/>
  <c r="I61" i="19"/>
  <c r="A61" i="19"/>
  <c r="AD32" i="19"/>
  <c r="W32" i="19"/>
  <c r="B18" i="21" s="1"/>
  <c r="P32" i="19"/>
  <c r="B16" i="21" s="1"/>
  <c r="I32" i="19"/>
  <c r="A32" i="19"/>
  <c r="B12" i="21" s="1"/>
  <c r="AD6" i="19"/>
  <c r="W6" i="19"/>
  <c r="B17" i="21" s="1"/>
  <c r="I6" i="19"/>
  <c r="B13" i="21" s="1"/>
  <c r="A6" i="19"/>
  <c r="B11" i="21" s="1"/>
  <c r="A52" i="23"/>
  <c r="A51" i="23"/>
  <c r="B123" i="21"/>
  <c r="P61" i="19" s="1"/>
  <c r="B62" i="21"/>
  <c r="H33" i="21"/>
  <c r="H34" i="21" s="1"/>
  <c r="H35" i="21" s="1"/>
  <c r="H36" i="21" s="1"/>
  <c r="H37" i="21" s="1"/>
  <c r="H38" i="21" s="1"/>
  <c r="H40" i="21" s="1"/>
  <c r="H32" i="21"/>
  <c r="H27" i="21"/>
  <c r="H26" i="21"/>
  <c r="H28" i="21" s="1"/>
  <c r="H29" i="21" s="1"/>
  <c r="H31" i="21" s="1"/>
  <c r="H24" i="21"/>
  <c r="B20" i="21"/>
  <c r="B19" i="21"/>
  <c r="B15" i="21"/>
  <c r="B14" i="21"/>
  <c r="Z78" i="19" l="1"/>
  <c r="W104" i="19"/>
  <c r="Y104" i="19"/>
  <c r="W115" i="19"/>
  <c r="Y78" i="19"/>
  <c r="X104" i="19"/>
  <c r="X115" i="19"/>
  <c r="H43" i="21"/>
  <c r="H41" i="21"/>
  <c r="X121" i="19"/>
  <c r="X82" i="19"/>
  <c r="X100" i="19" s="1"/>
  <c r="X111" i="19" s="1"/>
  <c r="Y70" i="19"/>
  <c r="X128" i="19"/>
  <c r="W86" i="19"/>
  <c r="W87" i="19"/>
  <c r="W91" i="19"/>
  <c r="X92" i="19"/>
  <c r="X93" i="19" s="1"/>
  <c r="X95" i="19" s="1"/>
  <c r="Y82" i="19"/>
  <c r="Y100" i="19" s="1"/>
  <c r="Y111" i="19" s="1"/>
  <c r="Z70" i="19"/>
  <c r="Y128" i="19"/>
  <c r="D117" i="19"/>
  <c r="D118" i="19" s="1"/>
  <c r="D130" i="19"/>
  <c r="Y89" i="19"/>
  <c r="X78" i="19"/>
  <c r="Y115" i="19"/>
  <c r="Y121" i="19"/>
  <c r="X130" i="19"/>
  <c r="X129" i="19"/>
  <c r="Y84" i="19"/>
  <c r="Y93" i="19" s="1"/>
  <c r="Y95" i="19" s="1"/>
  <c r="Y130" i="19"/>
  <c r="Y129" i="19"/>
  <c r="G224" i="19"/>
  <c r="P62" i="19"/>
  <c r="W83" i="19"/>
  <c r="D121" i="19"/>
  <c r="D122" i="19" s="1"/>
  <c r="W82" i="19"/>
  <c r="W100" i="19" s="1"/>
  <c r="W111" i="19" s="1"/>
  <c r="H52" i="24"/>
  <c r="A52" i="24"/>
  <c r="W61" i="19"/>
  <c r="B61" i="21"/>
  <c r="H53" i="24"/>
  <c r="A53" i="24"/>
  <c r="AD61" i="19"/>
  <c r="C125" i="19"/>
  <c r="C126" i="19" s="1"/>
  <c r="C129" i="19"/>
  <c r="C130" i="19" s="1"/>
  <c r="O224" i="19"/>
  <c r="P224" i="19" l="1"/>
  <c r="R224" i="19"/>
  <c r="M224" i="19"/>
  <c r="S224" i="19"/>
  <c r="L224" i="19"/>
  <c r="W92" i="19"/>
  <c r="W93" i="19"/>
  <c r="W95" i="19" s="1"/>
  <c r="H44" i="2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<sst xmlns="http://schemas.openxmlformats.org/spreadsheetml/2006/main" count="1537" uniqueCount="245">
  <si>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</si>
  <si>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</si>
  <si>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</si>
  <si>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</si>
  <si>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</si>
  <si>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</si>
  <si>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</si>
  <si>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</si>
  <si>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</si>
  <si>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</si>
  <si>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</si>
  <si>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</si>
  <si>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</si>
  <si>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</si>
  <si>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</si>
  <si>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</si>
  <si>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</si>
  <si>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</si>
  <si>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</si>
  <si>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</si>
  <si>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</si>
  <si>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</si>
  <si>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</si>
  <si>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</si>
  <si>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</si>
  <si>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</si>
  <si>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</si>
  <si>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</si>
  <si>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</si>
  <si>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</si>
  <si>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</si>
  <si>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</si>
  <si>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</si>
  <si>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</si>
  <si>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</si>
  <si>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</si>
  <si>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</si>
  <si>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</si>
  <si>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</si>
  <si>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</si>
  <si>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</si>
  <si>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</si>
  <si>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</si>
  <si>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</si>
  <si>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</si>
  <si>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</si>
  <si>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</si>
  <si>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</si>
  <si>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</si>
  <si>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</si>
  <si>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</si>
  <si>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</si>
  <si>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</si>
  <si>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</si>
  <si>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</si>
  <si>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</si>
  <si>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</si>
  <si>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</si>
  <si>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</si>
  <si>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</si>
  <si>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</si>
  <si>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</si>
  <si>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</si>
  <si>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</si>
  <si>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</si>
  <si>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</si>
  <si>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</si>
  <si>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</si>
  <si>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</si>
  <si>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</si>
  <si>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</si>
  <si>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</si>
  <si>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</si>
  <si>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</si>
  <si>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</si>
  <si>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</si>
  <si>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</si>
  <si>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</si>
  <si>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</si>
  <si>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</si>
  <si>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</si>
  <si>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</si>
  <si>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</si>
  <si>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</si>
  <si>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</si>
  <si>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</si>
  <si>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</si>
  <si>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</si>
  <si>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</si>
  <si>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</si>
  <si>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</si>
  <si>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</si>
  <si>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</si>
  <si>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</si>
  <si>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</si>
  <si>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</si>
  <si>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</si>
  <si>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</si>
  <si>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</si>
  <si>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</si>
  <si>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</si>
  <si>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</si>
  <si>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</si>
  <si>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</si>
  <si>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</si>
  <si>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</si>
  <si>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</si>
  <si>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</si>
  <si>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</si>
  <si>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</si>
  <si>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</si>
  <si>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</si>
  <si>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</si>
  <si>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</si>
  <si>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</si>
  <si>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</si>
  <si>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</si>
  <si>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</si>
  <si>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</si>
  <si>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</si>
  <si>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</si>
  <si>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</si>
  <si>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</si>
  <si>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</si>
  <si>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</si>
  <si>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</si>
  <si>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</si>
  <si>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</si>
  <si>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</si>
  <si>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</si>
  <si>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</si>
  <si>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</si>
  <si>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</si>
  <si>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</si>
  <si>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</si>
  <si>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</si>
  <si>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</si>
  <si>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</si>
  <si>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</si>
  <si>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</si>
  <si>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</si>
  <si>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</si>
  <si>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</si>
  <si>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</si>
  <si>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</si>
  <si>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</si>
  <si>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</si>
  <si>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</si>
  <si>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</si>
  <si>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</si>
  <si>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</si>
  <si>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</si>
  <si>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</si>
  <si>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</si>
  <si>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</si>
  <si>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</si>
  <si>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</si>
  <si>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</si>
  <si>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</si>
  <si>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</si>
  <si>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</si>
  <si>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</si>
  <si>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</si>
  <si>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</si>
  <si>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</si>
  <si>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</si>
  <si>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</si>
  <si>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</si>
  <si>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</si>
  <si>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</si>
  <si>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</si>
  <si>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</si>
  <si>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</si>
  <si>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</si>
  <si>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</si>
  <si>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</si>
  <si>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</si>
  <si>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</si>
  <si>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</si>
  <si>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</si>
  <si>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</si>
  <si>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</si>
  <si>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</si>
  <si>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</si>
  <si>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</si>
  <si>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</si>
  <si>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</si>
  <si>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</si>
  <si>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</si>
  <si>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</si>
  <si>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</si>
  <si>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</si>
  <si>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</si>
  <si>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</si>
  <si>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</si>
  <si>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</si>
  <si>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</si>
  <si>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</si>
  <si>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</si>
  <si>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</si>
  <si>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</si>
  <si>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</si>
  <si>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</si>
  <si>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</si>
  <si>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</si>
  <si>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</si>
  <si>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</si>
  <si>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</si>
  <si>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</si>
  <si>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</si>
  <si>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</si>
  <si>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</si>
  <si>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</si>
  <si>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</si>
  <si>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</si>
  <si>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</si>
  <si>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</si>
  <si>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</si>
  <si>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</si>
  <si>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</si>
  <si>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</si>
  <si>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</si>
  <si>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</si>
  <si>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</si>
  <si>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</si>
  <si>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</si>
  <si>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</si>
  <si>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</si>
  <si>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</si>
  <si>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</si>
  <si>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</si>
  <si>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</si>
  <si>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</si>
  <si>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punkt 4. Prinsipper, begreper og definisjoner på side 27.</t>
  </si>
  <si>
    <t>Fysioterapeut/kiropraktor</t>
  </si>
  <si>
    <t>(2019)</t>
  </si>
  <si>
    <t>2018</t>
  </si>
  <si>
    <t>2019</t>
  </si>
  <si>
    <t>2020</t>
  </si>
  <si>
    <t>18-20</t>
  </si>
  <si>
    <t>19-20</t>
  </si>
  <si>
    <t>*</t>
  </si>
  <si>
    <t>Hittil i år</t>
  </si>
  <si>
    <t>Finans Norge / Skadeforsikringsstatistikk</t>
  </si>
  <si>
    <t>Skadestatistikk for landbasert forsikring 3. kvartal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</si>
</sst>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cellStyleXfs>
  <cellXfs count="218">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0" fontId="3" fillId="0" borderId="0" xfId="4"/>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26" fillId="0" borderId="0" xfId="9" applyFont="1"/>
    <xf numFmtId="0" fontId="3" fillId="0" borderId="0" xfId="9"/>
    <xf numFmtId="0" fontId="0" fillId="0" borderId="0" xfId="9" applyFont="1"/>
    <xf numFmtId="0" fontId="27" fillId="0" borderId="0" xfId="9" applyFont="1" applyAlignment="1">
      <alignment horizontal="right"/>
    </xf>
    <xf numFmtId="0" fontId="29" fillId="0" borderId="0" xfId="9" applyFont="1" applyAlignment="1">
      <alignment horizontal="left"/>
    </xf>
    <xf numFmtId="0" fontId="32"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30" fillId="0" borderId="0" xfId="9" applyFont="1" applyAlignment="1">
      <alignment horizontal="left"/>
    </xf>
    <xf numFmtId="14" fontId="31" fillId="0" borderId="0" xfId="9" applyNumberFormat="1" applyFont="1" applyAlignment="1">
      <alignment horizontal="left"/>
    </xf>
    <xf numFmtId="0" fontId="31" fillId="0" borderId="0" xfId="9" applyFont="1" applyAlignment="1">
      <alignment horizontal="left"/>
    </xf>
    <xf numFmtId="0" fontId="33" fillId="0" borderId="0" xfId="4" applyFont="1" applyAlignment="1">
      <alignment vertical="center"/>
    </xf>
    <xf numFmtId="0" fontId="34" fillId="0" borderId="0" xfId="4" applyFont="1" applyAlignment="1">
      <alignment vertical="center"/>
    </xf>
    <xf numFmtId="0" fontId="35" fillId="0" borderId="0" xfId="4" applyFont="1"/>
    <xf numFmtId="14" fontId="28" fillId="0" borderId="0" xfId="9" applyNumberFormat="1" applyFont="1"/>
    <xf numFmtId="14" fontId="36"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67" fontId="39" fillId="0" borderId="0" xfId="0" applyNumberFormat="1" applyFont="1"/>
    <xf numFmtId="3"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0" borderId="28" xfId="0" applyNumberFormat="1" applyFont="1" applyBorder="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5">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'Tab2'!$B$71:$B$221</c:f>
              <c:numCache>
                <c:formatCode>General</c:formatCode>
                <c:ptCount val="15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'Tab2'!$C$71:$C$221</c:f>
              <c:numCache>
                <c:formatCode>General</c:formatCode>
                <c:ptCount val="151"/>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'Tab2'!$B$71:$B$221</c:f>
              <c:numCache>
                <c:formatCode>General</c:formatCode>
                <c:ptCount val="15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'Tab2'!$D$71:$D$221</c:f>
              <c:numCache>
                <c:formatCode>General</c:formatCode>
                <c:ptCount val="151"/>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'Tab2'!$K$103:$K$221</c:f>
              <c:numCache>
                <c:formatCode>General</c:formatCode>
                <c:ptCount val="11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'Tab2'!$T$103:$T$221</c:f>
              <c:numCache>
                <c:formatCode>#\ ##0.0</c:formatCode>
                <c:ptCount val="119"/>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pt idx="117">
                  <c:v>124.32672386453578</c:v>
                </c:pt>
                <c:pt idx="118">
                  <c:v>156.60407239261983</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'Tab2'!$K$103:$K$221</c:f>
              <c:numCache>
                <c:formatCode>General</c:formatCode>
                <c:ptCount val="11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'Tab2'!$R$103:$R$221</c:f>
              <c:numCache>
                <c:formatCode>#,##0</c:formatCode>
                <c:ptCount val="119"/>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158.41184045642638</c:v>
                </c:pt>
                <c:pt idx="1">
                  <c:v>1318.6882112382611</c:v>
                </c:pt>
                <c:pt idx="2">
                  <c:v>332.71894143146432</c:v>
                </c:pt>
                <c:pt idx="3">
                  <c:v>972.64587636951774</c:v>
                </c:pt>
                <c:pt idx="4" formatCode="0.000">
                  <c:v>9057.5616515939491</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6749.2810834624852</c:v>
                </c:pt>
                <c:pt idx="1">
                  <c:v>5286.9828060371356</c:v>
                </c:pt>
                <c:pt idx="2">
                  <c:v>1363.7842889789267</c:v>
                </c:pt>
                <c:pt idx="3">
                  <c:v>1305.4693500324836</c:v>
                </c:pt>
                <c:pt idx="4">
                  <c:v>416.25019085927642</c:v>
                </c:pt>
                <c:pt idx="5">
                  <c:v>1739.1033802745555</c:v>
                </c:pt>
                <c:pt idx="6">
                  <c:v>459.96772914450486</c:v>
                </c:pt>
                <c:pt idx="7">
                  <c:v>757.47810499964385</c:v>
                </c:pt>
                <c:pt idx="8">
                  <c:v>149.75039763065843</c:v>
                </c:pt>
                <c:pt idx="9">
                  <c:v>636.40258000706467</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6540.8636296685318</c:v>
                </c:pt>
                <c:pt idx="1">
                  <c:v>4767.1996395704155</c:v>
                </c:pt>
                <c:pt idx="2">
                  <c:v>1538.0958501144171</c:v>
                </c:pt>
                <c:pt idx="3">
                  <c:v>1281.1842179109667</c:v>
                </c:pt>
                <c:pt idx="4">
                  <c:v>567.3578591433693</c:v>
                </c:pt>
                <c:pt idx="5">
                  <c:v>1851.682857968809</c:v>
                </c:pt>
                <c:pt idx="6">
                  <c:v>434.7220534550143</c:v>
                </c:pt>
                <c:pt idx="7">
                  <c:v>893.73782567895341</c:v>
                </c:pt>
                <c:pt idx="8">
                  <c:v>247.17795775804598</c:v>
                </c:pt>
                <c:pt idx="9">
                  <c:v>765.39587172795655</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2020</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6389.0238891145445</c:v>
                </c:pt>
                <c:pt idx="1">
                  <c:v>4539.8772908809278</c:v>
                </c:pt>
                <c:pt idx="2">
                  <c:v>1346.5649977752037</c:v>
                </c:pt>
                <c:pt idx="3">
                  <c:v>1496.9494315651555</c:v>
                </c:pt>
                <c:pt idx="4">
                  <c:v>627.79056663159804</c:v>
                </c:pt>
                <c:pt idx="5">
                  <c:v>2211.642284581782</c:v>
                </c:pt>
                <c:pt idx="6">
                  <c:v>517.48476821085421</c:v>
                </c:pt>
                <c:pt idx="7">
                  <c:v>973.35082171501472</c:v>
                </c:pt>
                <c:pt idx="8">
                  <c:v>124.35932278810138</c:v>
                </c:pt>
                <c:pt idx="9">
                  <c:v>808.90768192759413</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22519.979302173913</c:v>
                </c:pt>
                <c:pt idx="1">
                  <c:v>68720.092901185766</c:v>
                </c:pt>
                <c:pt idx="2">
                  <c:v>24478.980666149069</c:v>
                </c:pt>
                <c:pt idx="3" formatCode="_ * #\ ##0_ ;_ * \-#\ ##0_ ;_ * &quot;-&quot;??_ ;_ @_ ">
                  <c:v>220900.12578111916</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28972.99261304348</c:v>
                </c:pt>
                <c:pt idx="1">
                  <c:v>69652.36959288537</c:v>
                </c:pt>
                <c:pt idx="2">
                  <c:v>28235.610242236024</c:v>
                </c:pt>
                <c:pt idx="3" formatCode="_ * #\ ##0_ ;_ * \-#\ ##0_ ;_ * &quot;-&quot;??_ ;_ @_ ">
                  <c:v>238829.96703379403</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2020</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23897.272434782608</c:v>
                </c:pt>
                <c:pt idx="1">
                  <c:v>65851.136363636368</c:v>
                </c:pt>
                <c:pt idx="2">
                  <c:v>30032.01736645963</c:v>
                </c:pt>
                <c:pt idx="3" formatCode="_ * #\ ##0_ ;_ * \-#\ ##0_ ;_ * &quot;-&quot;??_ ;_ @_ ">
                  <c:v>270870.85555580741</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4556.4177878598057</c:v>
                </c:pt>
                <c:pt idx="1">
                  <c:v>3463.9799601503</c:v>
                </c:pt>
                <c:pt idx="2">
                  <c:v>401.88905571880633</c:v>
                </c:pt>
                <c:pt idx="3">
                  <c:v>3613.9770857707081</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4258.1897042762521</c:v>
                </c:pt>
                <c:pt idx="1">
                  <c:v>3602.198749331425</c:v>
                </c:pt>
                <c:pt idx="2">
                  <c:v>418.02544216273844</c:v>
                </c:pt>
                <c:pt idx="3">
                  <c:v>3029.6493734685337</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2020</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4013.5679997518241</c:v>
                </c:pt>
                <c:pt idx="1">
                  <c:v>3380.6634540400155</c:v>
                </c:pt>
                <c:pt idx="2">
                  <c:v>430.4654792735609</c:v>
                </c:pt>
                <c:pt idx="3">
                  <c:v>3104.2042469300713</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2018</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261928</c:v>
                </c:pt>
                <c:pt idx="1">
                  <c:v>99193.467430544653</c:v>
                </c:pt>
                <c:pt idx="2">
                  <c:v>131214.51582692406</c:v>
                </c:pt>
                <c:pt idx="3">
                  <c:v>35114.516483516483</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2019</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271454.89423076925</c:v>
                </c:pt>
                <c:pt idx="1">
                  <c:v>100639.43441636582</c:v>
                </c:pt>
                <c:pt idx="2">
                  <c:v>163732.57076335477</c:v>
                </c:pt>
                <c:pt idx="3">
                  <c:v>35803.787386526514</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2020</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389077</c:v>
                </c:pt>
                <c:pt idx="1">
                  <c:v>102401.97556636843</c:v>
                </c:pt>
                <c:pt idx="2">
                  <c:v>173987.3295662638</c:v>
                </c:pt>
                <c:pt idx="3">
                  <c:v>33616.30625895843</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2018</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9968.6290523690768</c:v>
                </c:pt>
                <c:pt idx="1">
                  <c:v>7980.5069999999996</c:v>
                </c:pt>
                <c:pt idx="2">
                  <c:v>8017.5373224489795</c:v>
                </c:pt>
                <c:pt idx="3">
                  <c:v>15222.903625804425</c:v>
                </c:pt>
                <c:pt idx="4">
                  <c:v>17128.16</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2019</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8920.4557356608475</c:v>
                </c:pt>
                <c:pt idx="1">
                  <c:v>7645.16</c:v>
                </c:pt>
                <c:pt idx="2">
                  <c:v>7040.4526530612247</c:v>
                </c:pt>
                <c:pt idx="3">
                  <c:v>13638.057761732853</c:v>
                </c:pt>
                <c:pt idx="4">
                  <c:v>19854.9175</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2020</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11333.992503086034</c:v>
                </c:pt>
                <c:pt idx="1">
                  <c:v>8406.9601644300001</c:v>
                </c:pt>
                <c:pt idx="2">
                  <c:v>6161.3536816326532</c:v>
                </c:pt>
                <c:pt idx="3">
                  <c:v>15370.772092293204</c:v>
                </c:pt>
                <c:pt idx="4">
                  <c:v>19871.1175</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'Tab2'!$K$71:$K$221</c:f>
              <c:numCache>
                <c:formatCode>General</c:formatCode>
                <c:ptCount val="15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'Tab2'!$N$71:$N$221</c:f>
              <c:numCache>
                <c:formatCode>#\ ##0.0</c:formatCode>
                <c:ptCount val="151"/>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pt idx="149">
                  <c:v>993.15594837842684</c:v>
                </c:pt>
                <c:pt idx="150">
                  <c:v>1172.1868179701769</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'Tab2'!$K$71:$K$221</c:f>
              <c:numCache>
                <c:formatCode>General</c:formatCode>
                <c:ptCount val="15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'Tab2'!$L$71:$L$221</c:f>
              <c:numCache>
                <c:formatCode>#,##0</c:formatCode>
                <c:ptCount val="151"/>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'Tab2'!$K$103:$K$221</c:f>
              <c:numCache>
                <c:formatCode>General</c:formatCode>
                <c:ptCount val="11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'Tab2'!$Q$103:$Q$221</c:f>
              <c:numCache>
                <c:formatCode>#\ ##0.0</c:formatCode>
                <c:ptCount val="119"/>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pt idx="117">
                  <c:v>1183.1751341909353</c:v>
                </c:pt>
                <c:pt idx="118">
                  <c:v>1028.9420242790497</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'Tab2'!$K$103:$K$221</c:f>
              <c:numCache>
                <c:formatCode>General</c:formatCode>
                <c:ptCount val="11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'Tab2'!$O$103:$O$221</c:f>
              <c:numCache>
                <c:formatCode>#,##0</c:formatCode>
                <c:ptCount val="119"/>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8</xdr:col>
      <xdr:colOff>590931</xdr:colOff>
      <xdr:row>50</xdr:row>
      <xdr:rowOff>12331</xdr:rowOff>
    </xdr:to>
    <xdr:pic>
      <xdr:nvPicPr>
        <xdr:cNvPr id="2" name="Picture 1">
          <a:extLst>
            <a:ext uri="{FF2B5EF4-FFF2-40B4-BE49-F238E27FC236}">
              <a16:creationId xmlns:a16="http://schemas.microsoft.com/office/drawing/2014/main" id="{996FB3F2-CDC4-4B51-9622-94EA9C9ED067}"/>
            </a:ext>
          </a:extLst>
        </xdr:cNvPr>
        <xdr:cNvPicPr>
          <a:picLocks noChangeAspect="1"/>
        </xdr:cNvPicPr>
      </xdr:nvPicPr>
      <xdr:blipFill>
        <a:blip xmlns:r="http://schemas.openxmlformats.org/officeDocument/2006/relationships" r:embed="rId1"/>
        <a:stretch>
          <a:fillRect/>
        </a:stretch>
      </xdr:blipFill>
      <xdr:spPr>
        <a:xfrm>
          <a:off x="0" y="95250"/>
          <a:ext cx="7321931" cy="10394581"/>
        </a:xfrm>
        <a:prstGeom prst="rect">
          <a:avLst/>
        </a:prstGeom>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695325" y="9172575"/>
          <a:ext cx="3492517" cy="52387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3. KVARTAL 2020 </a:t>
          </a:r>
          <a:r>
            <a:rPr lang="nb-NO" sz="1000">
              <a:effectLst/>
              <a:latin typeface="Arial"/>
              <a:ea typeface="ＭＳ 明朝"/>
              <a:cs typeface="Times New Roman"/>
            </a:rPr>
            <a:t>(13. november 2020)</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353300"/>
          <a:ext cx="5638800" cy="116840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638175</xdr:colOff>
      <xdr:row>38</xdr:row>
      <xdr:rowOff>149225</xdr:rowOff>
    </xdr:from>
    <xdr:to>
      <xdr:col>7</xdr:col>
      <xdr:colOff>279428</xdr:colOff>
      <xdr:row>40</xdr:row>
      <xdr:rowOff>133434</xdr:rowOff>
    </xdr:to>
    <xdr:sp macro="" textlink="">
      <xdr:nvSpPr>
        <xdr:cNvPr id="5" name="Text Box 5">
          <a:extLst>
            <a:ext uri="{FF2B5EF4-FFF2-40B4-BE49-F238E27FC236}">
              <a16:creationId xmlns:a16="http://schemas.microsoft.com/office/drawing/2014/main" id="{00000000-0008-0000-0000-000005000000}"/>
            </a:ext>
          </a:extLst>
        </xdr:cNvPr>
        <xdr:cNvSpPr txBox="1"/>
      </xdr:nvSpPr>
      <xdr:spPr>
        <a:xfrm>
          <a:off x="638175" y="8499475"/>
          <a:ext cx="5483253" cy="36520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00000000-0008-0000-0000-000006000000}"/>
            </a:ext>
          </a:extLst>
        </xdr:cNvPr>
        <xdr:cNvSpPr txBox="1"/>
      </xdr:nvSpPr>
      <xdr:spPr>
        <a:xfrm>
          <a:off x="108858" y="771525"/>
          <a:ext cx="2085325" cy="644978"/>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52232</xdr:colOff>
      <xdr:row>2</xdr:row>
      <xdr:rowOff>12418</xdr:rowOff>
    </xdr:from>
    <xdr:to>
      <xdr:col>2</xdr:col>
      <xdr:colOff>273843</xdr:colOff>
      <xdr:row>43</xdr:row>
      <xdr:rowOff>183174</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52232" y="276187"/>
          <a:ext cx="2734746" cy="7864025"/>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HOVEDTREKK - Hjemmetilværelse og ferie i Norge</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0" i="1"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Merk: Koronatiltak startet 12.mars med nedstenging av en del virksomheter, mange på hjemmekontor og «forbud» mot utenlandsreiser. Sommeren ble mer normal, mens høsten ga økning av korona-smitte og dermed innføring av flere restriksjoner igjen.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Erstatningene for landbasert forsikring totalt hittil i år ble på 33,4 milliarder kr, mot 32,8 milliarder i fjor til samme tid. Dette gir en økning på 667 mill.kr. Reiseskader står for 360 mill.kr av denne økningen, mens brannskader og vannskader på bygning og innbo/løsøre ble redusert med hhv. 245 mill.kr og 222 mill.kr. </a:t>
          </a:r>
          <a:r>
            <a:rPr kumimoji="0" lang="en-US" sz="1000" b="0" i="1"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Merk at fjorårets september var ganske våt i deler av landet og som ga mye vannskader etter nedbør</a:t>
          </a:r>
          <a:r>
            <a:rPr kumimoji="0" lang="en-US"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Motorerstatningene på personbil ble 143 mill.kr høyere enn i fjor, mens nyttekjøretøy slik som lastebil og buss, har reduserte erstatninger (- 134 mill.kr).</a:t>
          </a:r>
        </a:p>
        <a:p>
          <a:pPr rtl="0"/>
          <a:endParaRPr lang="en-US" sz="1000" b="1" i="0">
            <a:latin typeface="Times New Roman" pitchFamily="18" charset="0"/>
            <a:ea typeface="+mn-ea"/>
            <a:cs typeface="Times New Roman" pitchFamily="18" charset="0"/>
          </a:endParaRPr>
        </a:p>
        <a:p>
          <a:pPr rtl="0"/>
          <a:r>
            <a:rPr lang="en-US" sz="1000" b="1" i="0">
              <a:latin typeface="Times New Roman" pitchFamily="18" charset="0"/>
              <a:ea typeface="+mn-ea"/>
              <a:cs typeface="Times New Roman" pitchFamily="18" charset="0"/>
            </a:rPr>
            <a:t>Motor – færre skader etter rush-trafikk, mer glass- og redningskader, færre skader på lastebil,</a:t>
          </a:r>
          <a:r>
            <a:rPr lang="en-US" sz="1000" b="1" i="0" baseline="0">
              <a:latin typeface="Times New Roman" pitchFamily="18" charset="0"/>
              <a:ea typeface="+mn-ea"/>
              <a:cs typeface="Times New Roman" pitchFamily="18" charset="0"/>
            </a:rPr>
            <a:t> </a:t>
          </a:r>
          <a:r>
            <a:rPr lang="en-US" sz="1000" b="1" i="0">
              <a:latin typeface="Times New Roman" pitchFamily="18" charset="0"/>
              <a:ea typeface="+mn-ea"/>
              <a:cs typeface="Times New Roman" pitchFamily="18" charset="0"/>
            </a:rPr>
            <a:t>buss og varebil.</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a:ln>
                <a:noFill/>
              </a:ln>
              <a:solidFill>
                <a:sysClr val="windowText" lastClr="000000"/>
              </a:solidFill>
              <a:effectLst/>
              <a:uLnTx/>
              <a:uFillTx/>
              <a:latin typeface="Times New Roman" pitchFamily="18" charset="0"/>
              <a:ea typeface="+mn-ea"/>
              <a:cs typeface="Times New Roman" pitchFamily="18" charset="0"/>
            </a:rPr>
            <a:t>På personbil er det en økning på nesten 4 % i antall meldte skader fra i fjor, mens det for lastebil, buss og varebil, er en reduksjon på 17 %. På traktor og arbeidsmaskin er det noe flere skader.  Erstatningene på personbil økte med 143 mill.kr, som hovedsakelig skyldes økt erstatning på brann (parkeringshus Sola i januar), redning og glass. Kaskoerstatning og bilansvar (kollisjoner) er redusert. For lastebil, buss og varebil er det erstatningsreduksjon på alle skadetyper og mest reduksjon på kasko</a:t>
          </a:r>
          <a:r>
            <a:rPr lang="nb-NO" sz="1000">
              <a:effectLst/>
              <a:latin typeface="+mn-lt"/>
              <a:ea typeface="+mn-ea"/>
              <a:cs typeface="+mn-cs"/>
            </a:rPr>
            <a:t>. </a:t>
          </a:r>
        </a:p>
        <a:p>
          <a:pPr rtl="0"/>
          <a:endParaRPr lang="en-US" sz="1000" b="1"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000" b="1" i="0">
              <a:latin typeface="Times New Roman" pitchFamily="18" charset="0"/>
              <a:ea typeface="+mn-ea"/>
              <a:cs typeface="Times New Roman" pitchFamily="18" charset="0"/>
            </a:rPr>
            <a:t>Hus, hjem, hytte – mindre vann- og brannskader</a:t>
          </a:r>
        </a:p>
        <a:p>
          <a:pPr marL="0" marR="0" lvl="0" indent="0" defTabSz="914400" rtl="0" eaLnBrk="1" fontAlgn="auto" latinLnBrk="0" hangingPunct="1">
            <a:lnSpc>
              <a:spcPct val="100000"/>
            </a:lnSpc>
            <a:spcBef>
              <a:spcPts val="0"/>
            </a:spcBef>
            <a:spcAft>
              <a:spcPts val="0"/>
            </a:spcAft>
            <a:buClrTx/>
            <a:buSzTx/>
            <a:buFontTx/>
            <a:buNone/>
            <a:tabLst/>
            <a:defRPr/>
          </a:pPr>
          <a:r>
            <a:rPr lang="nb-NO" sz="1000" b="0" i="0">
              <a:latin typeface="Times New Roman" pitchFamily="18" charset="0"/>
              <a:ea typeface="+mn-ea"/>
              <a:cs typeface="Times New Roman" pitchFamily="18" charset="0"/>
            </a:rPr>
            <a:t>Erstatninger på private bygninger og innbo hittil i år er på 6,4 mrd.kr, hvor brann utgjør nesten 1,9 mrd.kr og vannskadene nesten 2,2 mrd.kr. Erstatning etter både brann og vann er redusert fra i fjor til samme tid, med til sammen 465 mill.kr. I fjor var det mye regnvær i september som dermed ga mye vannskader. Erstatning samlet for villa er på nesten 4,3 mrd.kr hittil i år, noe som er en reduksjon på om lag 3 % fra i fjor, noe som i stor grad skyldes reduserte vann- og brannskader. På innbo/hjem er erstatningene på nesten 1,3 mrd. kr (en reduksjon på 3 %), også her skyldes dette i stor grad mindre vann- og brannskader. På hyttene er samlet erstatning på 672 mill.kr, en økning på 2 prosent fra i fjor, noe som hovedsakelig skyldes mer snøtyngdeskader i vinter. Skader etter tyveri/innbrudd/ran har økt på innbo/hjem, mens det fra hytter og villaer har vært færre slike skader.   </a:t>
          </a:r>
        </a:p>
        <a:p>
          <a:pPr marL="0" marR="0" lvl="0" indent="0" defTabSz="914400" rtl="0" eaLnBrk="1" fontAlgn="auto" latinLnBrk="0" hangingPunct="1">
            <a:lnSpc>
              <a:spcPct val="100000"/>
            </a:lnSpc>
            <a:spcBef>
              <a:spcPts val="0"/>
            </a:spcBef>
            <a:spcAft>
              <a:spcPts val="0"/>
            </a:spcAft>
            <a:buClrTx/>
            <a:buSzTx/>
            <a:buFontTx/>
            <a:buNone/>
            <a:tabLst/>
            <a:defRPr/>
          </a:pPr>
          <a:endParaRPr lang="nb-NO" sz="1100" b="1"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b="1" i="0">
              <a:latin typeface="Times New Roman" pitchFamily="18" charset="0"/>
              <a:ea typeface="+mn-ea"/>
              <a:cs typeface="Times New Roman" pitchFamily="18" charset="0"/>
            </a:rPr>
            <a:t> </a:t>
          </a:r>
        </a:p>
        <a:p>
          <a:pPr rtl="0"/>
          <a:endParaRPr lang="nb-NO" sz="1100" b="0" i="0" baseline="0">
            <a:latin typeface="Times New Roman" pitchFamily="18" charset="0"/>
            <a:ea typeface="+mn-ea"/>
            <a:cs typeface="Times New Roman" pitchFamily="18" charset="0"/>
          </a:endParaRPr>
        </a:p>
      </xdr:txBody>
    </xdr:sp>
    <xdr:clientData/>
  </xdr:twoCellAnchor>
  <xdr:twoCellAnchor>
    <xdr:from>
      <xdr:col>2</xdr:col>
      <xdr:colOff>293077</xdr:colOff>
      <xdr:row>2</xdr:row>
      <xdr:rowOff>6730</xdr:rowOff>
    </xdr:from>
    <xdr:to>
      <xdr:col>6</xdr:col>
      <xdr:colOff>476250</xdr:colOff>
      <xdr:row>42</xdr:row>
      <xdr:rowOff>175847</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806212" y="270499"/>
          <a:ext cx="2601057" cy="7671886"/>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000" b="1" i="0">
              <a:latin typeface="Times New Roman" pitchFamily="18" charset="0"/>
              <a:ea typeface="+mn-ea"/>
              <a:cs typeface="Times New Roman" pitchFamily="18" charset="0"/>
            </a:rPr>
            <a:t>Næringsbygg og landbruk – mindre erstatning til tross for storbrann på Sola flyplass i januar</a:t>
          </a:r>
        </a:p>
        <a:p>
          <a:pPr rtl="0"/>
          <a:r>
            <a:rPr lang="en-US" sz="1000" b="0" i="0">
              <a:latin typeface="Times New Roman" pitchFamily="18" charset="0"/>
              <a:ea typeface="+mn-ea"/>
              <a:cs typeface="Times New Roman" pitchFamily="18" charset="0"/>
            </a:rPr>
            <a:t>Samlet erstatning endte på 4,5 mrd.kr, noe som er 227 mill.kr mindre enn i fjor til samme tid. Til tross for et par større branner er brannerstatningene hittil i år 2,1 mrd.kr, 2 % lavere enn i fjor. Det har vært vannskader for 1,3 mrd. kr (1 % mindre enn i fjor). Det er en økning på 9 % i erstatning etter tyveri/innbrudd/ran sammenlignet</a:t>
          </a:r>
          <a:r>
            <a:rPr lang="en-US" sz="1000" b="0" i="0" baseline="0">
              <a:latin typeface="Times New Roman" pitchFamily="18" charset="0"/>
              <a:ea typeface="+mn-ea"/>
              <a:cs typeface="Times New Roman" pitchFamily="18" charset="0"/>
            </a:rPr>
            <a:t> med</a:t>
          </a:r>
          <a:r>
            <a:rPr lang="en-US" sz="1000" b="0" i="0">
              <a:latin typeface="Times New Roman" pitchFamily="18" charset="0"/>
              <a:ea typeface="+mn-ea"/>
              <a:cs typeface="Times New Roman" pitchFamily="18" charset="0"/>
            </a:rPr>
            <a:t> i fjor, men totalt utgjør disse erstatningene «bare» 118 mill.kr. </a:t>
          </a:r>
        </a:p>
        <a:p>
          <a:pPr rtl="0"/>
          <a:r>
            <a:rPr lang="en-US" sz="1000" b="1" i="0">
              <a:latin typeface="Times New Roman" pitchFamily="18" charset="0"/>
              <a:ea typeface="+mn-ea"/>
              <a:cs typeface="Times New Roman" pitchFamily="18" charset="0"/>
            </a:rPr>
            <a:t> </a:t>
          </a:r>
        </a:p>
        <a:p>
          <a:pPr rtl="0"/>
          <a:r>
            <a:rPr lang="en-US" sz="1000" b="1" i="0">
              <a:latin typeface="Times New Roman" pitchFamily="18" charset="0"/>
              <a:ea typeface="+mn-ea"/>
              <a:cs typeface="Times New Roman" pitchFamily="18" charset="0"/>
            </a:rPr>
            <a:t>Reise – stor koronaeffekt – mye avbestilling </a:t>
          </a:r>
        </a:p>
        <a:p>
          <a:pPr rtl="0"/>
          <a:r>
            <a:rPr lang="en-US" sz="1000" b="0" i="0">
              <a:latin typeface="Times New Roman" pitchFamily="18" charset="0"/>
              <a:ea typeface="+mn-ea"/>
              <a:cs typeface="Times New Roman" pitchFamily="18" charset="0"/>
            </a:rPr>
            <a:t>Koronapandemien har slått mest ut på reiseforsikring, siden utenlandsreiser i stor grad ble «rødmerket» og/eller frarådet. Hittil i år er det meldt 389.000 skader, 118.000 flere enn på</a:t>
          </a:r>
          <a:r>
            <a:rPr lang="en-US" sz="1000" b="0" i="0" baseline="0">
              <a:latin typeface="Times New Roman" pitchFamily="18" charset="0"/>
              <a:ea typeface="+mn-ea"/>
              <a:cs typeface="Times New Roman" pitchFamily="18" charset="0"/>
            </a:rPr>
            <a:t> </a:t>
          </a:r>
          <a:r>
            <a:rPr lang="en-US" sz="1000" b="0" i="0">
              <a:latin typeface="Times New Roman" pitchFamily="18" charset="0"/>
              <a:ea typeface="+mn-ea"/>
              <a:cs typeface="Times New Roman" pitchFamily="18" charset="0"/>
            </a:rPr>
            <a:t>samme tid i fjor. Det er hovedsakelig avbestilling som står for økningen med tre ganger så mange saker som i fjor. Mens antall meldte tyveri- og ulykkestilfeller er redusert. Det er en svak økning i antall meldte reisesykdommer, men med langt færre erstatningskroner. </a:t>
          </a:r>
        </a:p>
        <a:p>
          <a:pPr rtl="0"/>
          <a:r>
            <a:rPr lang="en-US" sz="1000" b="0" i="0">
              <a:latin typeface="Times New Roman" pitchFamily="18" charset="0"/>
              <a:ea typeface="+mn-ea"/>
              <a:cs typeface="Times New Roman" pitchFamily="18" charset="0"/>
            </a:rPr>
            <a:t>Totalerstatning på reise er 360 mill.kr høyere enn i fjor til samme tid, og utgjør 2,2 mrd. kr. Erstatning etter avbestilling er på nesten 1,2 mrd. kr, mens reisesykdomserstatning er på 485 mill.kr som er en reduksjon på hele 359 mill.kr fra i fjor. Også erstatning etter tyveri og ulykke er redusert, og utgjør samlet 303 mill.kr hittil i år (-36%). </a:t>
          </a:r>
        </a:p>
        <a:p>
          <a:pPr rtl="0"/>
          <a:r>
            <a:rPr lang="en-US" sz="1000" b="0" i="0">
              <a:latin typeface="Times New Roman" pitchFamily="18" charset="0"/>
              <a:ea typeface="+mn-ea"/>
              <a:cs typeface="Times New Roman" pitchFamily="18" charset="0"/>
            </a:rPr>
            <a:t> </a:t>
          </a:r>
        </a:p>
        <a:p>
          <a:pPr rtl="0"/>
          <a:r>
            <a:rPr lang="en-US" sz="1000" b="1" i="0">
              <a:latin typeface="Times New Roman" pitchFamily="18" charset="0"/>
              <a:ea typeface="+mn-ea"/>
              <a:cs typeface="Times New Roman" pitchFamily="18" charset="0"/>
            </a:rPr>
            <a:t>Fritidsbåt – mer båtskader som følge av hjemmeferie og varm juni</a:t>
          </a:r>
        </a:p>
        <a:p>
          <a:pPr rtl="0"/>
          <a:r>
            <a:rPr lang="en-US" sz="1000" b="0" i="0">
              <a:latin typeface="Times New Roman" pitchFamily="18" charset="0"/>
              <a:ea typeface="+mn-ea"/>
              <a:cs typeface="Times New Roman" pitchFamily="18" charset="0"/>
            </a:rPr>
            <a:t>Koronatiltak med mye hjemme-/hyttekontor (og det at mange har kjøpt fritidsbåt), har ført til mer båtbruk i år. Når været i juni i tillegg var svært fint og varmt i store deler av landet lå</a:t>
          </a:r>
          <a:r>
            <a:rPr lang="en-US" sz="1000" b="0" i="0" baseline="0">
              <a:latin typeface="Times New Roman" pitchFamily="18" charset="0"/>
              <a:ea typeface="+mn-ea"/>
              <a:cs typeface="Times New Roman" pitchFamily="18" charset="0"/>
            </a:rPr>
            <a:t> alt til rette for </a:t>
          </a:r>
          <a:r>
            <a:rPr lang="en-US" sz="1000" b="0" i="0">
              <a:latin typeface="Times New Roman" pitchFamily="18" charset="0"/>
              <a:ea typeface="+mn-ea"/>
              <a:cs typeface="Times New Roman" pitchFamily="18" charset="0"/>
            </a:rPr>
            <a:t>flere båtskader i år enn til samme tid i fjor. Antall båtskader økte med 27 %, og erstatningene økte med 19 %. Samlet er erstatningene på 517,5 mill.kr i år. Havariskadene utgjør 294 mill.kr av dette. Antall meldte havariskader er på hele 6200, noe som aldri har vært høyere. ‘Vanligvis’ er det rundt 4500 meldte havariskader i låpet</a:t>
          </a:r>
          <a:r>
            <a:rPr lang="en-US" sz="1000" b="0" i="0" baseline="0">
              <a:latin typeface="Times New Roman" pitchFamily="18" charset="0"/>
              <a:ea typeface="+mn-ea"/>
              <a:cs typeface="Times New Roman" pitchFamily="18" charset="0"/>
            </a:rPr>
            <a:t> av årets ni første måneder</a:t>
          </a:r>
          <a:r>
            <a:rPr lang="en-US" sz="1000" b="0" i="0">
              <a:latin typeface="Times New Roman" pitchFamily="18" charset="0"/>
              <a:ea typeface="+mn-ea"/>
              <a:cs typeface="Times New Roman" pitchFamily="18" charset="0"/>
            </a:rPr>
            <a:t>. Til sammenligning var 2018 en svært varm sommer, og da var det "kun" 5400 havariskader. Ansvar- og brannskader er redusert fra i fjor, men disse skaden utgjør samlet bare 26 mill.kr, mens tyveri av og fra båt økte med nesten 10 mill.kr fra i fjor og ble på 60 mill.kr.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endParaRPr lang="en-US" sz="1200" b="0" i="0" strike="noStrike">
            <a:solidFill>
              <a:srgbClr val="000000"/>
            </a:solidFill>
            <a:latin typeface="Times New Roman"/>
            <a:cs typeface="Times New Roman"/>
          </a:endParaRPr>
        </a:p>
        <a:p>
          <a:pPr lvl="0" algn="l" rtl="0">
            <a:defRPr sz="1000"/>
          </a:pPr>
          <a:r>
            <a:rPr lang="en-US" sz="1050" b="0" i="0" strike="noStrike">
              <a:solidFill>
                <a:srgbClr val="000000"/>
              </a:solidFill>
              <a:latin typeface="Times New Roman" pitchFamily="18" charset="0"/>
              <a:ea typeface="+mn-ea"/>
              <a:cs typeface="Times New Roman" pitchFamily="18" charset="0"/>
            </a:rPr>
            <a:t>  Codan  </a:t>
          </a:r>
        </a:p>
        <a:p>
          <a:pPr lvl="0" algn="l" rtl="0">
            <a:defRPr sz="1000"/>
          </a:pPr>
          <a:r>
            <a:rPr lang="en-US" sz="1050" b="0" i="0" strike="noStrike">
              <a:solidFill>
                <a:srgbClr val="000000"/>
              </a:solidFill>
              <a:latin typeface="Times New Roman" pitchFamily="18" charset="0"/>
              <a:ea typeface="+mn-ea"/>
              <a:cs typeface="Times New Roman" pitchFamily="18" charset="0"/>
            </a:rPr>
            <a:t>  Danica </a:t>
          </a:r>
        </a:p>
        <a:p>
          <a:pPr lvl="0" algn="l" rtl="0">
            <a:defRPr sz="1000"/>
          </a:pPr>
          <a:r>
            <a:rPr lang="en-US" sz="1050" b="0" i="0" strike="noStrike">
              <a:solidFill>
                <a:srgbClr val="000000"/>
              </a:solidFill>
              <a:latin typeface="Times New Roman" pitchFamily="18" charset="0"/>
              <a:ea typeface="+mn-ea"/>
              <a:cs typeface="Times New Roman" pitchFamily="18" charset="0"/>
            </a:rPr>
            <a:t>  DNB Livsforsikring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Eika 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Euro Insurance LTD </a:t>
          </a:r>
        </a:p>
        <a:p>
          <a:pPr lvl="0" algn="l" rtl="0">
            <a:defRPr sz="1000"/>
          </a:pPr>
          <a:r>
            <a:rPr lang="en-US" sz="1050" b="0" i="0" strike="noStrike">
              <a:solidFill>
                <a:srgbClr val="000000"/>
              </a:solidFill>
              <a:latin typeface="Times New Roman" pitchFamily="18" charset="0"/>
              <a:ea typeface="+mn-ea"/>
              <a:cs typeface="Times New Roman" pitchFamily="18" charset="0"/>
            </a:rPr>
            <a:t>  Fremtind Livsforsikring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Fremtind Skadeforsikring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Frende 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Gjensidige </a:t>
          </a:r>
        </a:p>
        <a:p>
          <a:pPr lvl="0" algn="l" rtl="0">
            <a:defRPr sz="1000"/>
          </a:pPr>
          <a:r>
            <a:rPr lang="en-US" sz="1050" b="0" i="0" strike="noStrike">
              <a:solidFill>
                <a:srgbClr val="000000"/>
              </a:solidFill>
              <a:latin typeface="Times New Roman" pitchFamily="18" charset="0"/>
              <a:ea typeface="+mn-ea"/>
              <a:cs typeface="Times New Roman" pitchFamily="18" charset="0"/>
            </a:rPr>
            <a:t>  If Skadeforsikring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Insr </a:t>
          </a:r>
        </a:p>
        <a:p>
          <a:pPr lvl="0" algn="l" rtl="0">
            <a:defRPr sz="1000"/>
          </a:pPr>
          <a:r>
            <a:rPr lang="en-US" sz="1050" b="0" i="0" strike="noStrike">
              <a:solidFill>
                <a:srgbClr val="000000"/>
              </a:solidFill>
              <a:latin typeface="Times New Roman" pitchFamily="18" charset="0"/>
              <a:ea typeface="+mn-ea"/>
              <a:cs typeface="Times New Roman" pitchFamily="18" charset="0"/>
            </a:rPr>
            <a:t>  Jernbanepersonalets 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KLP Skadeforsikring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KNIF Trygghet 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Landkreditt 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Møretrygd </a:t>
          </a:r>
        </a:p>
        <a:p>
          <a:pPr lvl="0" algn="l" rtl="0">
            <a:defRPr sz="1000"/>
          </a:pPr>
          <a:r>
            <a:rPr lang="en-US" sz="1050" b="0" i="0" strike="noStrike">
              <a:solidFill>
                <a:srgbClr val="000000"/>
              </a:solidFill>
              <a:latin typeface="Times New Roman" pitchFamily="18" charset="0"/>
              <a:ea typeface="+mn-ea"/>
              <a:cs typeface="Times New Roman" pitchFamily="18" charset="0"/>
            </a:rPr>
            <a:t>  Nordea </a:t>
          </a:r>
        </a:p>
        <a:p>
          <a:pPr lvl="0" algn="l" rtl="0">
            <a:defRPr sz="1000"/>
          </a:pPr>
          <a:r>
            <a:rPr lang="en-US" sz="1050" b="0" i="0" strike="noStrike">
              <a:solidFill>
                <a:srgbClr val="000000"/>
              </a:solidFill>
              <a:latin typeface="Times New Roman" pitchFamily="18" charset="0"/>
              <a:ea typeface="+mn-ea"/>
              <a:cs typeface="Times New Roman" pitchFamily="18" charset="0"/>
            </a:rPr>
            <a:t>  Oslo 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Oslo Pensjonsforsikring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Protector 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Skogbrand </a:t>
          </a:r>
        </a:p>
        <a:p>
          <a:pPr lvl="0" algn="l" rtl="0">
            <a:defRPr sz="1000"/>
          </a:pPr>
          <a:r>
            <a:rPr lang="en-US" sz="1050" b="0" i="0" strike="noStrike">
              <a:solidFill>
                <a:srgbClr val="000000"/>
              </a:solidFill>
              <a:latin typeface="Times New Roman" pitchFamily="18" charset="0"/>
              <a:ea typeface="+mn-ea"/>
              <a:cs typeface="Times New Roman" pitchFamily="18" charset="0"/>
            </a:rPr>
            <a:t>  Storebrand </a:t>
          </a:r>
        </a:p>
        <a:p>
          <a:pPr lvl="0" algn="l" rtl="0">
            <a:defRPr sz="1000"/>
          </a:pPr>
          <a:r>
            <a:rPr lang="en-US" sz="1050" b="0" i="0" strike="noStrike">
              <a:solidFill>
                <a:srgbClr val="000000"/>
              </a:solidFill>
              <a:latin typeface="Times New Roman" pitchFamily="18" charset="0"/>
              <a:ea typeface="+mn-ea"/>
              <a:cs typeface="Times New Roman" pitchFamily="18" charset="0"/>
            </a:rPr>
            <a:t>  Telenor Forsikring </a:t>
          </a:r>
        </a:p>
        <a:p>
          <a:pPr lvl="0" algn="l" rtl="0">
            <a:defRPr sz="1000"/>
          </a:pPr>
          <a:r>
            <a:rPr lang="en-US" sz="1050" b="0" i="0" strike="noStrike">
              <a:solidFill>
                <a:srgbClr val="000000"/>
              </a:solidFill>
              <a:latin typeface="Times New Roman" pitchFamily="18" charset="0"/>
              <a:ea typeface="+mn-ea"/>
              <a:cs typeface="Times New Roman" pitchFamily="18" charset="0"/>
            </a:rPr>
            <a:t>  Tryg </a:t>
          </a:r>
        </a:p>
        <a:p>
          <a:pPr lvl="0" algn="l" rtl="0">
            <a:defRPr sz="1000"/>
          </a:pPr>
          <a:r>
            <a:rPr lang="en-US" sz="1050" b="0" i="0" strike="noStrike">
              <a:solidFill>
                <a:srgbClr val="000000"/>
              </a:solidFill>
              <a:latin typeface="Times New Roman" pitchFamily="18" charset="0"/>
              <a:ea typeface="+mn-ea"/>
              <a:cs typeface="Times New Roman" pitchFamily="18" charset="0"/>
            </a:rPr>
            <a:t>  W R Berkley </a:t>
          </a:r>
        </a:p>
        <a:p>
          <a:pPr lvl="0" algn="l" rtl="0">
            <a:defRPr sz="1000"/>
          </a:pPr>
          <a:r>
            <a:rPr lang="en-US" sz="1050" b="0" i="0" strike="noStrike">
              <a:solidFill>
                <a:srgbClr val="000000"/>
              </a:solidFill>
              <a:latin typeface="Times New Roman" pitchFamily="18" charset="0"/>
              <a:ea typeface="+mn-ea"/>
              <a:cs typeface="Times New Roman" pitchFamily="18" charset="0"/>
            </a:rPr>
            <a:t>  WaterCircles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0" zoomScaleNormal="60" zoomScaleSheetLayoutView="100" workbookViewId="0"/>
  </sheetViews>
  <sheetFormatPr defaultColWidth="11.42578125" defaultRowHeight="12.75" x14ac:dyDescent="0.2"/>
  <cols>
    <col min="1" max="1" width="16.42578125" style="100" customWidth="1"/>
    <col min="2" max="4" width="11.42578125" style="100"/>
    <col min="5" max="5" width="14.140625" style="100" bestFit="1" customWidth="1"/>
    <col min="6" max="7" width="11.42578125" style="100"/>
    <col min="8" max="8" width="13.42578125" style="100" customWidth="1"/>
    <col min="9" max="9" width="11.42578125" style="100"/>
    <col min="10" max="10" width="13.42578125" style="100" bestFit="1" customWidth="1"/>
    <col min="11" max="256" width="11.42578125" style="100"/>
    <col min="257" max="257" width="16.42578125" style="100" customWidth="1"/>
    <col min="258" max="260" width="11.42578125" style="100"/>
    <col min="261" max="261" width="14.140625" style="100" bestFit="1" customWidth="1"/>
    <col min="262" max="263" width="11.42578125" style="100"/>
    <col min="264" max="264" width="13.42578125" style="100" customWidth="1"/>
    <col min="265" max="265" width="11.42578125" style="100"/>
    <col min="266" max="266" width="13.42578125" style="100" bestFit="1" customWidth="1"/>
    <col min="267" max="512" width="11.42578125" style="100"/>
    <col min="513" max="513" width="16.42578125" style="100" customWidth="1"/>
    <col min="514" max="516" width="11.42578125" style="100"/>
    <col min="517" max="517" width="14.140625" style="100" bestFit="1" customWidth="1"/>
    <col min="518" max="519" width="11.42578125" style="100"/>
    <col min="520" max="520" width="13.42578125" style="100" customWidth="1"/>
    <col min="521" max="521" width="11.42578125" style="100"/>
    <col min="522" max="522" width="13.42578125" style="100" bestFit="1" customWidth="1"/>
    <col min="523" max="768" width="11.42578125" style="100"/>
    <col min="769" max="769" width="16.42578125" style="100" customWidth="1"/>
    <col min="770" max="772" width="11.42578125" style="100"/>
    <col min="773" max="773" width="14.140625" style="100" bestFit="1" customWidth="1"/>
    <col min="774" max="775" width="11.42578125" style="100"/>
    <col min="776" max="776" width="13.42578125" style="100" customWidth="1"/>
    <col min="777" max="777" width="11.42578125" style="100"/>
    <col min="778" max="778" width="13.42578125" style="100" bestFit="1" customWidth="1"/>
    <col min="779" max="1024" width="11.42578125" style="100"/>
    <col min="1025" max="1025" width="16.42578125" style="100" customWidth="1"/>
    <col min="1026" max="1028" width="11.42578125" style="100"/>
    <col min="1029" max="1029" width="14.140625" style="100" bestFit="1" customWidth="1"/>
    <col min="1030" max="1031" width="11.42578125" style="100"/>
    <col min="1032" max="1032" width="13.42578125" style="100" customWidth="1"/>
    <col min="1033" max="1033" width="11.42578125" style="100"/>
    <col min="1034" max="1034" width="13.42578125" style="100" bestFit="1" customWidth="1"/>
    <col min="1035" max="1280" width="11.42578125" style="100"/>
    <col min="1281" max="1281" width="16.42578125" style="100" customWidth="1"/>
    <col min="1282" max="1284" width="11.42578125" style="100"/>
    <col min="1285" max="1285" width="14.140625" style="100" bestFit="1" customWidth="1"/>
    <col min="1286" max="1287" width="11.42578125" style="100"/>
    <col min="1288" max="1288" width="13.42578125" style="100" customWidth="1"/>
    <col min="1289" max="1289" width="11.42578125" style="100"/>
    <col min="1290" max="1290" width="13.42578125" style="100" bestFit="1" customWidth="1"/>
    <col min="1291" max="1536" width="11.42578125" style="100"/>
    <col min="1537" max="1537" width="16.42578125" style="100" customWidth="1"/>
    <col min="1538" max="1540" width="11.42578125" style="100"/>
    <col min="1541" max="1541" width="14.140625" style="100" bestFit="1" customWidth="1"/>
    <col min="1542" max="1543" width="11.42578125" style="100"/>
    <col min="1544" max="1544" width="13.42578125" style="100" customWidth="1"/>
    <col min="1545" max="1545" width="11.42578125" style="100"/>
    <col min="1546" max="1546" width="13.42578125" style="100" bestFit="1" customWidth="1"/>
    <col min="1547" max="1792" width="11.42578125" style="100"/>
    <col min="1793" max="1793" width="16.42578125" style="100" customWidth="1"/>
    <col min="1794" max="1796" width="11.42578125" style="100"/>
    <col min="1797" max="1797" width="14.140625" style="100" bestFit="1" customWidth="1"/>
    <col min="1798" max="1799" width="11.42578125" style="100"/>
    <col min="1800" max="1800" width="13.42578125" style="100" customWidth="1"/>
    <col min="1801" max="1801" width="11.42578125" style="100"/>
    <col min="1802" max="1802" width="13.42578125" style="100" bestFit="1" customWidth="1"/>
    <col min="1803" max="2048" width="11.42578125" style="100"/>
    <col min="2049" max="2049" width="16.42578125" style="100" customWidth="1"/>
    <col min="2050" max="2052" width="11.42578125" style="100"/>
    <col min="2053" max="2053" width="14.140625" style="100" bestFit="1" customWidth="1"/>
    <col min="2054" max="2055" width="11.42578125" style="100"/>
    <col min="2056" max="2056" width="13.42578125" style="100" customWidth="1"/>
    <col min="2057" max="2057" width="11.42578125" style="100"/>
    <col min="2058" max="2058" width="13.42578125" style="100" bestFit="1" customWidth="1"/>
    <col min="2059" max="2304" width="11.42578125" style="100"/>
    <col min="2305" max="2305" width="16.42578125" style="100" customWidth="1"/>
    <col min="2306" max="2308" width="11.42578125" style="100"/>
    <col min="2309" max="2309" width="14.140625" style="100" bestFit="1" customWidth="1"/>
    <col min="2310" max="2311" width="11.42578125" style="100"/>
    <col min="2312" max="2312" width="13.42578125" style="100" customWidth="1"/>
    <col min="2313" max="2313" width="11.42578125" style="100"/>
    <col min="2314" max="2314" width="13.42578125" style="100" bestFit="1" customWidth="1"/>
    <col min="2315" max="2560" width="11.42578125" style="100"/>
    <col min="2561" max="2561" width="16.42578125" style="100" customWidth="1"/>
    <col min="2562" max="2564" width="11.42578125" style="100"/>
    <col min="2565" max="2565" width="14.140625" style="100" bestFit="1" customWidth="1"/>
    <col min="2566" max="2567" width="11.42578125" style="100"/>
    <col min="2568" max="2568" width="13.42578125" style="100" customWidth="1"/>
    <col min="2569" max="2569" width="11.42578125" style="100"/>
    <col min="2570" max="2570" width="13.42578125" style="100" bestFit="1" customWidth="1"/>
    <col min="2571" max="2816" width="11.42578125" style="100"/>
    <col min="2817" max="2817" width="16.42578125" style="100" customWidth="1"/>
    <col min="2818" max="2820" width="11.42578125" style="100"/>
    <col min="2821" max="2821" width="14.140625" style="100" bestFit="1" customWidth="1"/>
    <col min="2822" max="2823" width="11.42578125" style="100"/>
    <col min="2824" max="2824" width="13.42578125" style="100" customWidth="1"/>
    <col min="2825" max="2825" width="11.42578125" style="100"/>
    <col min="2826" max="2826" width="13.42578125" style="100" bestFit="1" customWidth="1"/>
    <col min="2827" max="3072" width="11.42578125" style="100"/>
    <col min="3073" max="3073" width="16.42578125" style="100" customWidth="1"/>
    <col min="3074" max="3076" width="11.42578125" style="100"/>
    <col min="3077" max="3077" width="14.140625" style="100" bestFit="1" customWidth="1"/>
    <col min="3078" max="3079" width="11.42578125" style="100"/>
    <col min="3080" max="3080" width="13.42578125" style="100" customWidth="1"/>
    <col min="3081" max="3081" width="11.42578125" style="100"/>
    <col min="3082" max="3082" width="13.42578125" style="100" bestFit="1" customWidth="1"/>
    <col min="3083" max="3328" width="11.42578125" style="100"/>
    <col min="3329" max="3329" width="16.42578125" style="100" customWidth="1"/>
    <col min="3330" max="3332" width="11.42578125" style="100"/>
    <col min="3333" max="3333" width="14.140625" style="100" bestFit="1" customWidth="1"/>
    <col min="3334" max="3335" width="11.42578125" style="100"/>
    <col min="3336" max="3336" width="13.42578125" style="100" customWidth="1"/>
    <col min="3337" max="3337" width="11.42578125" style="100"/>
    <col min="3338" max="3338" width="13.42578125" style="100" bestFit="1" customWidth="1"/>
    <col min="3339" max="3584" width="11.42578125" style="100"/>
    <col min="3585" max="3585" width="16.42578125" style="100" customWidth="1"/>
    <col min="3586" max="3588" width="11.42578125" style="100"/>
    <col min="3589" max="3589" width="14.140625" style="100" bestFit="1" customWidth="1"/>
    <col min="3590" max="3591" width="11.42578125" style="100"/>
    <col min="3592" max="3592" width="13.42578125" style="100" customWidth="1"/>
    <col min="3593" max="3593" width="11.42578125" style="100"/>
    <col min="3594" max="3594" width="13.42578125" style="100" bestFit="1" customWidth="1"/>
    <col min="3595" max="3840" width="11.42578125" style="100"/>
    <col min="3841" max="3841" width="16.42578125" style="100" customWidth="1"/>
    <col min="3842" max="3844" width="11.42578125" style="100"/>
    <col min="3845" max="3845" width="14.140625" style="100" bestFit="1" customWidth="1"/>
    <col min="3846" max="3847" width="11.42578125" style="100"/>
    <col min="3848" max="3848" width="13.42578125" style="100" customWidth="1"/>
    <col min="3849" max="3849" width="11.42578125" style="100"/>
    <col min="3850" max="3850" width="13.42578125" style="100" bestFit="1" customWidth="1"/>
    <col min="3851" max="4096" width="11.42578125" style="100"/>
    <col min="4097" max="4097" width="16.42578125" style="100" customWidth="1"/>
    <col min="4098" max="4100" width="11.42578125" style="100"/>
    <col min="4101" max="4101" width="14.140625" style="100" bestFit="1" customWidth="1"/>
    <col min="4102" max="4103" width="11.42578125" style="100"/>
    <col min="4104" max="4104" width="13.42578125" style="100" customWidth="1"/>
    <col min="4105" max="4105" width="11.42578125" style="100"/>
    <col min="4106" max="4106" width="13.42578125" style="100" bestFit="1" customWidth="1"/>
    <col min="4107" max="4352" width="11.42578125" style="100"/>
    <col min="4353" max="4353" width="16.42578125" style="100" customWidth="1"/>
    <col min="4354" max="4356" width="11.42578125" style="100"/>
    <col min="4357" max="4357" width="14.140625" style="100" bestFit="1" customWidth="1"/>
    <col min="4358" max="4359" width="11.42578125" style="100"/>
    <col min="4360" max="4360" width="13.42578125" style="100" customWidth="1"/>
    <col min="4361" max="4361" width="11.42578125" style="100"/>
    <col min="4362" max="4362" width="13.42578125" style="100" bestFit="1" customWidth="1"/>
    <col min="4363" max="4608" width="11.42578125" style="100"/>
    <col min="4609" max="4609" width="16.42578125" style="100" customWidth="1"/>
    <col min="4610" max="4612" width="11.42578125" style="100"/>
    <col min="4613" max="4613" width="14.140625" style="100" bestFit="1" customWidth="1"/>
    <col min="4614" max="4615" width="11.42578125" style="100"/>
    <col min="4616" max="4616" width="13.42578125" style="100" customWidth="1"/>
    <col min="4617" max="4617" width="11.42578125" style="100"/>
    <col min="4618" max="4618" width="13.42578125" style="100" bestFit="1" customWidth="1"/>
    <col min="4619" max="4864" width="11.42578125" style="100"/>
    <col min="4865" max="4865" width="16.42578125" style="100" customWidth="1"/>
    <col min="4866" max="4868" width="11.42578125" style="100"/>
    <col min="4869" max="4869" width="14.140625" style="100" bestFit="1" customWidth="1"/>
    <col min="4870" max="4871" width="11.42578125" style="100"/>
    <col min="4872" max="4872" width="13.42578125" style="100" customWidth="1"/>
    <col min="4873" max="4873" width="11.42578125" style="100"/>
    <col min="4874" max="4874" width="13.42578125" style="100" bestFit="1" customWidth="1"/>
    <col min="4875" max="5120" width="11.42578125" style="100"/>
    <col min="5121" max="5121" width="16.42578125" style="100" customWidth="1"/>
    <col min="5122" max="5124" width="11.42578125" style="100"/>
    <col min="5125" max="5125" width="14.140625" style="100" bestFit="1" customWidth="1"/>
    <col min="5126" max="5127" width="11.42578125" style="100"/>
    <col min="5128" max="5128" width="13.42578125" style="100" customWidth="1"/>
    <col min="5129" max="5129" width="11.42578125" style="100"/>
    <col min="5130" max="5130" width="13.42578125" style="100" bestFit="1" customWidth="1"/>
    <col min="5131" max="5376" width="11.42578125" style="100"/>
    <col min="5377" max="5377" width="16.42578125" style="100" customWidth="1"/>
    <col min="5378" max="5380" width="11.42578125" style="100"/>
    <col min="5381" max="5381" width="14.140625" style="100" bestFit="1" customWidth="1"/>
    <col min="5382" max="5383" width="11.42578125" style="100"/>
    <col min="5384" max="5384" width="13.42578125" style="100" customWidth="1"/>
    <col min="5385" max="5385" width="11.42578125" style="100"/>
    <col min="5386" max="5386" width="13.42578125" style="100" bestFit="1" customWidth="1"/>
    <col min="5387" max="5632" width="11.42578125" style="100"/>
    <col min="5633" max="5633" width="16.42578125" style="100" customWidth="1"/>
    <col min="5634" max="5636" width="11.42578125" style="100"/>
    <col min="5637" max="5637" width="14.140625" style="100" bestFit="1" customWidth="1"/>
    <col min="5638" max="5639" width="11.42578125" style="100"/>
    <col min="5640" max="5640" width="13.42578125" style="100" customWidth="1"/>
    <col min="5641" max="5641" width="11.42578125" style="100"/>
    <col min="5642" max="5642" width="13.42578125" style="100" bestFit="1" customWidth="1"/>
    <col min="5643" max="5888" width="11.42578125" style="100"/>
    <col min="5889" max="5889" width="16.42578125" style="100" customWidth="1"/>
    <col min="5890" max="5892" width="11.42578125" style="100"/>
    <col min="5893" max="5893" width="14.140625" style="100" bestFit="1" customWidth="1"/>
    <col min="5894" max="5895" width="11.42578125" style="100"/>
    <col min="5896" max="5896" width="13.42578125" style="100" customWidth="1"/>
    <col min="5897" max="5897" width="11.42578125" style="100"/>
    <col min="5898" max="5898" width="13.42578125" style="100" bestFit="1" customWidth="1"/>
    <col min="5899" max="6144" width="11.42578125" style="100"/>
    <col min="6145" max="6145" width="16.42578125" style="100" customWidth="1"/>
    <col min="6146" max="6148" width="11.42578125" style="100"/>
    <col min="6149" max="6149" width="14.140625" style="100" bestFit="1" customWidth="1"/>
    <col min="6150" max="6151" width="11.42578125" style="100"/>
    <col min="6152" max="6152" width="13.42578125" style="100" customWidth="1"/>
    <col min="6153" max="6153" width="11.42578125" style="100"/>
    <col min="6154" max="6154" width="13.42578125" style="100" bestFit="1" customWidth="1"/>
    <col min="6155" max="6400" width="11.42578125" style="100"/>
    <col min="6401" max="6401" width="16.42578125" style="100" customWidth="1"/>
    <col min="6402" max="6404" width="11.42578125" style="100"/>
    <col min="6405" max="6405" width="14.140625" style="100" bestFit="1" customWidth="1"/>
    <col min="6406" max="6407" width="11.42578125" style="100"/>
    <col min="6408" max="6408" width="13.42578125" style="100" customWidth="1"/>
    <col min="6409" max="6409" width="11.42578125" style="100"/>
    <col min="6410" max="6410" width="13.42578125" style="100" bestFit="1" customWidth="1"/>
    <col min="6411" max="6656" width="11.42578125" style="100"/>
    <col min="6657" max="6657" width="16.42578125" style="100" customWidth="1"/>
    <col min="6658" max="6660" width="11.42578125" style="100"/>
    <col min="6661" max="6661" width="14.140625" style="100" bestFit="1" customWidth="1"/>
    <col min="6662" max="6663" width="11.42578125" style="100"/>
    <col min="6664" max="6664" width="13.42578125" style="100" customWidth="1"/>
    <col min="6665" max="6665" width="11.42578125" style="100"/>
    <col min="6666" max="6666" width="13.42578125" style="100" bestFit="1" customWidth="1"/>
    <col min="6667" max="6912" width="11.42578125" style="100"/>
    <col min="6913" max="6913" width="16.42578125" style="100" customWidth="1"/>
    <col min="6914" max="6916" width="11.42578125" style="100"/>
    <col min="6917" max="6917" width="14.140625" style="100" bestFit="1" customWidth="1"/>
    <col min="6918" max="6919" width="11.42578125" style="100"/>
    <col min="6920" max="6920" width="13.42578125" style="100" customWidth="1"/>
    <col min="6921" max="6921" width="11.42578125" style="100"/>
    <col min="6922" max="6922" width="13.42578125" style="100" bestFit="1" customWidth="1"/>
    <col min="6923" max="7168" width="11.42578125" style="100"/>
    <col min="7169" max="7169" width="16.42578125" style="100" customWidth="1"/>
    <col min="7170" max="7172" width="11.42578125" style="100"/>
    <col min="7173" max="7173" width="14.140625" style="100" bestFit="1" customWidth="1"/>
    <col min="7174" max="7175" width="11.42578125" style="100"/>
    <col min="7176" max="7176" width="13.42578125" style="100" customWidth="1"/>
    <col min="7177" max="7177" width="11.42578125" style="100"/>
    <col min="7178" max="7178" width="13.42578125" style="100" bestFit="1" customWidth="1"/>
    <col min="7179" max="7424" width="11.42578125" style="100"/>
    <col min="7425" max="7425" width="16.42578125" style="100" customWidth="1"/>
    <col min="7426" max="7428" width="11.42578125" style="100"/>
    <col min="7429" max="7429" width="14.140625" style="100" bestFit="1" customWidth="1"/>
    <col min="7430" max="7431" width="11.42578125" style="100"/>
    <col min="7432" max="7432" width="13.42578125" style="100" customWidth="1"/>
    <col min="7433" max="7433" width="11.42578125" style="100"/>
    <col min="7434" max="7434" width="13.42578125" style="100" bestFit="1" customWidth="1"/>
    <col min="7435" max="7680" width="11.42578125" style="100"/>
    <col min="7681" max="7681" width="16.42578125" style="100" customWidth="1"/>
    <col min="7682" max="7684" width="11.42578125" style="100"/>
    <col min="7685" max="7685" width="14.140625" style="100" bestFit="1" customWidth="1"/>
    <col min="7686" max="7687" width="11.42578125" style="100"/>
    <col min="7688" max="7688" width="13.42578125" style="100" customWidth="1"/>
    <col min="7689" max="7689" width="11.42578125" style="100"/>
    <col min="7690" max="7690" width="13.42578125" style="100" bestFit="1" customWidth="1"/>
    <col min="7691" max="7936" width="11.42578125" style="100"/>
    <col min="7937" max="7937" width="16.42578125" style="100" customWidth="1"/>
    <col min="7938" max="7940" width="11.42578125" style="100"/>
    <col min="7941" max="7941" width="14.140625" style="100" bestFit="1" customWidth="1"/>
    <col min="7942" max="7943" width="11.42578125" style="100"/>
    <col min="7944" max="7944" width="13.42578125" style="100" customWidth="1"/>
    <col min="7945" max="7945" width="11.42578125" style="100"/>
    <col min="7946" max="7946" width="13.42578125" style="100" bestFit="1" customWidth="1"/>
    <col min="7947" max="8192" width="11.42578125" style="100"/>
    <col min="8193" max="8193" width="16.42578125" style="100" customWidth="1"/>
    <col min="8194" max="8196" width="11.42578125" style="100"/>
    <col min="8197" max="8197" width="14.140625" style="100" bestFit="1" customWidth="1"/>
    <col min="8198" max="8199" width="11.42578125" style="100"/>
    <col min="8200" max="8200" width="13.42578125" style="100" customWidth="1"/>
    <col min="8201" max="8201" width="11.42578125" style="100"/>
    <col min="8202" max="8202" width="13.42578125" style="100" bestFit="1" customWidth="1"/>
    <col min="8203" max="8448" width="11.42578125" style="100"/>
    <col min="8449" max="8449" width="16.42578125" style="100" customWidth="1"/>
    <col min="8450" max="8452" width="11.42578125" style="100"/>
    <col min="8453" max="8453" width="14.140625" style="100" bestFit="1" customWidth="1"/>
    <col min="8454" max="8455" width="11.42578125" style="100"/>
    <col min="8456" max="8456" width="13.42578125" style="100" customWidth="1"/>
    <col min="8457" max="8457" width="11.42578125" style="100"/>
    <col min="8458" max="8458" width="13.42578125" style="100" bestFit="1" customWidth="1"/>
    <col min="8459" max="8704" width="11.42578125" style="100"/>
    <col min="8705" max="8705" width="16.42578125" style="100" customWidth="1"/>
    <col min="8706" max="8708" width="11.42578125" style="100"/>
    <col min="8709" max="8709" width="14.140625" style="100" bestFit="1" customWidth="1"/>
    <col min="8710" max="8711" width="11.42578125" style="100"/>
    <col min="8712" max="8712" width="13.42578125" style="100" customWidth="1"/>
    <col min="8713" max="8713" width="11.42578125" style="100"/>
    <col min="8714" max="8714" width="13.42578125" style="100" bestFit="1" customWidth="1"/>
    <col min="8715" max="8960" width="11.42578125" style="100"/>
    <col min="8961" max="8961" width="16.42578125" style="100" customWidth="1"/>
    <col min="8962" max="8964" width="11.42578125" style="100"/>
    <col min="8965" max="8965" width="14.140625" style="100" bestFit="1" customWidth="1"/>
    <col min="8966" max="8967" width="11.42578125" style="100"/>
    <col min="8968" max="8968" width="13.42578125" style="100" customWidth="1"/>
    <col min="8969" max="8969" width="11.42578125" style="100"/>
    <col min="8970" max="8970" width="13.42578125" style="100" bestFit="1" customWidth="1"/>
    <col min="8971" max="9216" width="11.42578125" style="100"/>
    <col min="9217" max="9217" width="16.42578125" style="100" customWidth="1"/>
    <col min="9218" max="9220" width="11.42578125" style="100"/>
    <col min="9221" max="9221" width="14.140625" style="100" bestFit="1" customWidth="1"/>
    <col min="9222" max="9223" width="11.42578125" style="100"/>
    <col min="9224" max="9224" width="13.42578125" style="100" customWidth="1"/>
    <col min="9225" max="9225" width="11.42578125" style="100"/>
    <col min="9226" max="9226" width="13.42578125" style="100" bestFit="1" customWidth="1"/>
    <col min="9227" max="9472" width="11.42578125" style="100"/>
    <col min="9473" max="9473" width="16.42578125" style="100" customWidth="1"/>
    <col min="9474" max="9476" width="11.42578125" style="100"/>
    <col min="9477" max="9477" width="14.140625" style="100" bestFit="1" customWidth="1"/>
    <col min="9478" max="9479" width="11.42578125" style="100"/>
    <col min="9480" max="9480" width="13.42578125" style="100" customWidth="1"/>
    <col min="9481" max="9481" width="11.42578125" style="100"/>
    <col min="9482" max="9482" width="13.42578125" style="100" bestFit="1" customWidth="1"/>
    <col min="9483" max="9728" width="11.42578125" style="100"/>
    <col min="9729" max="9729" width="16.42578125" style="100" customWidth="1"/>
    <col min="9730" max="9732" width="11.42578125" style="100"/>
    <col min="9733" max="9733" width="14.140625" style="100" bestFit="1" customWidth="1"/>
    <col min="9734" max="9735" width="11.42578125" style="100"/>
    <col min="9736" max="9736" width="13.42578125" style="100" customWidth="1"/>
    <col min="9737" max="9737" width="11.42578125" style="100"/>
    <col min="9738" max="9738" width="13.42578125" style="100" bestFit="1" customWidth="1"/>
    <col min="9739" max="9984" width="11.42578125" style="100"/>
    <col min="9985" max="9985" width="16.42578125" style="100" customWidth="1"/>
    <col min="9986" max="9988" width="11.42578125" style="100"/>
    <col min="9989" max="9989" width="14.140625" style="100" bestFit="1" customWidth="1"/>
    <col min="9990" max="9991" width="11.42578125" style="100"/>
    <col min="9992" max="9992" width="13.42578125" style="100" customWidth="1"/>
    <col min="9993" max="9993" width="11.42578125" style="100"/>
    <col min="9994" max="9994" width="13.42578125" style="100" bestFit="1" customWidth="1"/>
    <col min="9995" max="10240" width="11.42578125" style="100"/>
    <col min="10241" max="10241" width="16.42578125" style="100" customWidth="1"/>
    <col min="10242" max="10244" width="11.42578125" style="100"/>
    <col min="10245" max="10245" width="14.140625" style="100" bestFit="1" customWidth="1"/>
    <col min="10246" max="10247" width="11.42578125" style="100"/>
    <col min="10248" max="10248" width="13.42578125" style="100" customWidth="1"/>
    <col min="10249" max="10249" width="11.42578125" style="100"/>
    <col min="10250" max="10250" width="13.42578125" style="100" bestFit="1" customWidth="1"/>
    <col min="10251" max="10496" width="11.42578125" style="100"/>
    <col min="10497" max="10497" width="16.42578125" style="100" customWidth="1"/>
    <col min="10498" max="10500" width="11.42578125" style="100"/>
    <col min="10501" max="10501" width="14.140625" style="100" bestFit="1" customWidth="1"/>
    <col min="10502" max="10503" width="11.42578125" style="100"/>
    <col min="10504" max="10504" width="13.42578125" style="100" customWidth="1"/>
    <col min="10505" max="10505" width="11.42578125" style="100"/>
    <col min="10506" max="10506" width="13.42578125" style="100" bestFit="1" customWidth="1"/>
    <col min="10507" max="10752" width="11.42578125" style="100"/>
    <col min="10753" max="10753" width="16.42578125" style="100" customWidth="1"/>
    <col min="10754" max="10756" width="11.42578125" style="100"/>
    <col min="10757" max="10757" width="14.140625" style="100" bestFit="1" customWidth="1"/>
    <col min="10758" max="10759" width="11.42578125" style="100"/>
    <col min="10760" max="10760" width="13.42578125" style="100" customWidth="1"/>
    <col min="10761" max="10761" width="11.42578125" style="100"/>
    <col min="10762" max="10762" width="13.42578125" style="100" bestFit="1" customWidth="1"/>
    <col min="10763" max="11008" width="11.42578125" style="100"/>
    <col min="11009" max="11009" width="16.42578125" style="100" customWidth="1"/>
    <col min="11010" max="11012" width="11.42578125" style="100"/>
    <col min="11013" max="11013" width="14.140625" style="100" bestFit="1" customWidth="1"/>
    <col min="11014" max="11015" width="11.42578125" style="100"/>
    <col min="11016" max="11016" width="13.42578125" style="100" customWidth="1"/>
    <col min="11017" max="11017" width="11.42578125" style="100"/>
    <col min="11018" max="11018" width="13.42578125" style="100" bestFit="1" customWidth="1"/>
    <col min="11019" max="11264" width="11.42578125" style="100"/>
    <col min="11265" max="11265" width="16.42578125" style="100" customWidth="1"/>
    <col min="11266" max="11268" width="11.42578125" style="100"/>
    <col min="11269" max="11269" width="14.140625" style="100" bestFit="1" customWidth="1"/>
    <col min="11270" max="11271" width="11.42578125" style="100"/>
    <col min="11272" max="11272" width="13.42578125" style="100" customWidth="1"/>
    <col min="11273" max="11273" width="11.42578125" style="100"/>
    <col min="11274" max="11274" width="13.42578125" style="100" bestFit="1" customWidth="1"/>
    <col min="11275" max="11520" width="11.42578125" style="100"/>
    <col min="11521" max="11521" width="16.42578125" style="100" customWidth="1"/>
    <col min="11522" max="11524" width="11.42578125" style="100"/>
    <col min="11525" max="11525" width="14.140625" style="100" bestFit="1" customWidth="1"/>
    <col min="11526" max="11527" width="11.42578125" style="100"/>
    <col min="11528" max="11528" width="13.42578125" style="100" customWidth="1"/>
    <col min="11529" max="11529" width="11.42578125" style="100"/>
    <col min="11530" max="11530" width="13.42578125" style="100" bestFit="1" customWidth="1"/>
    <col min="11531" max="11776" width="11.42578125" style="100"/>
    <col min="11777" max="11777" width="16.42578125" style="100" customWidth="1"/>
    <col min="11778" max="11780" width="11.42578125" style="100"/>
    <col min="11781" max="11781" width="14.140625" style="100" bestFit="1" customWidth="1"/>
    <col min="11782" max="11783" width="11.42578125" style="100"/>
    <col min="11784" max="11784" width="13.42578125" style="100" customWidth="1"/>
    <col min="11785" max="11785" width="11.42578125" style="100"/>
    <col min="11786" max="11786" width="13.42578125" style="100" bestFit="1" customWidth="1"/>
    <col min="11787" max="12032" width="11.42578125" style="100"/>
    <col min="12033" max="12033" width="16.42578125" style="100" customWidth="1"/>
    <col min="12034" max="12036" width="11.42578125" style="100"/>
    <col min="12037" max="12037" width="14.140625" style="100" bestFit="1" customWidth="1"/>
    <col min="12038" max="12039" width="11.42578125" style="100"/>
    <col min="12040" max="12040" width="13.42578125" style="100" customWidth="1"/>
    <col min="12041" max="12041" width="11.42578125" style="100"/>
    <col min="12042" max="12042" width="13.42578125" style="100" bestFit="1" customWidth="1"/>
    <col min="12043" max="12288" width="11.42578125" style="100"/>
    <col min="12289" max="12289" width="16.42578125" style="100" customWidth="1"/>
    <col min="12290" max="12292" width="11.42578125" style="100"/>
    <col min="12293" max="12293" width="14.140625" style="100" bestFit="1" customWidth="1"/>
    <col min="12294" max="12295" width="11.42578125" style="100"/>
    <col min="12296" max="12296" width="13.42578125" style="100" customWidth="1"/>
    <col min="12297" max="12297" width="11.42578125" style="100"/>
    <col min="12298" max="12298" width="13.42578125" style="100" bestFit="1" customWidth="1"/>
    <col min="12299" max="12544" width="11.42578125" style="100"/>
    <col min="12545" max="12545" width="16.42578125" style="100" customWidth="1"/>
    <col min="12546" max="12548" width="11.42578125" style="100"/>
    <col min="12549" max="12549" width="14.140625" style="100" bestFit="1" customWidth="1"/>
    <col min="12550" max="12551" width="11.42578125" style="100"/>
    <col min="12552" max="12552" width="13.42578125" style="100" customWidth="1"/>
    <col min="12553" max="12553" width="11.42578125" style="100"/>
    <col min="12554" max="12554" width="13.42578125" style="100" bestFit="1" customWidth="1"/>
    <col min="12555" max="12800" width="11.42578125" style="100"/>
    <col min="12801" max="12801" width="16.42578125" style="100" customWidth="1"/>
    <col min="12802" max="12804" width="11.42578125" style="100"/>
    <col min="12805" max="12805" width="14.140625" style="100" bestFit="1" customWidth="1"/>
    <col min="12806" max="12807" width="11.42578125" style="100"/>
    <col min="12808" max="12808" width="13.42578125" style="100" customWidth="1"/>
    <col min="12809" max="12809" width="11.42578125" style="100"/>
    <col min="12810" max="12810" width="13.42578125" style="100" bestFit="1" customWidth="1"/>
    <col min="12811" max="13056" width="11.42578125" style="100"/>
    <col min="13057" max="13057" width="16.42578125" style="100" customWidth="1"/>
    <col min="13058" max="13060" width="11.42578125" style="100"/>
    <col min="13061" max="13061" width="14.140625" style="100" bestFit="1" customWidth="1"/>
    <col min="13062" max="13063" width="11.42578125" style="100"/>
    <col min="13064" max="13064" width="13.42578125" style="100" customWidth="1"/>
    <col min="13065" max="13065" width="11.42578125" style="100"/>
    <col min="13066" max="13066" width="13.42578125" style="100" bestFit="1" customWidth="1"/>
    <col min="13067" max="13312" width="11.42578125" style="100"/>
    <col min="13313" max="13313" width="16.42578125" style="100" customWidth="1"/>
    <col min="13314" max="13316" width="11.42578125" style="100"/>
    <col min="13317" max="13317" width="14.140625" style="100" bestFit="1" customWidth="1"/>
    <col min="13318" max="13319" width="11.42578125" style="100"/>
    <col min="13320" max="13320" width="13.42578125" style="100" customWidth="1"/>
    <col min="13321" max="13321" width="11.42578125" style="100"/>
    <col min="13322" max="13322" width="13.42578125" style="100" bestFit="1" customWidth="1"/>
    <col min="13323" max="13568" width="11.42578125" style="100"/>
    <col min="13569" max="13569" width="16.42578125" style="100" customWidth="1"/>
    <col min="13570" max="13572" width="11.42578125" style="100"/>
    <col min="13573" max="13573" width="14.140625" style="100" bestFit="1" customWidth="1"/>
    <col min="13574" max="13575" width="11.42578125" style="100"/>
    <col min="13576" max="13576" width="13.42578125" style="100" customWidth="1"/>
    <col min="13577" max="13577" width="11.42578125" style="100"/>
    <col min="13578" max="13578" width="13.42578125" style="100" bestFit="1" customWidth="1"/>
    <col min="13579" max="13824" width="11.42578125" style="100"/>
    <col min="13825" max="13825" width="16.42578125" style="100" customWidth="1"/>
    <col min="13826" max="13828" width="11.42578125" style="100"/>
    <col min="13829" max="13829" width="14.140625" style="100" bestFit="1" customWidth="1"/>
    <col min="13830" max="13831" width="11.42578125" style="100"/>
    <col min="13832" max="13832" width="13.42578125" style="100" customWidth="1"/>
    <col min="13833" max="13833" width="11.42578125" style="100"/>
    <col min="13834" max="13834" width="13.42578125" style="100" bestFit="1" customWidth="1"/>
    <col min="13835" max="14080" width="11.42578125" style="100"/>
    <col min="14081" max="14081" width="16.42578125" style="100" customWidth="1"/>
    <col min="14082" max="14084" width="11.42578125" style="100"/>
    <col min="14085" max="14085" width="14.140625" style="100" bestFit="1" customWidth="1"/>
    <col min="14086" max="14087" width="11.42578125" style="100"/>
    <col min="14088" max="14088" width="13.42578125" style="100" customWidth="1"/>
    <col min="14089" max="14089" width="11.42578125" style="100"/>
    <col min="14090" max="14090" width="13.42578125" style="100" bestFit="1" customWidth="1"/>
    <col min="14091" max="14336" width="11.42578125" style="100"/>
    <col min="14337" max="14337" width="16.42578125" style="100" customWidth="1"/>
    <col min="14338" max="14340" width="11.42578125" style="100"/>
    <col min="14341" max="14341" width="14.140625" style="100" bestFit="1" customWidth="1"/>
    <col min="14342" max="14343" width="11.42578125" style="100"/>
    <col min="14344" max="14344" width="13.42578125" style="100" customWidth="1"/>
    <col min="14345" max="14345" width="11.42578125" style="100"/>
    <col min="14346" max="14346" width="13.42578125" style="100" bestFit="1" customWidth="1"/>
    <col min="14347" max="14592" width="11.42578125" style="100"/>
    <col min="14593" max="14593" width="16.42578125" style="100" customWidth="1"/>
    <col min="14594" max="14596" width="11.42578125" style="100"/>
    <col min="14597" max="14597" width="14.140625" style="100" bestFit="1" customWidth="1"/>
    <col min="14598" max="14599" width="11.42578125" style="100"/>
    <col min="14600" max="14600" width="13.42578125" style="100" customWidth="1"/>
    <col min="14601" max="14601" width="11.42578125" style="100"/>
    <col min="14602" max="14602" width="13.42578125" style="100" bestFit="1" customWidth="1"/>
    <col min="14603" max="14848" width="11.42578125" style="100"/>
    <col min="14849" max="14849" width="16.42578125" style="100" customWidth="1"/>
    <col min="14850" max="14852" width="11.42578125" style="100"/>
    <col min="14853" max="14853" width="14.140625" style="100" bestFit="1" customWidth="1"/>
    <col min="14854" max="14855" width="11.42578125" style="100"/>
    <col min="14856" max="14856" width="13.42578125" style="100" customWidth="1"/>
    <col min="14857" max="14857" width="11.42578125" style="100"/>
    <col min="14858" max="14858" width="13.42578125" style="100" bestFit="1" customWidth="1"/>
    <col min="14859" max="15104" width="11.42578125" style="100"/>
    <col min="15105" max="15105" width="16.42578125" style="100" customWidth="1"/>
    <col min="15106" max="15108" width="11.42578125" style="100"/>
    <col min="15109" max="15109" width="14.140625" style="100" bestFit="1" customWidth="1"/>
    <col min="15110" max="15111" width="11.42578125" style="100"/>
    <col min="15112" max="15112" width="13.42578125" style="100" customWidth="1"/>
    <col min="15113" max="15113" width="11.42578125" style="100"/>
    <col min="15114" max="15114" width="13.42578125" style="100" bestFit="1" customWidth="1"/>
    <col min="15115" max="15360" width="11.42578125" style="100"/>
    <col min="15361" max="15361" width="16.42578125" style="100" customWidth="1"/>
    <col min="15362" max="15364" width="11.42578125" style="100"/>
    <col min="15365" max="15365" width="14.140625" style="100" bestFit="1" customWidth="1"/>
    <col min="15366" max="15367" width="11.42578125" style="100"/>
    <col min="15368" max="15368" width="13.42578125" style="100" customWidth="1"/>
    <col min="15369" max="15369" width="11.42578125" style="100"/>
    <col min="15370" max="15370" width="13.42578125" style="100" bestFit="1" customWidth="1"/>
    <col min="15371" max="15616" width="11.42578125" style="100"/>
    <col min="15617" max="15617" width="16.42578125" style="100" customWidth="1"/>
    <col min="15618" max="15620" width="11.42578125" style="100"/>
    <col min="15621" max="15621" width="14.140625" style="100" bestFit="1" customWidth="1"/>
    <col min="15622" max="15623" width="11.42578125" style="100"/>
    <col min="15624" max="15624" width="13.42578125" style="100" customWidth="1"/>
    <col min="15625" max="15625" width="11.42578125" style="100"/>
    <col min="15626" max="15626" width="13.42578125" style="100" bestFit="1" customWidth="1"/>
    <col min="15627" max="15872" width="11.42578125" style="100"/>
    <col min="15873" max="15873" width="16.42578125" style="100" customWidth="1"/>
    <col min="15874" max="15876" width="11.42578125" style="100"/>
    <col min="15877" max="15877" width="14.140625" style="100" bestFit="1" customWidth="1"/>
    <col min="15878" max="15879" width="11.42578125" style="100"/>
    <col min="15880" max="15880" width="13.42578125" style="100" customWidth="1"/>
    <col min="15881" max="15881" width="11.42578125" style="100"/>
    <col min="15882" max="15882" width="13.42578125" style="100" bestFit="1" customWidth="1"/>
    <col min="15883" max="16128" width="11.42578125" style="100"/>
    <col min="16129" max="16129" width="16.42578125" style="100" customWidth="1"/>
    <col min="16130" max="16132" width="11.42578125" style="100"/>
    <col min="16133" max="16133" width="14.140625" style="100" bestFit="1" customWidth="1"/>
    <col min="16134" max="16135" width="11.42578125" style="100"/>
    <col min="16136" max="16136" width="13.42578125" style="100" customWidth="1"/>
    <col min="16137" max="16137" width="11.42578125" style="100"/>
    <col min="16138" max="16138" width="13.42578125" style="100" bestFit="1" customWidth="1"/>
    <col min="16139" max="16384" width="11.42578125" style="100"/>
  </cols>
  <sheetData>
    <row r="5" spans="2:9" x14ac:dyDescent="0.2">
      <c r="B5" s="99"/>
      <c r="C5" s="99"/>
      <c r="D5" s="99"/>
      <c r="E5" s="99"/>
      <c r="F5" s="99"/>
      <c r="G5" s="99"/>
      <c r="H5" s="99"/>
    </row>
    <row r="6" spans="2:9" ht="23.25" x14ac:dyDescent="0.35">
      <c r="B6" s="101"/>
      <c r="C6" s="99"/>
      <c r="D6" s="99"/>
      <c r="E6" s="99"/>
      <c r="F6" s="99"/>
      <c r="G6" s="99"/>
      <c r="H6" s="99"/>
      <c r="I6" s="102"/>
    </row>
    <row r="7" spans="2:9" x14ac:dyDescent="0.2">
      <c r="B7" s="99"/>
      <c r="C7" s="99"/>
      <c r="D7" s="99"/>
      <c r="E7" s="99"/>
      <c r="F7" s="99"/>
      <c r="G7" s="99"/>
      <c r="H7" s="99"/>
      <c r="I7" s="99"/>
    </row>
    <row r="8" spans="2:9" x14ac:dyDescent="0.2">
      <c r="B8" s="99"/>
      <c r="C8" s="99"/>
      <c r="D8" s="99"/>
      <c r="F8" s="99"/>
      <c r="G8" s="99"/>
      <c r="H8" s="99"/>
    </row>
    <row r="9" spans="2:9" x14ac:dyDescent="0.2">
      <c r="B9" s="99"/>
      <c r="C9" s="99"/>
      <c r="D9" s="99"/>
      <c r="E9" s="99"/>
      <c r="F9" s="99"/>
      <c r="G9" s="99"/>
      <c r="H9" s="99"/>
    </row>
    <row r="10" spans="2:9" ht="23.25" x14ac:dyDescent="0.35">
      <c r="B10" s="99"/>
      <c r="C10" s="99"/>
      <c r="D10" s="99"/>
      <c r="I10" s="102"/>
    </row>
    <row r="11" spans="2:9" x14ac:dyDescent="0.2">
      <c r="B11" s="99"/>
      <c r="C11" s="99"/>
      <c r="D11" s="99"/>
    </row>
    <row r="12" spans="2:9" ht="27" customHeight="1" x14ac:dyDescent="0.35">
      <c r="B12" s="99"/>
      <c r="C12" s="99"/>
      <c r="D12" s="99"/>
      <c r="E12" s="99"/>
      <c r="F12" s="99"/>
      <c r="G12" s="99"/>
      <c r="H12" s="99"/>
      <c r="I12" s="102"/>
    </row>
    <row r="13" spans="2:9" ht="19.5" customHeight="1" x14ac:dyDescent="0.35">
      <c r="B13" s="99"/>
      <c r="C13" s="94"/>
      <c r="D13" s="94"/>
      <c r="E13" s="94"/>
      <c r="F13" s="94"/>
      <c r="G13" s="94"/>
      <c r="H13" s="94"/>
      <c r="I13" s="102"/>
    </row>
    <row r="14" spans="2:9" x14ac:dyDescent="0.2">
      <c r="B14" s="99"/>
      <c r="C14" s="99"/>
      <c r="D14" s="99"/>
      <c r="F14" s="99"/>
      <c r="G14" s="99"/>
      <c r="H14" s="99"/>
    </row>
    <row r="15" spans="2:9" x14ac:dyDescent="0.2">
      <c r="B15" s="99"/>
      <c r="C15" s="99"/>
      <c r="D15" s="99"/>
      <c r="F15" s="99"/>
      <c r="G15" s="99"/>
      <c r="H15" s="99"/>
      <c r="I15" s="99"/>
    </row>
    <row r="16" spans="2:9" ht="34.5" x14ac:dyDescent="0.45">
      <c r="B16" s="99"/>
      <c r="C16" s="99"/>
      <c r="D16" s="99"/>
      <c r="E16" s="103"/>
      <c r="F16" s="99"/>
      <c r="G16" s="99"/>
      <c r="H16" s="99"/>
      <c r="I16" s="99"/>
    </row>
    <row r="17" spans="2:9" ht="33" x14ac:dyDescent="0.45">
      <c r="B17" s="99"/>
      <c r="C17" s="99"/>
      <c r="D17" s="99"/>
      <c r="E17" s="104"/>
      <c r="F17" s="99"/>
      <c r="G17" s="99"/>
      <c r="H17" s="99"/>
      <c r="I17" s="99"/>
    </row>
    <row r="18" spans="2:9" ht="33" x14ac:dyDescent="0.45">
      <c r="D18" s="104"/>
    </row>
    <row r="19" spans="2:9" ht="18.75" x14ac:dyDescent="0.3">
      <c r="E19" s="105"/>
      <c r="I19" s="106"/>
    </row>
    <row r="21" spans="2:9" x14ac:dyDescent="0.2">
      <c r="E21" s="107"/>
    </row>
    <row r="22" spans="2:9" ht="26.25" x14ac:dyDescent="0.4">
      <c r="E22" s="108"/>
    </row>
    <row r="25" spans="2:9" ht="18.75" x14ac:dyDescent="0.3">
      <c r="E25" s="109"/>
    </row>
    <row r="26" spans="2:9" ht="18.75" x14ac:dyDescent="0.3">
      <c r="E26" s="110"/>
    </row>
    <row r="28" spans="2:9" x14ac:dyDescent="0.2">
      <c r="D28" s="94"/>
      <c r="E28" s="94"/>
      <c r="F28" s="94"/>
      <c r="G28" s="94"/>
      <c r="H28" s="94"/>
    </row>
    <row r="33" spans="1:9" ht="35.25" x14ac:dyDescent="0.2">
      <c r="A33" s="111"/>
    </row>
    <row r="36" spans="1:9" ht="33" x14ac:dyDescent="0.2">
      <c r="B36" s="112"/>
    </row>
    <row r="39" spans="1:9" ht="18" x14ac:dyDescent="0.25">
      <c r="B39" s="113"/>
    </row>
    <row r="41" spans="1:9" ht="18.75" x14ac:dyDescent="0.3">
      <c r="I41" s="114"/>
    </row>
    <row r="43" spans="1:9" ht="18.75" x14ac:dyDescent="0.3">
      <c r="B43" s="197"/>
      <c r="C43" s="197"/>
      <c r="D43" s="197"/>
    </row>
    <row r="57" spans="10:10" ht="18.75" x14ac:dyDescent="0.3">
      <c r="J57" s="115"/>
    </row>
  </sheetData>
  <mergeCells count="1">
    <mergeCell ref="B43:D43"/>
  </mergeCells>
  <pageMargins left="0.78740157480314965" right="0.78740157480314965" top="0.98425196850393704" bottom="0.98425196850393704" header="0.51181102362204722" footer="0.51181102362204722"/>
  <pageSetup paperSize="9" scale="7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1" t="s">
        <v>1</v>
      </c>
      <c r="H5" s="202"/>
    </row>
    <row r="6" spans="1:8" x14ac:dyDescent="0.2">
      <c r="A6" s="12"/>
      <c r="B6" s="13"/>
      <c r="C6" s="14" t="s">
        <v>236</v>
      </c>
      <c r="D6" s="15" t="s">
        <v>237</v>
      </c>
      <c r="E6" s="15" t="s">
        <v>238</v>
      </c>
      <c r="F6" s="16"/>
      <c r="G6" s="17" t="s">
        <v>239</v>
      </c>
      <c r="H6" s="18" t="s">
        <v>240</v>
      </c>
    </row>
    <row r="7" spans="1:8" x14ac:dyDescent="0.2">
      <c r="A7" s="203" t="s">
        <v>42</v>
      </c>
      <c r="B7" s="19" t="s">
        <v>3</v>
      </c>
      <c r="C7" s="20">
        <v>177509.24782434295</v>
      </c>
      <c r="D7" s="20">
        <v>214593.35876105269</v>
      </c>
      <c r="E7" s="21">
        <v>230480.07270957046</v>
      </c>
      <c r="F7" s="22" t="s">
        <v>241</v>
      </c>
      <c r="G7" s="23">
        <v>29.841163508081337</v>
      </c>
      <c r="H7" s="24">
        <v>7.4031713004722803</v>
      </c>
    </row>
    <row r="8" spans="1:8" x14ac:dyDescent="0.2">
      <c r="A8" s="204"/>
      <c r="B8" s="25" t="s">
        <v>242</v>
      </c>
      <c r="C8" s="26">
        <v>131214.51582692406</v>
      </c>
      <c r="D8" s="26">
        <v>163732.57076335477</v>
      </c>
      <c r="E8" s="26">
        <v>173987.3295662638</v>
      </c>
      <c r="F8" s="27"/>
      <c r="G8" s="28">
        <v>32.597623418249242</v>
      </c>
      <c r="H8" s="29">
        <v>6.2631147578635478</v>
      </c>
    </row>
    <row r="9" spans="1:8" x14ac:dyDescent="0.2">
      <c r="A9" s="30" t="s">
        <v>18</v>
      </c>
      <c r="B9" s="31" t="s">
        <v>3</v>
      </c>
      <c r="C9" s="20">
        <v>9931.9197217391302</v>
      </c>
      <c r="D9" s="20">
        <v>13497.019426086956</v>
      </c>
      <c r="E9" s="21">
        <v>11074.690499969463</v>
      </c>
      <c r="F9" s="22" t="s">
        <v>241</v>
      </c>
      <c r="G9" s="32">
        <v>11.50604123117327</v>
      </c>
      <c r="H9" s="33">
        <v>-17.947139658372507</v>
      </c>
    </row>
    <row r="10" spans="1:8" x14ac:dyDescent="0.2">
      <c r="A10" s="34"/>
      <c r="B10" s="25" t="s">
        <v>242</v>
      </c>
      <c r="C10" s="26">
        <v>7641.6745304347824</v>
      </c>
      <c r="D10" s="26">
        <v>11336.603860869565</v>
      </c>
      <c r="E10" s="26">
        <v>9026.2090739130435</v>
      </c>
      <c r="F10" s="27"/>
      <c r="G10" s="35">
        <v>18.118208750765604</v>
      </c>
      <c r="H10" s="29">
        <v>-20.379955190383654</v>
      </c>
    </row>
    <row r="11" spans="1:8" x14ac:dyDescent="0.2">
      <c r="A11" s="30" t="s">
        <v>19</v>
      </c>
      <c r="B11" s="31" t="s">
        <v>3</v>
      </c>
      <c r="C11" s="20">
        <v>6782.0657391304348</v>
      </c>
      <c r="D11" s="20">
        <v>8872.3980869565221</v>
      </c>
      <c r="E11" s="21">
        <v>6771.7779123575738</v>
      </c>
      <c r="F11" s="22" t="s">
        <v>241</v>
      </c>
      <c r="G11" s="37">
        <v>-0.15169164040247551</v>
      </c>
      <c r="H11" s="33">
        <v>-23.675900855791269</v>
      </c>
    </row>
    <row r="12" spans="1:8" x14ac:dyDescent="0.2">
      <c r="A12" s="34"/>
      <c r="B12" s="25" t="s">
        <v>242</v>
      </c>
      <c r="C12" s="26">
        <v>5000.2484347826085</v>
      </c>
      <c r="D12" s="26">
        <v>7033.0128695652174</v>
      </c>
      <c r="E12" s="26">
        <v>5236.6969130434782</v>
      </c>
      <c r="F12" s="27"/>
      <c r="G12" s="28">
        <v>4.7287346087864819</v>
      </c>
      <c r="H12" s="29">
        <v>-25.54120104479189</v>
      </c>
    </row>
    <row r="13" spans="1:8" x14ac:dyDescent="0.2">
      <c r="A13" s="30" t="s">
        <v>20</v>
      </c>
      <c r="B13" s="31" t="s">
        <v>3</v>
      </c>
      <c r="C13" s="20">
        <v>22790.459875776396</v>
      </c>
      <c r="D13" s="20">
        <v>26709.618136645964</v>
      </c>
      <c r="E13" s="21">
        <v>29467.674510802917</v>
      </c>
      <c r="F13" s="22" t="s">
        <v>241</v>
      </c>
      <c r="G13" s="23">
        <v>29.298288281245362</v>
      </c>
      <c r="H13" s="24">
        <v>10.326079392250321</v>
      </c>
    </row>
    <row r="14" spans="1:8" x14ac:dyDescent="0.2">
      <c r="A14" s="34"/>
      <c r="B14" s="25" t="s">
        <v>242</v>
      </c>
      <c r="C14" s="26">
        <v>17241.070683229813</v>
      </c>
      <c r="D14" s="26">
        <v>19995.815652173915</v>
      </c>
      <c r="E14" s="26">
        <v>22137.331863354037</v>
      </c>
      <c r="F14" s="27"/>
      <c r="G14" s="38">
        <v>28.3988231942391</v>
      </c>
      <c r="H14" s="24">
        <v>10.70982173686572</v>
      </c>
    </row>
    <row r="15" spans="1:8" x14ac:dyDescent="0.2">
      <c r="A15" s="30" t="s">
        <v>21</v>
      </c>
      <c r="B15" s="31" t="s">
        <v>3</v>
      </c>
      <c r="C15" s="20">
        <v>1303.4257971014492</v>
      </c>
      <c r="D15" s="20">
        <v>1392.4719565217392</v>
      </c>
      <c r="E15" s="21">
        <v>1792.8589056144554</v>
      </c>
      <c r="F15" s="22" t="s">
        <v>241</v>
      </c>
      <c r="G15" s="37">
        <v>37.549748485982434</v>
      </c>
      <c r="H15" s="33">
        <v>28.753681337528974</v>
      </c>
    </row>
    <row r="16" spans="1:8" x14ac:dyDescent="0.2">
      <c r="A16" s="34"/>
      <c r="B16" s="25" t="s">
        <v>242</v>
      </c>
      <c r="C16" s="26">
        <v>941.31228260869568</v>
      </c>
      <c r="D16" s="26">
        <v>1061.7795652173913</v>
      </c>
      <c r="E16" s="26">
        <v>1342.0967934782609</v>
      </c>
      <c r="F16" s="27"/>
      <c r="G16" s="28">
        <v>42.577210376864031</v>
      </c>
      <c r="H16" s="29">
        <v>26.400699113424423</v>
      </c>
    </row>
    <row r="17" spans="1:8" x14ac:dyDescent="0.2">
      <c r="A17" s="30" t="s">
        <v>22</v>
      </c>
      <c r="B17" s="31" t="s">
        <v>3</v>
      </c>
      <c r="C17" s="20">
        <v>7081.4257971014495</v>
      </c>
      <c r="D17" s="20">
        <v>6695.4719565217392</v>
      </c>
      <c r="E17" s="21">
        <v>5686.6424139667079</v>
      </c>
      <c r="F17" s="22" t="s">
        <v>241</v>
      </c>
      <c r="G17" s="37">
        <v>-19.696363742251606</v>
      </c>
      <c r="H17" s="33">
        <v>-15.067340272740282</v>
      </c>
    </row>
    <row r="18" spans="1:8" x14ac:dyDescent="0.2">
      <c r="A18" s="34"/>
      <c r="B18" s="25" t="s">
        <v>242</v>
      </c>
      <c r="C18" s="26">
        <v>5564.3122826086956</v>
      </c>
      <c r="D18" s="26">
        <v>5297.7795652173918</v>
      </c>
      <c r="E18" s="26">
        <v>4489.0967934782611</v>
      </c>
      <c r="F18" s="27"/>
      <c r="G18" s="28">
        <v>-19.323421018101911</v>
      </c>
      <c r="H18" s="29">
        <v>-15.264560591545617</v>
      </c>
    </row>
    <row r="19" spans="1:8" x14ac:dyDescent="0.2">
      <c r="A19" s="30" t="s">
        <v>190</v>
      </c>
      <c r="B19" s="31" t="s">
        <v>3</v>
      </c>
      <c r="C19" s="20">
        <v>79580.649689440994</v>
      </c>
      <c r="D19" s="20">
        <v>142574.0453416149</v>
      </c>
      <c r="E19" s="21">
        <v>158194.87713140418</v>
      </c>
      <c r="F19" s="22" t="s">
        <v>241</v>
      </c>
      <c r="G19" s="23">
        <v>98.785606486942214</v>
      </c>
      <c r="H19" s="24">
        <v>10.95629415042616</v>
      </c>
    </row>
    <row r="20" spans="1:8" x14ac:dyDescent="0.2">
      <c r="A20" s="30"/>
      <c r="B20" s="25" t="s">
        <v>242</v>
      </c>
      <c r="C20" s="26">
        <v>64357.676708074534</v>
      </c>
      <c r="D20" s="26">
        <v>107909.53913043477</v>
      </c>
      <c r="E20" s="26">
        <v>122346.82965838509</v>
      </c>
      <c r="F20" s="27"/>
      <c r="G20" s="38">
        <v>90.10448468074523</v>
      </c>
      <c r="H20" s="24">
        <v>13.379067915858073</v>
      </c>
    </row>
    <row r="21" spans="1:8" x14ac:dyDescent="0.2">
      <c r="A21" s="39" t="s">
        <v>12</v>
      </c>
      <c r="B21" s="31" t="s">
        <v>3</v>
      </c>
      <c r="C21" s="20">
        <v>1491.2554782608695</v>
      </c>
      <c r="D21" s="20">
        <v>1460.2831739130434</v>
      </c>
      <c r="E21" s="21">
        <v>1741.0931974223345</v>
      </c>
      <c r="F21" s="22" t="s">
        <v>241</v>
      </c>
      <c r="G21" s="37">
        <v>16.753515598335326</v>
      </c>
      <c r="H21" s="33">
        <v>19.229833536794061</v>
      </c>
    </row>
    <row r="22" spans="1:8" x14ac:dyDescent="0.2">
      <c r="A22" s="34"/>
      <c r="B22" s="25" t="s">
        <v>242</v>
      </c>
      <c r="C22" s="26">
        <v>1172.1873695652175</v>
      </c>
      <c r="D22" s="26">
        <v>1134.6677391304347</v>
      </c>
      <c r="E22" s="26">
        <v>1358.0580760869566</v>
      </c>
      <c r="F22" s="27"/>
      <c r="G22" s="28">
        <v>15.856740257377226</v>
      </c>
      <c r="H22" s="29">
        <v>19.687731417103606</v>
      </c>
    </row>
    <row r="23" spans="1:8" x14ac:dyDescent="0.2">
      <c r="A23" s="39" t="s">
        <v>23</v>
      </c>
      <c r="B23" s="31" t="s">
        <v>3</v>
      </c>
      <c r="C23" s="20">
        <v>4781.4257971014495</v>
      </c>
      <c r="D23" s="20">
        <v>5200.4719565217392</v>
      </c>
      <c r="E23" s="21">
        <v>5204.057055712522</v>
      </c>
      <c r="F23" s="22" t="s">
        <v>241</v>
      </c>
      <c r="G23" s="23">
        <v>8.8390215919961861</v>
      </c>
      <c r="H23" s="24">
        <v>6.8937958338310068E-2</v>
      </c>
    </row>
    <row r="24" spans="1:8" x14ac:dyDescent="0.2">
      <c r="A24" s="34"/>
      <c r="B24" s="25" t="s">
        <v>242</v>
      </c>
      <c r="C24" s="26">
        <v>3459.3122826086956</v>
      </c>
      <c r="D24" s="26">
        <v>3886.7795652173913</v>
      </c>
      <c r="E24" s="26">
        <v>3847.0967934782611</v>
      </c>
      <c r="F24" s="27"/>
      <c r="G24" s="28">
        <v>11.209872922404514</v>
      </c>
      <c r="H24" s="29">
        <v>-1.0209679008876549</v>
      </c>
    </row>
    <row r="25" spans="1:8" x14ac:dyDescent="0.2">
      <c r="A25" s="30" t="s">
        <v>24</v>
      </c>
      <c r="B25" s="31" t="s">
        <v>3</v>
      </c>
      <c r="C25" s="20">
        <v>47693.851594202897</v>
      </c>
      <c r="D25" s="20">
        <v>10875.943913043478</v>
      </c>
      <c r="E25" s="21">
        <v>9350.7539305208884</v>
      </c>
      <c r="F25" s="22" t="s">
        <v>241</v>
      </c>
      <c r="G25" s="23">
        <v>-80.394215149406278</v>
      </c>
      <c r="H25" s="24">
        <v>-14.023518277741715</v>
      </c>
    </row>
    <row r="26" spans="1:8" ht="13.5" thickBot="1" x14ac:dyDescent="0.25">
      <c r="A26" s="41"/>
      <c r="B26" s="42" t="s">
        <v>242</v>
      </c>
      <c r="C26" s="43">
        <v>28599.624565217389</v>
      </c>
      <c r="D26" s="43">
        <v>8177.5591304347827</v>
      </c>
      <c r="E26" s="43">
        <v>6482.1935869565223</v>
      </c>
      <c r="F26" s="44"/>
      <c r="G26" s="45">
        <v>-77.33468992862197</v>
      </c>
      <c r="H26" s="46">
        <v>-20.731926439621134</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7" t="s">
        <v>16</v>
      </c>
      <c r="D33" s="201"/>
      <c r="E33" s="201"/>
      <c r="F33" s="208"/>
      <c r="G33" s="201" t="s">
        <v>1</v>
      </c>
      <c r="H33" s="202"/>
    </row>
    <row r="34" spans="1:8" x14ac:dyDescent="0.2">
      <c r="A34" s="12"/>
      <c r="B34" s="13"/>
      <c r="C34" s="14" t="s">
        <v>236</v>
      </c>
      <c r="D34" s="15" t="s">
        <v>237</v>
      </c>
      <c r="E34" s="15" t="s">
        <v>238</v>
      </c>
      <c r="F34" s="16"/>
      <c r="G34" s="17" t="s">
        <v>239</v>
      </c>
      <c r="H34" s="18" t="s">
        <v>240</v>
      </c>
    </row>
    <row r="35" spans="1:8" ht="12.75" customHeight="1" x14ac:dyDescent="0.2">
      <c r="A35" s="203" t="s">
        <v>42</v>
      </c>
      <c r="B35" s="19" t="s">
        <v>3</v>
      </c>
      <c r="C35" s="80">
        <v>1546.2412040680647</v>
      </c>
      <c r="D35" s="80">
        <v>1738.0038904658556</v>
      </c>
      <c r="E35" s="83">
        <v>1682.9930636280487</v>
      </c>
      <c r="F35" s="22" t="s">
        <v>241</v>
      </c>
      <c r="G35" s="23">
        <v>8.8441479376049728</v>
      </c>
      <c r="H35" s="24">
        <v>-3.1651728249619566</v>
      </c>
    </row>
    <row r="36" spans="1:8" ht="12.75" customHeight="1" x14ac:dyDescent="0.2">
      <c r="A36" s="204"/>
      <c r="B36" s="25" t="s">
        <v>242</v>
      </c>
      <c r="C36" s="82">
        <v>1169.4656861988578</v>
      </c>
      <c r="D36" s="82">
        <v>1304.3435125908318</v>
      </c>
      <c r="E36" s="82">
        <v>1266.3205770011446</v>
      </c>
      <c r="F36" s="27"/>
      <c r="G36" s="28">
        <v>8.2819779960450717</v>
      </c>
      <c r="H36" s="29">
        <v>-2.9151013688228318</v>
      </c>
    </row>
    <row r="37" spans="1:8" x14ac:dyDescent="0.2">
      <c r="A37" s="30" t="s">
        <v>18</v>
      </c>
      <c r="B37" s="31" t="s">
        <v>3</v>
      </c>
      <c r="C37" s="80">
        <v>492.17972909280644</v>
      </c>
      <c r="D37" s="80">
        <v>496.6699762231616</v>
      </c>
      <c r="E37" s="83">
        <v>428.43509389362345</v>
      </c>
      <c r="F37" s="22" t="s">
        <v>241</v>
      </c>
      <c r="G37" s="32">
        <v>-12.951495445917317</v>
      </c>
      <c r="H37" s="33">
        <v>-13.738475365154585</v>
      </c>
    </row>
    <row r="38" spans="1:8" x14ac:dyDescent="0.2">
      <c r="A38" s="34"/>
      <c r="B38" s="25" t="s">
        <v>242</v>
      </c>
      <c r="C38" s="82">
        <v>372.28866982865014</v>
      </c>
      <c r="D38" s="82">
        <v>371.91435793404241</v>
      </c>
      <c r="E38" s="82">
        <v>321.89595748479013</v>
      </c>
      <c r="F38" s="27"/>
      <c r="G38" s="35">
        <v>-13.535924251214468</v>
      </c>
      <c r="H38" s="29">
        <v>-13.448902786948295</v>
      </c>
    </row>
    <row r="39" spans="1:8" x14ac:dyDescent="0.2">
      <c r="A39" s="30" t="s">
        <v>19</v>
      </c>
      <c r="B39" s="31" t="s">
        <v>3</v>
      </c>
      <c r="C39" s="80">
        <v>143.40503966759906</v>
      </c>
      <c r="D39" s="80">
        <v>225.58190716607879</v>
      </c>
      <c r="E39" s="83">
        <v>133.56352488707543</v>
      </c>
      <c r="F39" s="22" t="s">
        <v>241</v>
      </c>
      <c r="G39" s="37">
        <v>-6.8627398335061542</v>
      </c>
      <c r="H39" s="33">
        <v>-40.791561448789956</v>
      </c>
    </row>
    <row r="40" spans="1:8" x14ac:dyDescent="0.2">
      <c r="A40" s="34"/>
      <c r="B40" s="25" t="s">
        <v>242</v>
      </c>
      <c r="C40" s="82">
        <v>107.04909048179817</v>
      </c>
      <c r="D40" s="82">
        <v>160.3344044692123</v>
      </c>
      <c r="E40" s="82">
        <v>96.470303061165296</v>
      </c>
      <c r="F40" s="27"/>
      <c r="G40" s="28">
        <v>-9.8821833730867752</v>
      </c>
      <c r="H40" s="29">
        <v>-39.831813776631023</v>
      </c>
    </row>
    <row r="41" spans="1:8" x14ac:dyDescent="0.2">
      <c r="A41" s="30" t="s">
        <v>20</v>
      </c>
      <c r="B41" s="31" t="s">
        <v>3</v>
      </c>
      <c r="C41" s="80">
        <v>244.72721945667442</v>
      </c>
      <c r="D41" s="80">
        <v>266.0323258711706</v>
      </c>
      <c r="E41" s="83">
        <v>285.83527908945626</v>
      </c>
      <c r="F41" s="22" t="s">
        <v>241</v>
      </c>
      <c r="G41" s="23">
        <v>16.797502020431949</v>
      </c>
      <c r="H41" s="24">
        <v>7.4438146392312774</v>
      </c>
    </row>
    <row r="42" spans="1:8" x14ac:dyDescent="0.2">
      <c r="A42" s="34"/>
      <c r="B42" s="25" t="s">
        <v>242</v>
      </c>
      <c r="C42" s="82">
        <v>186.84769391067562</v>
      </c>
      <c r="D42" s="82">
        <v>204.15585450534283</v>
      </c>
      <c r="E42" s="82">
        <v>218.97843117141892</v>
      </c>
      <c r="F42" s="27"/>
      <c r="G42" s="38">
        <v>17.19621826111684</v>
      </c>
      <c r="H42" s="24">
        <v>7.2604220447120014</v>
      </c>
    </row>
    <row r="43" spans="1:8" x14ac:dyDescent="0.2">
      <c r="A43" s="30" t="s">
        <v>21</v>
      </c>
      <c r="B43" s="31" t="s">
        <v>3</v>
      </c>
      <c r="C43" s="80">
        <v>9.2872953346467142</v>
      </c>
      <c r="D43" s="80">
        <v>9.1229695792220831</v>
      </c>
      <c r="E43" s="83">
        <v>11.740758093215332</v>
      </c>
      <c r="F43" s="22" t="s">
        <v>241</v>
      </c>
      <c r="G43" s="37">
        <v>26.417408622894257</v>
      </c>
      <c r="H43" s="33">
        <v>28.694478165918298</v>
      </c>
    </row>
    <row r="44" spans="1:8" x14ac:dyDescent="0.2">
      <c r="A44" s="34"/>
      <c r="B44" s="25" t="s">
        <v>242</v>
      </c>
      <c r="C44" s="82">
        <v>7.1063946809029481</v>
      </c>
      <c r="D44" s="82">
        <v>7.0254256583300281</v>
      </c>
      <c r="E44" s="82">
        <v>9.0220479915949099</v>
      </c>
      <c r="F44" s="27"/>
      <c r="G44" s="28">
        <v>26.95675369452681</v>
      </c>
      <c r="H44" s="29">
        <v>28.419948204810794</v>
      </c>
    </row>
    <row r="45" spans="1:8" x14ac:dyDescent="0.2">
      <c r="A45" s="30" t="s">
        <v>22</v>
      </c>
      <c r="B45" s="31" t="s">
        <v>3</v>
      </c>
      <c r="C45" s="80">
        <v>33.964077106086407</v>
      </c>
      <c r="D45" s="80">
        <v>29.893299271651252</v>
      </c>
      <c r="E45" s="83">
        <v>25.402398239836565</v>
      </c>
      <c r="F45" s="22" t="s">
        <v>241</v>
      </c>
      <c r="G45" s="37">
        <v>-25.20804213082998</v>
      </c>
      <c r="H45" s="33">
        <v>-15.023102639170872</v>
      </c>
    </row>
    <row r="46" spans="1:8" x14ac:dyDescent="0.2">
      <c r="A46" s="34"/>
      <c r="B46" s="25" t="s">
        <v>242</v>
      </c>
      <c r="C46" s="82">
        <v>27.732852724340312</v>
      </c>
      <c r="D46" s="82">
        <v>24.495853293015987</v>
      </c>
      <c r="E46" s="82">
        <v>20.791133518638311</v>
      </c>
      <c r="F46" s="27"/>
      <c r="G46" s="28">
        <v>-25.030671293362687</v>
      </c>
      <c r="H46" s="29">
        <v>-15.123864966295869</v>
      </c>
    </row>
    <row r="47" spans="1:8" x14ac:dyDescent="0.2">
      <c r="A47" s="30" t="s">
        <v>190</v>
      </c>
      <c r="B47" s="31" t="s">
        <v>3</v>
      </c>
      <c r="C47" s="80">
        <v>283.32529641478544</v>
      </c>
      <c r="D47" s="80">
        <v>475.55157261504695</v>
      </c>
      <c r="E47" s="83">
        <v>557.37110311845481</v>
      </c>
      <c r="F47" s="22" t="s">
        <v>241</v>
      </c>
      <c r="G47" s="23">
        <v>96.724793081119401</v>
      </c>
      <c r="H47" s="24">
        <v>17.205185560313524</v>
      </c>
    </row>
    <row r="48" spans="1:8" x14ac:dyDescent="0.2">
      <c r="A48" s="30"/>
      <c r="B48" s="25" t="s">
        <v>242</v>
      </c>
      <c r="C48" s="82">
        <v>231.02349782410676</v>
      </c>
      <c r="D48" s="82">
        <v>364.84038987522234</v>
      </c>
      <c r="E48" s="82">
        <v>436.20798290642597</v>
      </c>
      <c r="F48" s="27"/>
      <c r="G48" s="38">
        <v>88.815417918457598</v>
      </c>
      <c r="H48" s="24">
        <v>19.561319144410461</v>
      </c>
    </row>
    <row r="49" spans="1:8" x14ac:dyDescent="0.2">
      <c r="A49" s="39" t="s">
        <v>12</v>
      </c>
      <c r="B49" s="31" t="s">
        <v>3</v>
      </c>
      <c r="C49" s="80">
        <v>14.339730904194482</v>
      </c>
      <c r="D49" s="80">
        <v>25.186969873632854</v>
      </c>
      <c r="E49" s="83">
        <v>22.360300212240556</v>
      </c>
      <c r="F49" s="22" t="s">
        <v>241</v>
      </c>
      <c r="G49" s="37">
        <v>55.932495258331471</v>
      </c>
      <c r="H49" s="33">
        <v>-11.222746029292779</v>
      </c>
    </row>
    <row r="50" spans="1:8" x14ac:dyDescent="0.2">
      <c r="A50" s="34"/>
      <c r="B50" s="25" t="s">
        <v>242</v>
      </c>
      <c r="C50" s="82">
        <v>12.761041989012904</v>
      </c>
      <c r="D50" s="82">
        <v>16.663164866894718</v>
      </c>
      <c r="E50" s="82">
        <v>16.176611632899643</v>
      </c>
      <c r="F50" s="27"/>
      <c r="G50" s="28">
        <v>26.76560148322919</v>
      </c>
      <c r="H50" s="29">
        <v>-2.9199329051933347</v>
      </c>
    </row>
    <row r="51" spans="1:8" x14ac:dyDescent="0.2">
      <c r="A51" s="39" t="s">
        <v>23</v>
      </c>
      <c r="B51" s="31" t="s">
        <v>3</v>
      </c>
      <c r="C51" s="80">
        <v>106.80605752157329</v>
      </c>
      <c r="D51" s="80">
        <v>107.90494900501409</v>
      </c>
      <c r="E51" s="83">
        <v>105.41105890531644</v>
      </c>
      <c r="F51" s="22" t="s">
        <v>241</v>
      </c>
      <c r="G51" s="23">
        <v>-1.3061043995328419</v>
      </c>
      <c r="H51" s="24">
        <v>-2.3111915836054635</v>
      </c>
    </row>
    <row r="52" spans="1:8" x14ac:dyDescent="0.2">
      <c r="A52" s="34"/>
      <c r="B52" s="25" t="s">
        <v>242</v>
      </c>
      <c r="C52" s="82">
        <v>72.177645311941916</v>
      </c>
      <c r="D52" s="82">
        <v>78.95360924085422</v>
      </c>
      <c r="E52" s="82">
        <v>75.058743778985715</v>
      </c>
      <c r="F52" s="27"/>
      <c r="G52" s="38">
        <v>3.9916769999798163</v>
      </c>
      <c r="H52" s="24">
        <v>-4.9331062877529916</v>
      </c>
    </row>
    <row r="53" spans="1:8" x14ac:dyDescent="0.2">
      <c r="A53" s="30" t="s">
        <v>24</v>
      </c>
      <c r="B53" s="31" t="s">
        <v>3</v>
      </c>
      <c r="C53" s="80">
        <v>218.20675856969842</v>
      </c>
      <c r="D53" s="80">
        <v>102.05992086087726</v>
      </c>
      <c r="E53" s="83">
        <v>98.452726134285413</v>
      </c>
      <c r="F53" s="22" t="s">
        <v>241</v>
      </c>
      <c r="G53" s="37">
        <v>-54.880991414004178</v>
      </c>
      <c r="H53" s="33">
        <v>-3.534389108050533</v>
      </c>
    </row>
    <row r="54" spans="1:8" ht="13.5" thickBot="1" x14ac:dyDescent="0.25">
      <c r="A54" s="41"/>
      <c r="B54" s="42" t="s">
        <v>242</v>
      </c>
      <c r="C54" s="86">
        <v>152.47879944742908</v>
      </c>
      <c r="D54" s="86">
        <v>75.960452747916946</v>
      </c>
      <c r="E54" s="86">
        <v>71.719365455225599</v>
      </c>
      <c r="F54" s="44"/>
      <c r="G54" s="45">
        <v>-52.964369003998705</v>
      </c>
      <c r="H54" s="46">
        <v>-5.5832833260826646</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8">
        <v>14</v>
      </c>
    </row>
    <row r="62" spans="1:8" ht="12.75" customHeight="1" x14ac:dyDescent="0.2">
      <c r="A62" s="54" t="s">
        <v>244</v>
      </c>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1" t="s">
        <v>1</v>
      </c>
      <c r="H5" s="202"/>
    </row>
    <row r="6" spans="1:8" x14ac:dyDescent="0.2">
      <c r="A6" s="12"/>
      <c r="B6" s="13"/>
      <c r="C6" s="14" t="s">
        <v>236</v>
      </c>
      <c r="D6" s="15" t="s">
        <v>237</v>
      </c>
      <c r="E6" s="15" t="s">
        <v>238</v>
      </c>
      <c r="F6" s="16"/>
      <c r="G6" s="17" t="s">
        <v>239</v>
      </c>
      <c r="H6" s="18" t="s">
        <v>240</v>
      </c>
    </row>
    <row r="7" spans="1:8" x14ac:dyDescent="0.2">
      <c r="A7" s="203" t="s">
        <v>44</v>
      </c>
      <c r="B7" s="19" t="s">
        <v>3</v>
      </c>
      <c r="C7" s="20">
        <v>130489.07753884791</v>
      </c>
      <c r="D7" s="20">
        <v>131285.51443171315</v>
      </c>
      <c r="E7" s="21">
        <v>133959.80636043067</v>
      </c>
      <c r="F7" s="22" t="s">
        <v>241</v>
      </c>
      <c r="G7" s="23">
        <v>2.6597849314625535</v>
      </c>
      <c r="H7" s="24">
        <v>2.0370045699965829</v>
      </c>
    </row>
    <row r="8" spans="1:8" x14ac:dyDescent="0.2">
      <c r="A8" s="204"/>
      <c r="B8" s="25" t="s">
        <v>242</v>
      </c>
      <c r="C8" s="26">
        <v>99193.467430544653</v>
      </c>
      <c r="D8" s="26">
        <v>100639.43441636582</v>
      </c>
      <c r="E8" s="26">
        <v>102401.97556636843</v>
      </c>
      <c r="F8" s="27"/>
      <c r="G8" s="28">
        <v>3.2345962077294814</v>
      </c>
      <c r="H8" s="29">
        <v>1.7513424635423007</v>
      </c>
    </row>
    <row r="9" spans="1:8" x14ac:dyDescent="0.2">
      <c r="A9" s="30" t="s">
        <v>18</v>
      </c>
      <c r="B9" s="31" t="s">
        <v>3</v>
      </c>
      <c r="C9" s="20">
        <v>12430.674886956522</v>
      </c>
      <c r="D9" s="20">
        <v>14911.881165217392</v>
      </c>
      <c r="E9" s="21">
        <v>12582.25133370529</v>
      </c>
      <c r="F9" s="22" t="s">
        <v>241</v>
      </c>
      <c r="G9" s="32">
        <v>1.2193742345221921</v>
      </c>
      <c r="H9" s="33">
        <v>-15.62264214488286</v>
      </c>
    </row>
    <row r="10" spans="1:8" x14ac:dyDescent="0.2">
      <c r="A10" s="34"/>
      <c r="B10" s="25" t="s">
        <v>242</v>
      </c>
      <c r="C10" s="26">
        <v>9222.6197869565221</v>
      </c>
      <c r="D10" s="26">
        <v>11486.786599999999</v>
      </c>
      <c r="E10" s="26">
        <v>9570.192139130435</v>
      </c>
      <c r="F10" s="27"/>
      <c r="G10" s="35">
        <v>3.7686943645392574</v>
      </c>
      <c r="H10" s="29">
        <v>-16.6852099513154</v>
      </c>
    </row>
    <row r="11" spans="1:8" x14ac:dyDescent="0.2">
      <c r="A11" s="30" t="s">
        <v>19</v>
      </c>
      <c r="B11" s="31" t="s">
        <v>3</v>
      </c>
      <c r="C11" s="20">
        <v>56876.582956521743</v>
      </c>
      <c r="D11" s="20">
        <v>56415.9372173913</v>
      </c>
      <c r="E11" s="21">
        <v>54345.852978215014</v>
      </c>
      <c r="F11" s="22" t="s">
        <v>241</v>
      </c>
      <c r="G11" s="37">
        <v>-4.4495112869936264</v>
      </c>
      <c r="H11" s="33">
        <v>-3.6693252674319581</v>
      </c>
    </row>
    <row r="12" spans="1:8" x14ac:dyDescent="0.2">
      <c r="A12" s="34"/>
      <c r="B12" s="25" t="s">
        <v>242</v>
      </c>
      <c r="C12" s="26">
        <v>42900.065956521736</v>
      </c>
      <c r="D12" s="26">
        <v>42758.622000000003</v>
      </c>
      <c r="E12" s="26">
        <v>41123.307130434783</v>
      </c>
      <c r="F12" s="27"/>
      <c r="G12" s="28">
        <v>-4.1416225977080217</v>
      </c>
      <c r="H12" s="29">
        <v>-3.8245265938767261</v>
      </c>
    </row>
    <row r="13" spans="1:8" x14ac:dyDescent="0.2">
      <c r="A13" s="30" t="s">
        <v>20</v>
      </c>
      <c r="B13" s="31" t="s">
        <v>3</v>
      </c>
      <c r="C13" s="20">
        <v>3234.7537888198758</v>
      </c>
      <c r="D13" s="20">
        <v>3652.7796273291924</v>
      </c>
      <c r="E13" s="21">
        <v>3390.2562051468981</v>
      </c>
      <c r="F13" s="22" t="s">
        <v>241</v>
      </c>
      <c r="G13" s="23">
        <v>4.8072411836869122</v>
      </c>
      <c r="H13" s="24">
        <v>-7.1869493636615545</v>
      </c>
    </row>
    <row r="14" spans="1:8" x14ac:dyDescent="0.2">
      <c r="A14" s="34"/>
      <c r="B14" s="25" t="s">
        <v>242</v>
      </c>
      <c r="C14" s="26">
        <v>2376.5552173913043</v>
      </c>
      <c r="D14" s="26">
        <v>3110.1057142857144</v>
      </c>
      <c r="E14" s="26">
        <v>2741.3843478260869</v>
      </c>
      <c r="F14" s="27"/>
      <c r="G14" s="38">
        <v>15.351174160188378</v>
      </c>
      <c r="H14" s="24">
        <v>-11.855589498645386</v>
      </c>
    </row>
    <row r="15" spans="1:8" x14ac:dyDescent="0.2">
      <c r="A15" s="30" t="s">
        <v>21</v>
      </c>
      <c r="B15" s="31" t="s">
        <v>3</v>
      </c>
      <c r="C15" s="20">
        <v>3121.8865217391303</v>
      </c>
      <c r="D15" s="20">
        <v>3363.6857246376812</v>
      </c>
      <c r="E15" s="21">
        <v>4316.4972265476836</v>
      </c>
      <c r="F15" s="22" t="s">
        <v>241</v>
      </c>
      <c r="G15" s="37">
        <v>38.265667137159852</v>
      </c>
      <c r="H15" s="33">
        <v>28.326412748106378</v>
      </c>
    </row>
    <row r="16" spans="1:8" x14ac:dyDescent="0.2">
      <c r="A16" s="34"/>
      <c r="B16" s="25" t="s">
        <v>242</v>
      </c>
      <c r="C16" s="26">
        <v>2401.6202717391307</v>
      </c>
      <c r="D16" s="26">
        <v>2773.6975000000002</v>
      </c>
      <c r="E16" s="26">
        <v>3476.0704347826086</v>
      </c>
      <c r="F16" s="27"/>
      <c r="G16" s="28">
        <v>44.738553204558684</v>
      </c>
      <c r="H16" s="29">
        <v>25.32262205170565</v>
      </c>
    </row>
    <row r="17" spans="1:8" x14ac:dyDescent="0.2">
      <c r="A17" s="30" t="s">
        <v>22</v>
      </c>
      <c r="B17" s="31" t="s">
        <v>3</v>
      </c>
      <c r="C17" s="20">
        <v>548.88652173913044</v>
      </c>
      <c r="D17" s="20">
        <v>492.68572463768118</v>
      </c>
      <c r="E17" s="21">
        <v>348.19328730248708</v>
      </c>
      <c r="F17" s="22" t="s">
        <v>241</v>
      </c>
      <c r="G17" s="37">
        <v>-36.56370242081239</v>
      </c>
      <c r="H17" s="33">
        <v>-29.327506381771713</v>
      </c>
    </row>
    <row r="18" spans="1:8" x14ac:dyDescent="0.2">
      <c r="A18" s="34"/>
      <c r="B18" s="25" t="s">
        <v>242</v>
      </c>
      <c r="C18" s="26">
        <v>426.62027173913043</v>
      </c>
      <c r="D18" s="26">
        <v>475.69749999999999</v>
      </c>
      <c r="E18" s="26">
        <v>311.07043478260869</v>
      </c>
      <c r="F18" s="27"/>
      <c r="G18" s="28">
        <v>-27.084938201712589</v>
      </c>
      <c r="H18" s="29">
        <v>-34.607511121540739</v>
      </c>
    </row>
    <row r="19" spans="1:8" x14ac:dyDescent="0.2">
      <c r="A19" s="30" t="s">
        <v>190</v>
      </c>
      <c r="B19" s="31" t="s">
        <v>3</v>
      </c>
      <c r="C19" s="20">
        <v>38409.884472049685</v>
      </c>
      <c r="D19" s="20">
        <v>35585.449068322981</v>
      </c>
      <c r="E19" s="21">
        <v>37381.539592390734</v>
      </c>
      <c r="F19" s="22" t="s">
        <v>241</v>
      </c>
      <c r="G19" s="23">
        <v>-2.6772923006505351</v>
      </c>
      <c r="H19" s="24">
        <v>5.0472610887087939</v>
      </c>
    </row>
    <row r="20" spans="1:8" x14ac:dyDescent="0.2">
      <c r="A20" s="30"/>
      <c r="B20" s="25" t="s">
        <v>242</v>
      </c>
      <c r="C20" s="26">
        <v>30051.888043478262</v>
      </c>
      <c r="D20" s="26">
        <v>28051.264285714286</v>
      </c>
      <c r="E20" s="26">
        <v>29393.460869565217</v>
      </c>
      <c r="F20" s="27"/>
      <c r="G20" s="38">
        <v>-2.1909677453890737</v>
      </c>
      <c r="H20" s="24">
        <v>4.7847988959787102</v>
      </c>
    </row>
    <row r="21" spans="1:8" x14ac:dyDescent="0.2">
      <c r="A21" s="39" t="s">
        <v>12</v>
      </c>
      <c r="B21" s="31" t="s">
        <v>3</v>
      </c>
      <c r="C21" s="20">
        <v>407.13191304347828</v>
      </c>
      <c r="D21" s="20">
        <v>448.41143478260869</v>
      </c>
      <c r="E21" s="21">
        <v>420.60905142277585</v>
      </c>
      <c r="F21" s="22" t="s">
        <v>241</v>
      </c>
      <c r="G21" s="37">
        <v>3.3102633194608728</v>
      </c>
      <c r="H21" s="33">
        <v>-6.2001950002259747</v>
      </c>
    </row>
    <row r="22" spans="1:8" x14ac:dyDescent="0.2">
      <c r="A22" s="34"/>
      <c r="B22" s="25" t="s">
        <v>242</v>
      </c>
      <c r="C22" s="26">
        <v>329.17216304347824</v>
      </c>
      <c r="D22" s="26">
        <v>422.21850000000001</v>
      </c>
      <c r="E22" s="26">
        <v>375.44226086956519</v>
      </c>
      <c r="F22" s="27"/>
      <c r="G22" s="28">
        <v>14.056503866633278</v>
      </c>
      <c r="H22" s="29">
        <v>-11.078680619261078</v>
      </c>
    </row>
    <row r="23" spans="1:8" x14ac:dyDescent="0.2">
      <c r="A23" s="39" t="s">
        <v>23</v>
      </c>
      <c r="B23" s="31" t="s">
        <v>3</v>
      </c>
      <c r="C23" s="20">
        <v>6115.8865217391303</v>
      </c>
      <c r="D23" s="20">
        <v>6141.6857246376812</v>
      </c>
      <c r="E23" s="21">
        <v>6469.7315103088531</v>
      </c>
      <c r="F23" s="22" t="s">
        <v>241</v>
      </c>
      <c r="G23" s="23">
        <v>5.7856696214353889</v>
      </c>
      <c r="H23" s="24">
        <v>5.3412987961138896</v>
      </c>
    </row>
    <row r="24" spans="1:8" x14ac:dyDescent="0.2">
      <c r="A24" s="34"/>
      <c r="B24" s="25" t="s">
        <v>242</v>
      </c>
      <c r="C24" s="26">
        <v>4531.6202717391307</v>
      </c>
      <c r="D24" s="26">
        <v>4505.6974999999993</v>
      </c>
      <c r="E24" s="26">
        <v>4762.0704347826086</v>
      </c>
      <c r="F24" s="27"/>
      <c r="G24" s="28">
        <v>5.0853811490042773</v>
      </c>
      <c r="H24" s="29">
        <v>5.6899721914888772</v>
      </c>
    </row>
    <row r="25" spans="1:8" x14ac:dyDescent="0.2">
      <c r="A25" s="30" t="s">
        <v>24</v>
      </c>
      <c r="B25" s="31" t="s">
        <v>3</v>
      </c>
      <c r="C25" s="20">
        <v>16033.773043478261</v>
      </c>
      <c r="D25" s="20">
        <v>17105.371449275364</v>
      </c>
      <c r="E25" s="21">
        <v>24424.928859781918</v>
      </c>
      <c r="F25" s="22" t="s">
        <v>241</v>
      </c>
      <c r="G25" s="23">
        <v>52.334255908136129</v>
      </c>
      <c r="H25" s="24">
        <v>42.790987802937366</v>
      </c>
    </row>
    <row r="26" spans="1:8" ht="13.5" thickBot="1" x14ac:dyDescent="0.25">
      <c r="A26" s="41"/>
      <c r="B26" s="42" t="s">
        <v>242</v>
      </c>
      <c r="C26" s="43">
        <v>11758.240543478261</v>
      </c>
      <c r="D26" s="43">
        <v>12026.394999999999</v>
      </c>
      <c r="E26" s="43">
        <v>17412.140869565217</v>
      </c>
      <c r="F26" s="44"/>
      <c r="G26" s="45">
        <v>48.084577834418496</v>
      </c>
      <c r="H26" s="46">
        <v>44.78271227217482</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7" t="s">
        <v>16</v>
      </c>
      <c r="D33" s="201"/>
      <c r="E33" s="201"/>
      <c r="F33" s="208"/>
      <c r="G33" s="201" t="s">
        <v>1</v>
      </c>
      <c r="H33" s="202"/>
    </row>
    <row r="34" spans="1:8" x14ac:dyDescent="0.2">
      <c r="A34" s="12"/>
      <c r="B34" s="13"/>
      <c r="C34" s="14" t="s">
        <v>236</v>
      </c>
      <c r="D34" s="15" t="s">
        <v>237</v>
      </c>
      <c r="E34" s="15" t="s">
        <v>238</v>
      </c>
      <c r="F34" s="16"/>
      <c r="G34" s="17" t="s">
        <v>239</v>
      </c>
      <c r="H34" s="18" t="s">
        <v>240</v>
      </c>
    </row>
    <row r="35" spans="1:8" ht="12.75" customHeight="1" x14ac:dyDescent="0.2">
      <c r="A35" s="203" t="s">
        <v>44</v>
      </c>
      <c r="B35" s="19" t="s">
        <v>3</v>
      </c>
      <c r="C35" s="80">
        <v>6096.2289068941482</v>
      </c>
      <c r="D35" s="80">
        <v>6018.8124026764308</v>
      </c>
      <c r="E35" s="83">
        <v>5785.576656065854</v>
      </c>
      <c r="F35" s="22" t="s">
        <v>241</v>
      </c>
      <c r="G35" s="23">
        <v>-5.095810140544117</v>
      </c>
      <c r="H35" s="24">
        <v>-3.8751124143171864</v>
      </c>
    </row>
    <row r="36" spans="1:8" ht="12.75" customHeight="1" x14ac:dyDescent="0.2">
      <c r="A36" s="204"/>
      <c r="B36" s="25" t="s">
        <v>242</v>
      </c>
      <c r="C36" s="82">
        <v>4603.4768662301076</v>
      </c>
      <c r="D36" s="82">
        <v>4381.024596559123</v>
      </c>
      <c r="E36" s="82">
        <v>4262.521435564644</v>
      </c>
      <c r="F36" s="27"/>
      <c r="G36" s="28">
        <v>-7.4064764649220365</v>
      </c>
      <c r="H36" s="29">
        <v>-2.7049188696076243</v>
      </c>
    </row>
    <row r="37" spans="1:8" x14ac:dyDescent="0.2">
      <c r="A37" s="30" t="s">
        <v>18</v>
      </c>
      <c r="B37" s="31" t="s">
        <v>3</v>
      </c>
      <c r="C37" s="80">
        <v>2186.7087796288642</v>
      </c>
      <c r="D37" s="80">
        <v>1995.7239796712195</v>
      </c>
      <c r="E37" s="83">
        <v>1822.7325011770895</v>
      </c>
      <c r="F37" s="22" t="s">
        <v>241</v>
      </c>
      <c r="G37" s="32">
        <v>-16.644936072079517</v>
      </c>
      <c r="H37" s="33">
        <v>-8.6681064243477692</v>
      </c>
    </row>
    <row r="38" spans="1:8" x14ac:dyDescent="0.2">
      <c r="A38" s="34"/>
      <c r="B38" s="25" t="s">
        <v>242</v>
      </c>
      <c r="C38" s="82">
        <v>1632.6228013412601</v>
      </c>
      <c r="D38" s="82">
        <v>1427.9643371651059</v>
      </c>
      <c r="E38" s="82">
        <v>1322.5503881260925</v>
      </c>
      <c r="F38" s="27"/>
      <c r="G38" s="35">
        <v>-18.992287315871835</v>
      </c>
      <c r="H38" s="29">
        <v>-7.3821135651250529</v>
      </c>
    </row>
    <row r="39" spans="1:8" x14ac:dyDescent="0.2">
      <c r="A39" s="30" t="s">
        <v>19</v>
      </c>
      <c r="B39" s="31" t="s">
        <v>3</v>
      </c>
      <c r="C39" s="80">
        <v>2512.6743999063697</v>
      </c>
      <c r="D39" s="80">
        <v>2750.8206373646672</v>
      </c>
      <c r="E39" s="83">
        <v>2544.5130033476898</v>
      </c>
      <c r="F39" s="22" t="s">
        <v>241</v>
      </c>
      <c r="G39" s="37">
        <v>1.267120142685684</v>
      </c>
      <c r="H39" s="33">
        <v>-7.4998577229892902</v>
      </c>
    </row>
    <row r="40" spans="1:8" x14ac:dyDescent="0.2">
      <c r="A40" s="34"/>
      <c r="B40" s="25" t="s">
        <v>242</v>
      </c>
      <c r="C40" s="82">
        <v>1876.3099552257379</v>
      </c>
      <c r="D40" s="82">
        <v>2001.8207322122353</v>
      </c>
      <c r="E40" s="82">
        <v>1867.5434075320425</v>
      </c>
      <c r="F40" s="27"/>
      <c r="G40" s="28">
        <v>-0.467222788499285</v>
      </c>
      <c r="H40" s="29">
        <v>-6.7077597169153904</v>
      </c>
    </row>
    <row r="41" spans="1:8" x14ac:dyDescent="0.2">
      <c r="A41" s="30" t="s">
        <v>20</v>
      </c>
      <c r="B41" s="31" t="s">
        <v>3</v>
      </c>
      <c r="C41" s="80">
        <v>59.419368311101771</v>
      </c>
      <c r="D41" s="80">
        <v>65.364362678259369</v>
      </c>
      <c r="E41" s="83">
        <v>57.463906465205497</v>
      </c>
      <c r="F41" s="22" t="s">
        <v>241</v>
      </c>
      <c r="G41" s="23">
        <v>-3.2909502431228645</v>
      </c>
      <c r="H41" s="24">
        <v>-12.086794530441608</v>
      </c>
    </row>
    <row r="42" spans="1:8" x14ac:dyDescent="0.2">
      <c r="A42" s="34"/>
      <c r="B42" s="25" t="s">
        <v>242</v>
      </c>
      <c r="C42" s="82">
        <v>42.555470174372793</v>
      </c>
      <c r="D42" s="82">
        <v>53.826581557552046</v>
      </c>
      <c r="E42" s="82">
        <v>45.069938312005092</v>
      </c>
      <c r="F42" s="27"/>
      <c r="G42" s="38">
        <v>5.9086837187538208</v>
      </c>
      <c r="H42" s="24">
        <v>-16.268250726983737</v>
      </c>
    </row>
    <row r="43" spans="1:8" x14ac:dyDescent="0.2">
      <c r="A43" s="30" t="s">
        <v>21</v>
      </c>
      <c r="B43" s="31" t="s">
        <v>3</v>
      </c>
      <c r="C43" s="80">
        <v>28.451073242228507</v>
      </c>
      <c r="D43" s="80">
        <v>34.491750088898648</v>
      </c>
      <c r="E43" s="83">
        <v>42.557846583769141</v>
      </c>
      <c r="F43" s="22" t="s">
        <v>241</v>
      </c>
      <c r="G43" s="37">
        <v>49.58257012464</v>
      </c>
      <c r="H43" s="33">
        <v>23.385581984332561</v>
      </c>
    </row>
    <row r="44" spans="1:8" x14ac:dyDescent="0.2">
      <c r="A44" s="34"/>
      <c r="B44" s="25" t="s">
        <v>242</v>
      </c>
      <c r="C44" s="82">
        <v>22.023921810503438</v>
      </c>
      <c r="D44" s="82">
        <v>27.744068652620882</v>
      </c>
      <c r="E44" s="82">
        <v>33.791719463687031</v>
      </c>
      <c r="F44" s="27"/>
      <c r="G44" s="28">
        <v>53.43188989878908</v>
      </c>
      <c r="H44" s="29">
        <v>21.797995408632502</v>
      </c>
    </row>
    <row r="45" spans="1:8" x14ac:dyDescent="0.2">
      <c r="A45" s="30" t="s">
        <v>22</v>
      </c>
      <c r="B45" s="31" t="s">
        <v>3</v>
      </c>
      <c r="C45" s="80">
        <v>3.847311846776059</v>
      </c>
      <c r="D45" s="80">
        <v>3.6111542972530914</v>
      </c>
      <c r="E45" s="83">
        <v>2.5801258240687006</v>
      </c>
      <c r="F45" s="22" t="s">
        <v>241</v>
      </c>
      <c r="G45" s="37">
        <v>-32.936919937208245</v>
      </c>
      <c r="H45" s="33">
        <v>-28.551216268124207</v>
      </c>
    </row>
    <row r="46" spans="1:8" x14ac:dyDescent="0.2">
      <c r="A46" s="34"/>
      <c r="B46" s="25" t="s">
        <v>242</v>
      </c>
      <c r="C46" s="82">
        <v>3.1517850812960182</v>
      </c>
      <c r="D46" s="82">
        <v>3.5832906099921806</v>
      </c>
      <c r="E46" s="82">
        <v>2.3917890936702064</v>
      </c>
      <c r="F46" s="27"/>
      <c r="G46" s="28">
        <v>-24.113191985581082</v>
      </c>
      <c r="H46" s="29">
        <v>-33.251601558618049</v>
      </c>
    </row>
    <row r="47" spans="1:8" x14ac:dyDescent="0.2">
      <c r="A47" s="30" t="s">
        <v>190</v>
      </c>
      <c r="B47" s="31" t="s">
        <v>3</v>
      </c>
      <c r="C47" s="80">
        <v>672.03403952948133</v>
      </c>
      <c r="D47" s="80">
        <v>516.77609510899003</v>
      </c>
      <c r="E47" s="83">
        <v>521.26067912918609</v>
      </c>
      <c r="F47" s="22" t="s">
        <v>241</v>
      </c>
      <c r="G47" s="23">
        <v>-22.435375521433087</v>
      </c>
      <c r="H47" s="24">
        <v>0.86780020644148692</v>
      </c>
    </row>
    <row r="48" spans="1:8" x14ac:dyDescent="0.2">
      <c r="A48" s="30"/>
      <c r="B48" s="25" t="s">
        <v>242</v>
      </c>
      <c r="C48" s="82">
        <v>567.68926525714915</v>
      </c>
      <c r="D48" s="82">
        <v>398.51611117394503</v>
      </c>
      <c r="E48" s="82">
        <v>413.99380850329925</v>
      </c>
      <c r="F48" s="27"/>
      <c r="G48" s="38">
        <v>-27.073870541524087</v>
      </c>
      <c r="H48" s="24">
        <v>3.883832270610128</v>
      </c>
    </row>
    <row r="49" spans="1:8" x14ac:dyDescent="0.2">
      <c r="A49" s="39" t="s">
        <v>12</v>
      </c>
      <c r="B49" s="31" t="s">
        <v>3</v>
      </c>
      <c r="C49" s="80">
        <v>6.6752799770858973</v>
      </c>
      <c r="D49" s="80">
        <v>9.1074185128509839</v>
      </c>
      <c r="E49" s="83">
        <v>6.0659599755656224</v>
      </c>
      <c r="F49" s="22" t="s">
        <v>241</v>
      </c>
      <c r="G49" s="37">
        <v>-9.12800666956106</v>
      </c>
      <c r="H49" s="33">
        <v>-33.395396653768842</v>
      </c>
    </row>
    <row r="50" spans="1:8" x14ac:dyDescent="0.2">
      <c r="A50" s="34"/>
      <c r="B50" s="25" t="s">
        <v>242</v>
      </c>
      <c r="C50" s="82">
        <v>6.5283415604300989</v>
      </c>
      <c r="D50" s="82">
        <v>5.3113320275867215</v>
      </c>
      <c r="E50" s="82">
        <v>4.0876319988748291</v>
      </c>
      <c r="F50" s="27"/>
      <c r="G50" s="28">
        <v>-37.386364346329813</v>
      </c>
      <c r="H50" s="29">
        <v>-23.03941878150475</v>
      </c>
    </row>
    <row r="51" spans="1:8" x14ac:dyDescent="0.2">
      <c r="A51" s="39" t="s">
        <v>23</v>
      </c>
      <c r="B51" s="31" t="s">
        <v>3</v>
      </c>
      <c r="C51" s="80">
        <v>160.89232808708007</v>
      </c>
      <c r="D51" s="80">
        <v>160.26388859581525</v>
      </c>
      <c r="E51" s="83">
        <v>166.09202560304726</v>
      </c>
      <c r="F51" s="22" t="s">
        <v>241</v>
      </c>
      <c r="G51" s="23">
        <v>3.2317871074330782</v>
      </c>
      <c r="H51" s="24">
        <v>3.6365877917330209</v>
      </c>
    </row>
    <row r="52" spans="1:8" x14ac:dyDescent="0.2">
      <c r="A52" s="34"/>
      <c r="B52" s="25" t="s">
        <v>242</v>
      </c>
      <c r="C52" s="82">
        <v>114.29429923621318</v>
      </c>
      <c r="D52" s="82">
        <v>114.5146778900513</v>
      </c>
      <c r="E52" s="82">
        <v>118.44785464727964</v>
      </c>
      <c r="F52" s="27"/>
      <c r="G52" s="28">
        <v>3.6340879981094076</v>
      </c>
      <c r="H52" s="29">
        <v>3.4346485792892736</v>
      </c>
    </row>
    <row r="53" spans="1:8" x14ac:dyDescent="0.2">
      <c r="A53" s="30" t="s">
        <v>24</v>
      </c>
      <c r="B53" s="31" t="s">
        <v>3</v>
      </c>
      <c r="C53" s="80">
        <v>465.52632636516074</v>
      </c>
      <c r="D53" s="80">
        <v>482.65311635847695</v>
      </c>
      <c r="E53" s="83">
        <v>629.22642938924287</v>
      </c>
      <c r="F53" s="22" t="s">
        <v>241</v>
      </c>
      <c r="G53" s="23">
        <v>35.164521049165131</v>
      </c>
      <c r="H53" s="24">
        <v>30.368251662111447</v>
      </c>
    </row>
    <row r="54" spans="1:8" ht="13.5" thickBot="1" x14ac:dyDescent="0.25">
      <c r="A54" s="41"/>
      <c r="B54" s="42" t="s">
        <v>242</v>
      </c>
      <c r="C54" s="86">
        <v>338.30102654314464</v>
      </c>
      <c r="D54" s="86">
        <v>347.74346527003269</v>
      </c>
      <c r="E54" s="86">
        <v>454.64489788769208</v>
      </c>
      <c r="F54" s="44"/>
      <c r="G54" s="45">
        <v>34.39063503099058</v>
      </c>
      <c r="H54" s="46">
        <v>30.741464123458769</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6">
        <v>15</v>
      </c>
    </row>
    <row r="62" spans="1:8" ht="12.75" customHeight="1" x14ac:dyDescent="0.2">
      <c r="A62" s="54" t="s">
        <v>244</v>
      </c>
      <c r="G62" s="53"/>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151</v>
      </c>
      <c r="B4" s="5"/>
      <c r="C4" s="5"/>
      <c r="D4" s="5"/>
      <c r="E4" s="5"/>
      <c r="F4" s="5"/>
      <c r="G4" s="5"/>
      <c r="H4" s="6"/>
    </row>
    <row r="5" spans="1:8" x14ac:dyDescent="0.2">
      <c r="A5" s="7"/>
      <c r="B5" s="8"/>
      <c r="C5" s="9"/>
      <c r="D5" s="8"/>
      <c r="E5" s="10"/>
      <c r="F5" s="11"/>
      <c r="G5" s="201" t="s">
        <v>1</v>
      </c>
      <c r="H5" s="202"/>
    </row>
    <row r="6" spans="1:8" x14ac:dyDescent="0.2">
      <c r="A6" s="12"/>
      <c r="B6" s="13"/>
      <c r="C6" s="14" t="s">
        <v>236</v>
      </c>
      <c r="D6" s="15" t="s">
        <v>237</v>
      </c>
      <c r="E6" s="15" t="s">
        <v>238</v>
      </c>
      <c r="F6" s="16"/>
      <c r="G6" s="17" t="s">
        <v>239</v>
      </c>
      <c r="H6" s="18" t="s">
        <v>240</v>
      </c>
    </row>
    <row r="7" spans="1:8" ht="12.75" customHeight="1" x14ac:dyDescent="0.2">
      <c r="A7" s="203" t="s">
        <v>45</v>
      </c>
      <c r="B7" s="19" t="s">
        <v>3</v>
      </c>
      <c r="C7" s="20">
        <v>18679.167529953433</v>
      </c>
      <c r="D7" s="20">
        <v>16571.543347459843</v>
      </c>
      <c r="E7" s="21">
        <v>18738.17408281727</v>
      </c>
      <c r="F7" s="22" t="s">
        <v>241</v>
      </c>
      <c r="G7" s="23">
        <v>0.31589498177162056</v>
      </c>
      <c r="H7" s="24">
        <v>13.074405261653183</v>
      </c>
    </row>
    <row r="8" spans="1:8" ht="12.75" customHeight="1" x14ac:dyDescent="0.2">
      <c r="A8" s="204"/>
      <c r="B8" s="25" t="s">
        <v>242</v>
      </c>
      <c r="C8" s="26">
        <v>15222.903625804425</v>
      </c>
      <c r="D8" s="26">
        <v>13638.057761732853</v>
      </c>
      <c r="E8" s="26">
        <v>15370.772092293204</v>
      </c>
      <c r="F8" s="27"/>
      <c r="G8" s="28">
        <v>0.97135520347200099</v>
      </c>
      <c r="H8" s="29">
        <v>12.704993341663283</v>
      </c>
    </row>
    <row r="9" spans="1:8" x14ac:dyDescent="0.2">
      <c r="A9" s="30" t="s">
        <v>18</v>
      </c>
      <c r="B9" s="31" t="s">
        <v>3</v>
      </c>
      <c r="C9" s="20">
        <v>2277.1434434782609</v>
      </c>
      <c r="D9" s="20">
        <v>2580.9849043478262</v>
      </c>
      <c r="E9" s="21">
        <v>2245.1512756538136</v>
      </c>
      <c r="F9" s="22" t="s">
        <v>241</v>
      </c>
      <c r="G9" s="32">
        <v>-1.4049254523720407</v>
      </c>
      <c r="H9" s="33">
        <v>-13.011840097486825</v>
      </c>
    </row>
    <row r="10" spans="1:8" x14ac:dyDescent="0.2">
      <c r="A10" s="34"/>
      <c r="B10" s="25" t="s">
        <v>242</v>
      </c>
      <c r="C10" s="26">
        <v>1828.0427826086957</v>
      </c>
      <c r="D10" s="26">
        <v>2106.1107999999999</v>
      </c>
      <c r="E10" s="26">
        <v>1822.0565217391304</v>
      </c>
      <c r="F10" s="27"/>
      <c r="G10" s="35">
        <v>-0.32746831346160832</v>
      </c>
      <c r="H10" s="29">
        <v>-13.487147887037537</v>
      </c>
    </row>
    <row r="11" spans="1:8" x14ac:dyDescent="0.2">
      <c r="A11" s="30" t="s">
        <v>19</v>
      </c>
      <c r="B11" s="31" t="s">
        <v>3</v>
      </c>
      <c r="C11" s="20">
        <v>5894.81147826087</v>
      </c>
      <c r="D11" s="20">
        <v>4867.6163478260869</v>
      </c>
      <c r="E11" s="21">
        <v>5050.1509792358756</v>
      </c>
      <c r="F11" s="22" t="s">
        <v>241</v>
      </c>
      <c r="G11" s="37">
        <v>-14.328880612042781</v>
      </c>
      <c r="H11" s="33">
        <v>3.7499798333800527</v>
      </c>
    </row>
    <row r="12" spans="1:8" x14ac:dyDescent="0.2">
      <c r="A12" s="34"/>
      <c r="B12" s="25" t="s">
        <v>242</v>
      </c>
      <c r="C12" s="26">
        <v>4948.1426086956526</v>
      </c>
      <c r="D12" s="26">
        <v>4006.0360000000001</v>
      </c>
      <c r="E12" s="26">
        <v>4183.521739130435</v>
      </c>
      <c r="F12" s="27"/>
      <c r="G12" s="28">
        <v>-15.45268457342975</v>
      </c>
      <c r="H12" s="29">
        <v>4.4304579172637375</v>
      </c>
    </row>
    <row r="13" spans="1:8" x14ac:dyDescent="0.2">
      <c r="A13" s="30" t="s">
        <v>20</v>
      </c>
      <c r="B13" s="31" t="s">
        <v>3</v>
      </c>
      <c r="C13" s="20">
        <v>1345.5768944099377</v>
      </c>
      <c r="D13" s="20">
        <v>1141.9125465838511</v>
      </c>
      <c r="E13" s="21">
        <v>971.35054822229461</v>
      </c>
      <c r="F13" s="22" t="s">
        <v>241</v>
      </c>
      <c r="G13" s="23">
        <v>-27.811591276747421</v>
      </c>
      <c r="H13" s="24">
        <v>-14.936520215301101</v>
      </c>
    </row>
    <row r="14" spans="1:8" x14ac:dyDescent="0.2">
      <c r="A14" s="34"/>
      <c r="B14" s="25" t="s">
        <v>242</v>
      </c>
      <c r="C14" s="26">
        <v>1037.8298136645963</v>
      </c>
      <c r="D14" s="26">
        <v>961.58857142857141</v>
      </c>
      <c r="E14" s="26">
        <v>793.67701863354046</v>
      </c>
      <c r="F14" s="27"/>
      <c r="G14" s="38">
        <v>-23.525320993520864</v>
      </c>
      <c r="H14" s="24">
        <v>-17.461891476681686</v>
      </c>
    </row>
    <row r="15" spans="1:8" x14ac:dyDescent="0.2">
      <c r="A15" s="30" t="s">
        <v>21</v>
      </c>
      <c r="B15" s="31" t="s">
        <v>3</v>
      </c>
      <c r="C15" s="20">
        <v>407.91826086956524</v>
      </c>
      <c r="D15" s="20">
        <v>405.30782608695654</v>
      </c>
      <c r="E15" s="21">
        <v>551.68654927274622</v>
      </c>
      <c r="F15" s="22" t="s">
        <v>241</v>
      </c>
      <c r="G15" s="37">
        <v>35.24438648485804</v>
      </c>
      <c r="H15" s="33">
        <v>36.115444549640898</v>
      </c>
    </row>
    <row r="16" spans="1:8" x14ac:dyDescent="0.2">
      <c r="A16" s="34"/>
      <c r="B16" s="25" t="s">
        <v>242</v>
      </c>
      <c r="C16" s="26">
        <v>309.40869565217395</v>
      </c>
      <c r="D16" s="26">
        <v>341.755</v>
      </c>
      <c r="E16" s="26">
        <v>448.48913043478262</v>
      </c>
      <c r="F16" s="27"/>
      <c r="G16" s="28">
        <v>44.95039626777583</v>
      </c>
      <c r="H16" s="29">
        <v>31.231183284745669</v>
      </c>
    </row>
    <row r="17" spans="1:8" x14ac:dyDescent="0.2">
      <c r="A17" s="30" t="s">
        <v>22</v>
      </c>
      <c r="B17" s="31" t="s">
        <v>3</v>
      </c>
      <c r="C17" s="20">
        <v>440.91826086956524</v>
      </c>
      <c r="D17" s="20">
        <v>382.30782608695654</v>
      </c>
      <c r="E17" s="21">
        <v>347.15343342683747</v>
      </c>
      <c r="F17" s="22" t="s">
        <v>241</v>
      </c>
      <c r="G17" s="37">
        <v>-21.265807240055722</v>
      </c>
      <c r="H17" s="33">
        <v>-9.1953107578088549</v>
      </c>
    </row>
    <row r="18" spans="1:8" x14ac:dyDescent="0.2">
      <c r="A18" s="34"/>
      <c r="B18" s="25" t="s">
        <v>242</v>
      </c>
      <c r="C18" s="26">
        <v>341.40869565217395</v>
      </c>
      <c r="D18" s="26">
        <v>315.755</v>
      </c>
      <c r="E18" s="26">
        <v>280.48913043478262</v>
      </c>
      <c r="F18" s="27"/>
      <c r="G18" s="28">
        <v>-17.843589221129847</v>
      </c>
      <c r="H18" s="29">
        <v>-11.16874461693952</v>
      </c>
    </row>
    <row r="19" spans="1:8" x14ac:dyDescent="0.2">
      <c r="A19" s="30" t="s">
        <v>190</v>
      </c>
      <c r="B19" s="31" t="s">
        <v>3</v>
      </c>
      <c r="C19" s="20">
        <v>5269.4422360248445</v>
      </c>
      <c r="D19" s="20">
        <v>4367.781366459627</v>
      </c>
      <c r="E19" s="21">
        <v>5475.7345889929738</v>
      </c>
      <c r="F19" s="22" t="s">
        <v>241</v>
      </c>
      <c r="G19" s="23">
        <v>3.9148802421212565</v>
      </c>
      <c r="H19" s="24">
        <v>25.366499134809402</v>
      </c>
    </row>
    <row r="20" spans="1:8" x14ac:dyDescent="0.2">
      <c r="A20" s="30"/>
      <c r="B20" s="25" t="s">
        <v>242</v>
      </c>
      <c r="C20" s="26">
        <v>4495.0745341614911</v>
      </c>
      <c r="D20" s="26">
        <v>3752.4714285714285</v>
      </c>
      <c r="E20" s="26">
        <v>4693.1925465838503</v>
      </c>
      <c r="F20" s="27"/>
      <c r="G20" s="38">
        <v>4.407446660043334</v>
      </c>
      <c r="H20" s="24">
        <v>25.069374568710728</v>
      </c>
    </row>
    <row r="21" spans="1:8" x14ac:dyDescent="0.2">
      <c r="A21" s="39" t="s">
        <v>12</v>
      </c>
      <c r="B21" s="31" t="s">
        <v>3</v>
      </c>
      <c r="C21" s="20">
        <v>41.150956521739133</v>
      </c>
      <c r="D21" s="20">
        <v>47.384695652173917</v>
      </c>
      <c r="E21" s="21">
        <v>48.936834247541569</v>
      </c>
      <c r="F21" s="22" t="s">
        <v>241</v>
      </c>
      <c r="G21" s="37">
        <v>18.920283716101068</v>
      </c>
      <c r="H21" s="33">
        <v>3.2756116167994094</v>
      </c>
    </row>
    <row r="22" spans="1:8" x14ac:dyDescent="0.2">
      <c r="A22" s="34"/>
      <c r="B22" s="25" t="s">
        <v>242</v>
      </c>
      <c r="C22" s="26">
        <v>31.845217391304349</v>
      </c>
      <c r="D22" s="26">
        <v>58.253</v>
      </c>
      <c r="E22" s="26">
        <v>50.293478260869563</v>
      </c>
      <c r="F22" s="27"/>
      <c r="G22" s="28">
        <v>57.931025066899679</v>
      </c>
      <c r="H22" s="29">
        <v>-13.663711292346221</v>
      </c>
    </row>
    <row r="23" spans="1:8" x14ac:dyDescent="0.2">
      <c r="A23" s="39" t="s">
        <v>23</v>
      </c>
      <c r="B23" s="31" t="s">
        <v>3</v>
      </c>
      <c r="C23" s="20">
        <v>1789.9182608695653</v>
      </c>
      <c r="D23" s="20">
        <v>1685.3078260869565</v>
      </c>
      <c r="E23" s="21">
        <v>1688.4787954807693</v>
      </c>
      <c r="F23" s="22" t="s">
        <v>241</v>
      </c>
      <c r="G23" s="23">
        <v>-5.6672680315309663</v>
      </c>
      <c r="H23" s="24">
        <v>0.18815372151776444</v>
      </c>
    </row>
    <row r="24" spans="1:8" x14ac:dyDescent="0.2">
      <c r="A24" s="34"/>
      <c r="B24" s="25" t="s">
        <v>242</v>
      </c>
      <c r="C24" s="26">
        <v>1302.4086956521739</v>
      </c>
      <c r="D24" s="26">
        <v>1251.7550000000001</v>
      </c>
      <c r="E24" s="26">
        <v>1245.4891304347825</v>
      </c>
      <c r="F24" s="27"/>
      <c r="G24" s="28">
        <v>-4.3703305580963843</v>
      </c>
      <c r="H24" s="29">
        <v>-0.50056676947306755</v>
      </c>
    </row>
    <row r="25" spans="1:8" x14ac:dyDescent="0.2">
      <c r="A25" s="30" t="s">
        <v>24</v>
      </c>
      <c r="B25" s="31" t="s">
        <v>3</v>
      </c>
      <c r="C25" s="20">
        <v>2014.8365217391304</v>
      </c>
      <c r="D25" s="20">
        <v>1670.6156521739131</v>
      </c>
      <c r="E25" s="21">
        <v>3056.5492109480861</v>
      </c>
      <c r="F25" s="22" t="s">
        <v>241</v>
      </c>
      <c r="G25" s="23">
        <v>51.702094833470113</v>
      </c>
      <c r="H25" s="24">
        <v>82.959450126706685</v>
      </c>
    </row>
    <row r="26" spans="1:8" ht="13.5" thickBot="1" x14ac:dyDescent="0.25">
      <c r="A26" s="41"/>
      <c r="B26" s="42" t="s">
        <v>242</v>
      </c>
      <c r="C26" s="43">
        <v>1551.8173913043479</v>
      </c>
      <c r="D26" s="43">
        <v>1346.51</v>
      </c>
      <c r="E26" s="43">
        <v>2425.978260869565</v>
      </c>
      <c r="F26" s="44"/>
      <c r="G26" s="45">
        <v>56.331426265977058</v>
      </c>
      <c r="H26" s="46">
        <v>80.167860682027225</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7" t="s">
        <v>16</v>
      </c>
      <c r="D33" s="201"/>
      <c r="E33" s="201"/>
      <c r="F33" s="208"/>
      <c r="G33" s="201" t="s">
        <v>1</v>
      </c>
      <c r="H33" s="202"/>
    </row>
    <row r="34" spans="1:8" x14ac:dyDescent="0.2">
      <c r="A34" s="12"/>
      <c r="B34" s="13"/>
      <c r="C34" s="14" t="s">
        <v>236</v>
      </c>
      <c r="D34" s="15" t="s">
        <v>237</v>
      </c>
      <c r="E34" s="15" t="s">
        <v>238</v>
      </c>
      <c r="F34" s="16"/>
      <c r="G34" s="17" t="s">
        <v>239</v>
      </c>
      <c r="H34" s="18" t="s">
        <v>240</v>
      </c>
    </row>
    <row r="35" spans="1:8" ht="12.75" customHeight="1" x14ac:dyDescent="0.2">
      <c r="A35" s="203" t="s">
        <v>45</v>
      </c>
      <c r="B35" s="19" t="s">
        <v>3</v>
      </c>
      <c r="C35" s="80">
        <v>905.69526492151988</v>
      </c>
      <c r="D35" s="80">
        <v>854.86210765784256</v>
      </c>
      <c r="E35" s="83">
        <v>862.83166713821879</v>
      </c>
      <c r="F35" s="22" t="s">
        <v>241</v>
      </c>
      <c r="G35" s="23">
        <v>-4.7326732780274909</v>
      </c>
      <c r="H35" s="24">
        <v>0.93226257299102144</v>
      </c>
    </row>
    <row r="36" spans="1:8" ht="12.75" customHeight="1" x14ac:dyDescent="0.2">
      <c r="A36" s="204"/>
      <c r="B36" s="25" t="s">
        <v>242</v>
      </c>
      <c r="C36" s="82">
        <v>723.20693090707357</v>
      </c>
      <c r="D36" s="82">
        <v>657.97074542674648</v>
      </c>
      <c r="E36" s="82">
        <v>672.1944678929309</v>
      </c>
      <c r="F36" s="27"/>
      <c r="G36" s="28">
        <v>-7.0536468656572424</v>
      </c>
      <c r="H36" s="29">
        <v>2.1617560605918982</v>
      </c>
    </row>
    <row r="37" spans="1:8" x14ac:dyDescent="0.2">
      <c r="A37" s="30" t="s">
        <v>18</v>
      </c>
      <c r="B37" s="31" t="s">
        <v>3</v>
      </c>
      <c r="C37" s="80">
        <v>346.73780852116772</v>
      </c>
      <c r="D37" s="80">
        <v>369.27527649632401</v>
      </c>
      <c r="E37" s="83">
        <v>307.38713706438864</v>
      </c>
      <c r="F37" s="22" t="s">
        <v>241</v>
      </c>
      <c r="G37" s="32">
        <v>-11.348826257110289</v>
      </c>
      <c r="H37" s="33">
        <v>-16.759350915427845</v>
      </c>
    </row>
    <row r="38" spans="1:8" x14ac:dyDescent="0.2">
      <c r="A38" s="34"/>
      <c r="B38" s="25" t="s">
        <v>242</v>
      </c>
      <c r="C38" s="82">
        <v>266.06997104152748</v>
      </c>
      <c r="D38" s="82">
        <v>272.78521572326986</v>
      </c>
      <c r="E38" s="82">
        <v>229.92952935692873</v>
      </c>
      <c r="F38" s="27"/>
      <c r="G38" s="35">
        <v>-13.583059201730833</v>
      </c>
      <c r="H38" s="29">
        <v>-15.710413870015799</v>
      </c>
    </row>
    <row r="39" spans="1:8" x14ac:dyDescent="0.2">
      <c r="A39" s="30" t="s">
        <v>19</v>
      </c>
      <c r="B39" s="31" t="s">
        <v>3</v>
      </c>
      <c r="C39" s="80">
        <v>273.02541210104232</v>
      </c>
      <c r="D39" s="80">
        <v>251.67091707511867</v>
      </c>
      <c r="E39" s="83">
        <v>241.69620348497156</v>
      </c>
      <c r="F39" s="22" t="s">
        <v>241</v>
      </c>
      <c r="G39" s="37">
        <v>-11.474832461557213</v>
      </c>
      <c r="H39" s="33">
        <v>-3.9633954157563096</v>
      </c>
    </row>
    <row r="40" spans="1:8" x14ac:dyDescent="0.2">
      <c r="A40" s="34"/>
      <c r="B40" s="25" t="s">
        <v>242</v>
      </c>
      <c r="C40" s="82">
        <v>227.64170678300181</v>
      </c>
      <c r="D40" s="82">
        <v>201.96742688893994</v>
      </c>
      <c r="E40" s="82">
        <v>196.41805889309163</v>
      </c>
      <c r="F40" s="27"/>
      <c r="G40" s="28">
        <v>-13.716136788446221</v>
      </c>
      <c r="H40" s="29">
        <v>-2.7476549468047864</v>
      </c>
    </row>
    <row r="41" spans="1:8" x14ac:dyDescent="0.2">
      <c r="A41" s="30" t="s">
        <v>20</v>
      </c>
      <c r="B41" s="31" t="s">
        <v>3</v>
      </c>
      <c r="C41" s="80">
        <v>40.02754168624454</v>
      </c>
      <c r="D41" s="80">
        <v>36.015530267074276</v>
      </c>
      <c r="E41" s="83">
        <v>31.323925231975249</v>
      </c>
      <c r="F41" s="22" t="s">
        <v>241</v>
      </c>
      <c r="G41" s="23">
        <v>-21.744069427227117</v>
      </c>
      <c r="H41" s="24">
        <v>-13.026616574317487</v>
      </c>
    </row>
    <row r="42" spans="1:8" x14ac:dyDescent="0.2">
      <c r="A42" s="34"/>
      <c r="B42" s="25" t="s">
        <v>242</v>
      </c>
      <c r="C42" s="82">
        <v>34.092120506343086</v>
      </c>
      <c r="D42" s="82">
        <v>29.442995801286319</v>
      </c>
      <c r="E42" s="82">
        <v>25.955054901415039</v>
      </c>
      <c r="F42" s="27"/>
      <c r="G42" s="38">
        <v>-23.867877632938928</v>
      </c>
      <c r="H42" s="24">
        <v>-11.8464198528293</v>
      </c>
    </row>
    <row r="43" spans="1:8" x14ac:dyDescent="0.2">
      <c r="A43" s="30" t="s">
        <v>21</v>
      </c>
      <c r="B43" s="31" t="s">
        <v>3</v>
      </c>
      <c r="C43" s="80">
        <v>7.6017906677448961</v>
      </c>
      <c r="D43" s="80">
        <v>7.0481779669671765</v>
      </c>
      <c r="E43" s="83">
        <v>9.9989829785516484</v>
      </c>
      <c r="F43" s="22" t="s">
        <v>241</v>
      </c>
      <c r="G43" s="37">
        <v>31.534574096840942</v>
      </c>
      <c r="H43" s="33">
        <v>41.866210322924076</v>
      </c>
    </row>
    <row r="44" spans="1:8" x14ac:dyDescent="0.2">
      <c r="A44" s="34"/>
      <c r="B44" s="25" t="s">
        <v>242</v>
      </c>
      <c r="C44" s="82">
        <v>5.2344946748869647</v>
      </c>
      <c r="D44" s="82">
        <v>5.5032489350928939</v>
      </c>
      <c r="E44" s="82">
        <v>7.473621573897212</v>
      </c>
      <c r="F44" s="27"/>
      <c r="G44" s="28">
        <v>42.776371705041413</v>
      </c>
      <c r="H44" s="29">
        <v>35.803807206316378</v>
      </c>
    </row>
    <row r="45" spans="1:8" x14ac:dyDescent="0.2">
      <c r="A45" s="30" t="s">
        <v>22</v>
      </c>
      <c r="B45" s="31" t="s">
        <v>3</v>
      </c>
      <c r="C45" s="80">
        <v>2.4576141366135205</v>
      </c>
      <c r="D45" s="80">
        <v>2.0929110289082646</v>
      </c>
      <c r="E45" s="83">
        <v>2.1377130428907902</v>
      </c>
      <c r="F45" s="22" t="s">
        <v>241</v>
      </c>
      <c r="G45" s="37">
        <v>-13.016733951715437</v>
      </c>
      <c r="H45" s="33">
        <v>2.1406554489751102</v>
      </c>
    </row>
    <row r="46" spans="1:8" x14ac:dyDescent="0.2">
      <c r="A46" s="34"/>
      <c r="B46" s="25" t="s">
        <v>242</v>
      </c>
      <c r="C46" s="82">
        <v>2.0334145737371547</v>
      </c>
      <c r="D46" s="82">
        <v>1.861533314169499</v>
      </c>
      <c r="E46" s="82">
        <v>1.8550081254338027</v>
      </c>
      <c r="F46" s="27"/>
      <c r="G46" s="28">
        <v>-8.7737370729798556</v>
      </c>
      <c r="H46" s="29">
        <v>-0.3505276368694723</v>
      </c>
    </row>
    <row r="47" spans="1:8" x14ac:dyDescent="0.2">
      <c r="A47" s="30" t="s">
        <v>190</v>
      </c>
      <c r="B47" s="31" t="s">
        <v>3</v>
      </c>
      <c r="C47" s="80">
        <v>137.86343215799471</v>
      </c>
      <c r="D47" s="80">
        <v>98.114514318619783</v>
      </c>
      <c r="E47" s="83">
        <v>132.25255433973581</v>
      </c>
      <c r="F47" s="22" t="s">
        <v>241</v>
      </c>
      <c r="G47" s="23">
        <v>-4.0698811355782141</v>
      </c>
      <c r="H47" s="24">
        <v>34.794077367855294</v>
      </c>
    </row>
    <row r="48" spans="1:8" x14ac:dyDescent="0.2">
      <c r="A48" s="30"/>
      <c r="B48" s="25" t="s">
        <v>242</v>
      </c>
      <c r="C48" s="82">
        <v>116.89115665000858</v>
      </c>
      <c r="D48" s="82">
        <v>78.415562847706397</v>
      </c>
      <c r="E48" s="82">
        <v>107.76065325490836</v>
      </c>
      <c r="F48" s="27"/>
      <c r="G48" s="38">
        <v>-7.8111156196686977</v>
      </c>
      <c r="H48" s="24">
        <v>37.422533667448249</v>
      </c>
    </row>
    <row r="49" spans="1:8" x14ac:dyDescent="0.2">
      <c r="A49" s="39" t="s">
        <v>12</v>
      </c>
      <c r="B49" s="31" t="s">
        <v>3</v>
      </c>
      <c r="C49" s="80">
        <v>1.5168175094124985</v>
      </c>
      <c r="D49" s="80">
        <v>0.94551141068839084</v>
      </c>
      <c r="E49" s="83">
        <v>0.70032081191285767</v>
      </c>
      <c r="F49" s="22" t="s">
        <v>241</v>
      </c>
      <c r="G49" s="37">
        <v>-53.82959337118217</v>
      </c>
      <c r="H49" s="33">
        <v>-25.932061316639135</v>
      </c>
    </row>
    <row r="50" spans="1:8" x14ac:dyDescent="0.2">
      <c r="A50" s="34"/>
      <c r="B50" s="25" t="s">
        <v>242</v>
      </c>
      <c r="C50" s="82">
        <v>1.0169079967624532</v>
      </c>
      <c r="D50" s="82">
        <v>1.2359023850578919</v>
      </c>
      <c r="E50" s="82">
        <v>0.69529794221346186</v>
      </c>
      <c r="F50" s="27"/>
      <c r="G50" s="28">
        <v>-31.626268607672131</v>
      </c>
      <c r="H50" s="29">
        <v>-43.741678095322001</v>
      </c>
    </row>
    <row r="51" spans="1:8" x14ac:dyDescent="0.2">
      <c r="A51" s="39" t="s">
        <v>23</v>
      </c>
      <c r="B51" s="31" t="s">
        <v>3</v>
      </c>
      <c r="C51" s="80">
        <v>48.171002876129222</v>
      </c>
      <c r="D51" s="80">
        <v>45.637182320147751</v>
      </c>
      <c r="E51" s="83">
        <v>48.74011265248911</v>
      </c>
      <c r="F51" s="22" t="s">
        <v>241</v>
      </c>
      <c r="G51" s="23">
        <v>1.1814364293459789</v>
      </c>
      <c r="H51" s="24">
        <v>6.799127760723934</v>
      </c>
    </row>
    <row r="52" spans="1:8" x14ac:dyDescent="0.2">
      <c r="A52" s="34"/>
      <c r="B52" s="25" t="s">
        <v>242</v>
      </c>
      <c r="C52" s="82">
        <v>34.249974906982573</v>
      </c>
      <c r="D52" s="82">
        <v>32.540507631021306</v>
      </c>
      <c r="E52" s="82">
        <v>34.720129092739725</v>
      </c>
      <c r="F52" s="27"/>
      <c r="G52" s="28">
        <v>1.372713956824839</v>
      </c>
      <c r="H52" s="29">
        <v>6.6981790402082027</v>
      </c>
    </row>
    <row r="53" spans="1:8" x14ac:dyDescent="0.2">
      <c r="A53" s="30" t="s">
        <v>24</v>
      </c>
      <c r="B53" s="31" t="s">
        <v>3</v>
      </c>
      <c r="C53" s="80">
        <v>48.293845265170525</v>
      </c>
      <c r="D53" s="80">
        <v>44.062086773994324</v>
      </c>
      <c r="E53" s="83">
        <v>88.00071488721359</v>
      </c>
      <c r="F53" s="22" t="s">
        <v>241</v>
      </c>
      <c r="G53" s="23">
        <v>82.219316776333841</v>
      </c>
      <c r="H53" s="24">
        <v>99.719807503878997</v>
      </c>
    </row>
    <row r="54" spans="1:8" ht="13.5" thickBot="1" x14ac:dyDescent="0.25">
      <c r="A54" s="41"/>
      <c r="B54" s="42" t="s">
        <v>242</v>
      </c>
      <c r="C54" s="86">
        <v>35.977183773823668</v>
      </c>
      <c r="D54" s="86">
        <v>34.218351900202578</v>
      </c>
      <c r="E54" s="86">
        <v>67.387114752302836</v>
      </c>
      <c r="F54" s="44"/>
      <c r="G54" s="45">
        <v>87.30514088023881</v>
      </c>
      <c r="H54" s="46">
        <v>96.932672119442117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8">
        <v>16</v>
      </c>
    </row>
    <row r="62" spans="1:8" ht="12.75" customHeight="1" x14ac:dyDescent="0.2">
      <c r="A62" s="54" t="s">
        <v>244</v>
      </c>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164</v>
      </c>
      <c r="B4" s="5"/>
      <c r="C4" s="5"/>
      <c r="D4" s="5"/>
      <c r="E4" s="5"/>
      <c r="F4" s="5"/>
      <c r="G4" s="5"/>
      <c r="H4" s="6"/>
    </row>
    <row r="5" spans="1:8" x14ac:dyDescent="0.2">
      <c r="A5" s="7"/>
      <c r="B5" s="8"/>
      <c r="C5" s="9"/>
      <c r="D5" s="8"/>
      <c r="E5" s="10"/>
      <c r="F5" s="11"/>
      <c r="G5" s="201" t="s">
        <v>1</v>
      </c>
      <c r="H5" s="202"/>
    </row>
    <row r="6" spans="1:8" x14ac:dyDescent="0.2">
      <c r="A6" s="12"/>
      <c r="B6" s="13"/>
      <c r="C6" s="14" t="s">
        <v>236</v>
      </c>
      <c r="D6" s="15" t="s">
        <v>237</v>
      </c>
      <c r="E6" s="15" t="s">
        <v>238</v>
      </c>
      <c r="F6" s="16"/>
      <c r="G6" s="17" t="s">
        <v>239</v>
      </c>
      <c r="H6" s="18" t="s">
        <v>240</v>
      </c>
    </row>
    <row r="7" spans="1:8" x14ac:dyDescent="0.2">
      <c r="A7" s="203" t="s">
        <v>166</v>
      </c>
      <c r="B7" s="19" t="s">
        <v>3</v>
      </c>
      <c r="C7" s="20">
        <v>47104.096671444495</v>
      </c>
      <c r="D7" s="20">
        <v>46862.684981684979</v>
      </c>
      <c r="E7" s="79">
        <v>44364.475017279525</v>
      </c>
      <c r="F7" s="22" t="s">
        <v>241</v>
      </c>
      <c r="G7" s="23">
        <v>-5.8161006106837903</v>
      </c>
      <c r="H7" s="24">
        <v>-5.3309151308377096</v>
      </c>
    </row>
    <row r="8" spans="1:8" x14ac:dyDescent="0.2">
      <c r="A8" s="204"/>
      <c r="B8" s="25" t="s">
        <v>242</v>
      </c>
      <c r="C8" s="26">
        <v>35114.516483516483</v>
      </c>
      <c r="D8" s="26">
        <v>35803.787386526521</v>
      </c>
      <c r="E8" s="26">
        <v>33616.30625895843</v>
      </c>
      <c r="F8" s="27"/>
      <c r="G8" s="28">
        <v>-4.2666406221522237</v>
      </c>
      <c r="H8" s="29">
        <v>-6.1096361229965055</v>
      </c>
    </row>
    <row r="9" spans="1:8" x14ac:dyDescent="0.2">
      <c r="A9" s="30" t="s">
        <v>18</v>
      </c>
      <c r="B9" s="31" t="s">
        <v>3</v>
      </c>
      <c r="C9" s="20">
        <v>5019.7944202898552</v>
      </c>
      <c r="D9" s="20">
        <v>5139.9516666666668</v>
      </c>
      <c r="E9" s="36">
        <v>4486.8862735440289</v>
      </c>
      <c r="F9" s="22" t="s">
        <v>241</v>
      </c>
      <c r="G9" s="32">
        <v>-10.616134887752139</v>
      </c>
      <c r="H9" s="33">
        <v>-12.705671871544283</v>
      </c>
    </row>
    <row r="10" spans="1:8" x14ac:dyDescent="0.2">
      <c r="A10" s="34"/>
      <c r="B10" s="25" t="s">
        <v>242</v>
      </c>
      <c r="C10" s="26">
        <v>3669.8287500000001</v>
      </c>
      <c r="D10" s="26">
        <v>3877.4954347826088</v>
      </c>
      <c r="E10" s="26">
        <v>3349.2339130434784</v>
      </c>
      <c r="F10" s="27"/>
      <c r="G10" s="35">
        <v>-8.7359617790481821</v>
      </c>
      <c r="H10" s="29">
        <v>-13.623781913459482</v>
      </c>
    </row>
    <row r="11" spans="1:8" x14ac:dyDescent="0.2">
      <c r="A11" s="30" t="s">
        <v>19</v>
      </c>
      <c r="B11" s="31" t="s">
        <v>3</v>
      </c>
      <c r="C11" s="20">
        <v>20725.509011857706</v>
      </c>
      <c r="D11" s="20">
        <v>20375.569090909092</v>
      </c>
      <c r="E11" s="36">
        <v>19873.452784269095</v>
      </c>
      <c r="F11" s="22" t="s">
        <v>241</v>
      </c>
      <c r="G11" s="37">
        <v>-4.1111474130798058</v>
      </c>
      <c r="H11" s="33">
        <v>-2.4643056809835286</v>
      </c>
    </row>
    <row r="12" spans="1:8" x14ac:dyDescent="0.2">
      <c r="A12" s="34"/>
      <c r="B12" s="25" t="s">
        <v>242</v>
      </c>
      <c r="C12" s="26">
        <v>15638.257727272727</v>
      </c>
      <c r="D12" s="26">
        <v>15550.712332015812</v>
      </c>
      <c r="E12" s="26">
        <v>15109.674624505929</v>
      </c>
      <c r="F12" s="27"/>
      <c r="G12" s="28">
        <v>-3.3800638919319113</v>
      </c>
      <c r="H12" s="29">
        <v>-2.8361254333145496</v>
      </c>
    </row>
    <row r="13" spans="1:8" x14ac:dyDescent="0.2">
      <c r="A13" s="30" t="s">
        <v>20</v>
      </c>
      <c r="B13" s="31" t="s">
        <v>3</v>
      </c>
      <c r="C13" s="20">
        <v>2919.2766521739131</v>
      </c>
      <c r="D13" s="20">
        <v>2841.5709999999999</v>
      </c>
      <c r="E13" s="36">
        <v>3043.4165384262596</v>
      </c>
      <c r="F13" s="22" t="s">
        <v>241</v>
      </c>
      <c r="G13" s="23">
        <v>4.2524193847781646</v>
      </c>
      <c r="H13" s="24">
        <v>7.1033079386810982</v>
      </c>
    </row>
    <row r="14" spans="1:8" x14ac:dyDescent="0.2">
      <c r="A14" s="34"/>
      <c r="B14" s="25" t="s">
        <v>242</v>
      </c>
      <c r="C14" s="26">
        <v>2132.2972500000001</v>
      </c>
      <c r="D14" s="26">
        <v>2071.297260869565</v>
      </c>
      <c r="E14" s="26">
        <v>2219.940347826087</v>
      </c>
      <c r="F14" s="27"/>
      <c r="G14" s="38">
        <v>4.1102664192849829</v>
      </c>
      <c r="H14" s="24">
        <v>7.1763280802157396</v>
      </c>
    </row>
    <row r="15" spans="1:8" x14ac:dyDescent="0.2">
      <c r="A15" s="30" t="s">
        <v>21</v>
      </c>
      <c r="B15" s="31" t="s">
        <v>3</v>
      </c>
      <c r="C15" s="20">
        <v>1228.2766521739131</v>
      </c>
      <c r="D15" s="20">
        <v>1158.5709999999999</v>
      </c>
      <c r="E15" s="36">
        <v>1201.3376443620518</v>
      </c>
      <c r="F15" s="22" t="s">
        <v>241</v>
      </c>
      <c r="G15" s="37">
        <v>-2.193236170709767</v>
      </c>
      <c r="H15" s="33">
        <v>3.6913270194102807</v>
      </c>
    </row>
    <row r="16" spans="1:8" x14ac:dyDescent="0.2">
      <c r="A16" s="34"/>
      <c r="B16" s="25" t="s">
        <v>242</v>
      </c>
      <c r="C16" s="26">
        <v>932.29725000000008</v>
      </c>
      <c r="D16" s="26">
        <v>907.29726086956521</v>
      </c>
      <c r="E16" s="26">
        <v>930.94034782608696</v>
      </c>
      <c r="F16" s="27"/>
      <c r="G16" s="28">
        <v>-0.14554394254763281</v>
      </c>
      <c r="H16" s="29">
        <v>2.6058810024249368</v>
      </c>
    </row>
    <row r="17" spans="1:8" x14ac:dyDescent="0.2">
      <c r="A17" s="30" t="s">
        <v>190</v>
      </c>
      <c r="B17" s="31" t="s">
        <v>3</v>
      </c>
      <c r="C17" s="20">
        <v>9925.7944202898543</v>
      </c>
      <c r="D17" s="20">
        <v>9831.9516666666677</v>
      </c>
      <c r="E17" s="36">
        <v>8351.6497447836919</v>
      </c>
      <c r="F17" s="22" t="s">
        <v>241</v>
      </c>
      <c r="G17" s="37">
        <v>-15.859130351202595</v>
      </c>
      <c r="H17" s="33">
        <v>-15.056033349936541</v>
      </c>
    </row>
    <row r="18" spans="1:8" x14ac:dyDescent="0.2">
      <c r="A18" s="34"/>
      <c r="B18" s="25" t="s">
        <v>242</v>
      </c>
      <c r="C18" s="26">
        <v>7379.8287499999997</v>
      </c>
      <c r="D18" s="26">
        <v>7701.4954347826088</v>
      </c>
      <c r="E18" s="26">
        <v>6427.2339130434784</v>
      </c>
      <c r="F18" s="27"/>
      <c r="G18" s="28">
        <v>-12.9080886457768</v>
      </c>
      <c r="H18" s="29">
        <v>-16.545637565194497</v>
      </c>
    </row>
    <row r="19" spans="1:8" x14ac:dyDescent="0.2">
      <c r="A19" s="39" t="s">
        <v>12</v>
      </c>
      <c r="B19" s="31" t="s">
        <v>3</v>
      </c>
      <c r="C19" s="20">
        <v>522.27665217391302</v>
      </c>
      <c r="D19" s="20">
        <v>425.57100000000003</v>
      </c>
      <c r="E19" s="36">
        <v>280.15594193586531</v>
      </c>
      <c r="F19" s="22" t="s">
        <v>241</v>
      </c>
      <c r="G19" s="37">
        <v>-46.358708402960325</v>
      </c>
      <c r="H19" s="33">
        <v>-34.1694001856646</v>
      </c>
    </row>
    <row r="20" spans="1:8" x14ac:dyDescent="0.2">
      <c r="A20" s="34"/>
      <c r="B20" s="25" t="s">
        <v>242</v>
      </c>
      <c r="C20" s="26">
        <v>412.29725000000002</v>
      </c>
      <c r="D20" s="26">
        <v>349.29726086956521</v>
      </c>
      <c r="E20" s="26">
        <v>226.94034782608696</v>
      </c>
      <c r="F20" s="27"/>
      <c r="G20" s="28">
        <v>-44.957103685244817</v>
      </c>
      <c r="H20" s="29">
        <v>-35.029451058068517</v>
      </c>
    </row>
    <row r="21" spans="1:8" x14ac:dyDescent="0.2">
      <c r="A21" s="39" t="s">
        <v>23</v>
      </c>
      <c r="B21" s="31" t="s">
        <v>3</v>
      </c>
      <c r="C21" s="20">
        <v>670.51776811594209</v>
      </c>
      <c r="D21" s="20">
        <v>720.38066666666668</v>
      </c>
      <c r="E21" s="36">
        <v>781.20906088203367</v>
      </c>
      <c r="F21" s="22" t="s">
        <v>241</v>
      </c>
      <c r="G21" s="23">
        <v>16.508331028589751</v>
      </c>
      <c r="H21" s="24">
        <v>8.4439237517063219</v>
      </c>
    </row>
    <row r="22" spans="1:8" x14ac:dyDescent="0.2">
      <c r="A22" s="34"/>
      <c r="B22" s="25" t="s">
        <v>242</v>
      </c>
      <c r="C22" s="26">
        <v>515.53150000000005</v>
      </c>
      <c r="D22" s="26">
        <v>526.19817391304343</v>
      </c>
      <c r="E22" s="26">
        <v>580.29356521739123</v>
      </c>
      <c r="F22" s="27"/>
      <c r="G22" s="38">
        <v>12.562193622967982</v>
      </c>
      <c r="H22" s="24">
        <v>10.280421709195693</v>
      </c>
    </row>
    <row r="23" spans="1:8" x14ac:dyDescent="0.2">
      <c r="A23" s="30" t="s">
        <v>24</v>
      </c>
      <c r="B23" s="31" t="s">
        <v>3</v>
      </c>
      <c r="C23" s="20">
        <v>7429.382995652174</v>
      </c>
      <c r="D23" s="20">
        <v>7460.7713000000003</v>
      </c>
      <c r="E23" s="36">
        <v>7260.8093626741411</v>
      </c>
      <c r="F23" s="22" t="s">
        <v>241</v>
      </c>
      <c r="G23" s="37">
        <v>-2.2690125556413676</v>
      </c>
      <c r="H23" s="33">
        <v>-2.6801778165463759</v>
      </c>
    </row>
    <row r="24" spans="1:8" ht="13.5" thickBot="1" x14ac:dyDescent="0.25">
      <c r="A24" s="41"/>
      <c r="B24" s="42" t="s">
        <v>242</v>
      </c>
      <c r="C24" s="43">
        <v>5430.4891750000006</v>
      </c>
      <c r="D24" s="43">
        <v>5665.7891782608704</v>
      </c>
      <c r="E24" s="43">
        <v>5443.2821043478261</v>
      </c>
      <c r="F24" s="44"/>
      <c r="G24" s="45">
        <v>0.23557600311072235</v>
      </c>
      <c r="H24" s="46">
        <v>-3.9272035529804725</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165</v>
      </c>
      <c r="B32" s="5"/>
      <c r="C32" s="5"/>
      <c r="D32" s="5"/>
      <c r="E32" s="5"/>
      <c r="F32" s="5"/>
      <c r="G32" s="5"/>
      <c r="H32" s="6"/>
    </row>
    <row r="33" spans="1:8" x14ac:dyDescent="0.2">
      <c r="A33" s="7"/>
      <c r="B33" s="8"/>
      <c r="C33" s="207" t="s">
        <v>16</v>
      </c>
      <c r="D33" s="201"/>
      <c r="E33" s="201"/>
      <c r="F33" s="208"/>
      <c r="G33" s="201" t="s">
        <v>1</v>
      </c>
      <c r="H33" s="202"/>
    </row>
    <row r="34" spans="1:8" x14ac:dyDescent="0.2">
      <c r="A34" s="12"/>
      <c r="B34" s="13"/>
      <c r="C34" s="14" t="s">
        <v>236</v>
      </c>
      <c r="D34" s="15" t="s">
        <v>237</v>
      </c>
      <c r="E34" s="15" t="s">
        <v>238</v>
      </c>
      <c r="F34" s="16"/>
      <c r="G34" s="17" t="s">
        <v>239</v>
      </c>
      <c r="H34" s="18" t="s">
        <v>240</v>
      </c>
    </row>
    <row r="35" spans="1:8" ht="12.75" customHeight="1" x14ac:dyDescent="0.2">
      <c r="A35" s="203" t="s">
        <v>166</v>
      </c>
      <c r="B35" s="19" t="s">
        <v>3</v>
      </c>
      <c r="C35" s="80">
        <v>6748.8583414238083</v>
      </c>
      <c r="D35" s="80">
        <v>5905.40679865111</v>
      </c>
      <c r="E35" s="81">
        <v>5680.9311597739088</v>
      </c>
      <c r="F35" s="22" t="s">
        <v>241</v>
      </c>
      <c r="G35" s="23">
        <v>-15.823819787341961</v>
      </c>
      <c r="H35" s="24">
        <v>-3.8011884114143442</v>
      </c>
    </row>
    <row r="36" spans="1:8" ht="12.75" customHeight="1" x14ac:dyDescent="0.2">
      <c r="A36" s="204"/>
      <c r="B36" s="25" t="s">
        <v>242</v>
      </c>
      <c r="C36" s="82">
        <v>5286.9828060371356</v>
      </c>
      <c r="D36" s="82">
        <v>4767.1996395704164</v>
      </c>
      <c r="E36" s="82">
        <v>4539.8772908809278</v>
      </c>
      <c r="F36" s="27"/>
      <c r="G36" s="28">
        <v>-14.131037352780822</v>
      </c>
      <c r="H36" s="29">
        <v>-4.7684671479370451</v>
      </c>
    </row>
    <row r="37" spans="1:8" x14ac:dyDescent="0.2">
      <c r="A37" s="30" t="s">
        <v>18</v>
      </c>
      <c r="B37" s="31" t="s">
        <v>3</v>
      </c>
      <c r="C37" s="80">
        <v>2971.2041967401638</v>
      </c>
      <c r="D37" s="80">
        <v>2576.6457160675845</v>
      </c>
      <c r="E37" s="83">
        <v>2611.8075506387195</v>
      </c>
      <c r="F37" s="22" t="s">
        <v>241</v>
      </c>
      <c r="G37" s="32">
        <v>-12.095992813141336</v>
      </c>
      <c r="H37" s="33">
        <v>1.3646359820394025</v>
      </c>
    </row>
    <row r="38" spans="1:8" x14ac:dyDescent="0.2">
      <c r="A38" s="34"/>
      <c r="B38" s="25" t="s">
        <v>242</v>
      </c>
      <c r="C38" s="82">
        <v>2275.0332370604028</v>
      </c>
      <c r="D38" s="82">
        <v>2179.7303074690744</v>
      </c>
      <c r="E38" s="82">
        <v>2134.8806423306037</v>
      </c>
      <c r="F38" s="27"/>
      <c r="G38" s="35">
        <v>-6.1604636119906502</v>
      </c>
      <c r="H38" s="29">
        <v>-2.0575786364390325</v>
      </c>
    </row>
    <row r="39" spans="1:8" x14ac:dyDescent="0.2">
      <c r="A39" s="30" t="s">
        <v>19</v>
      </c>
      <c r="B39" s="31" t="s">
        <v>3</v>
      </c>
      <c r="C39" s="80">
        <v>1607.9893875149664</v>
      </c>
      <c r="D39" s="80">
        <v>1645.1894379127918</v>
      </c>
      <c r="E39" s="83">
        <v>1605.2424311530008</v>
      </c>
      <c r="F39" s="22" t="s">
        <v>241</v>
      </c>
      <c r="G39" s="37">
        <v>-0.17083174698129255</v>
      </c>
      <c r="H39" s="33">
        <v>-2.4281098479741416</v>
      </c>
    </row>
    <row r="40" spans="1:8" x14ac:dyDescent="0.2">
      <c r="A40" s="34"/>
      <c r="B40" s="25" t="s">
        <v>242</v>
      </c>
      <c r="C40" s="82">
        <v>1248.3286224817896</v>
      </c>
      <c r="D40" s="82">
        <v>1232.9442011853789</v>
      </c>
      <c r="E40" s="82">
        <v>1217.066826170887</v>
      </c>
      <c r="F40" s="27"/>
      <c r="G40" s="28">
        <v>-2.5042921990165752</v>
      </c>
      <c r="H40" s="29">
        <v>-1.2877610356759988</v>
      </c>
    </row>
    <row r="41" spans="1:8" x14ac:dyDescent="0.2">
      <c r="A41" s="30" t="s">
        <v>20</v>
      </c>
      <c r="B41" s="31" t="s">
        <v>3</v>
      </c>
      <c r="C41" s="80">
        <v>142.96204945125851</v>
      </c>
      <c r="D41" s="80">
        <v>143.94542710324438</v>
      </c>
      <c r="E41" s="83">
        <v>153.05763678432865</v>
      </c>
      <c r="F41" s="22" t="s">
        <v>241</v>
      </c>
      <c r="G41" s="23">
        <v>7.0617253822400841</v>
      </c>
      <c r="H41" s="24">
        <v>6.3303224454282656</v>
      </c>
    </row>
    <row r="42" spans="1:8" x14ac:dyDescent="0.2">
      <c r="A42" s="34"/>
      <c r="B42" s="25" t="s">
        <v>242</v>
      </c>
      <c r="C42" s="82">
        <v>116.53561154884807</v>
      </c>
      <c r="D42" s="82">
        <v>107.46660929082229</v>
      </c>
      <c r="E42" s="82">
        <v>117.56621459943445</v>
      </c>
      <c r="F42" s="27"/>
      <c r="G42" s="38">
        <v>0.88436747951024586</v>
      </c>
      <c r="H42" s="24">
        <v>9.3979007761201103</v>
      </c>
    </row>
    <row r="43" spans="1:8" x14ac:dyDescent="0.2">
      <c r="A43" s="30" t="s">
        <v>21</v>
      </c>
      <c r="B43" s="31" t="s">
        <v>3</v>
      </c>
      <c r="C43" s="80">
        <v>18.466083758181639</v>
      </c>
      <c r="D43" s="80">
        <v>30.028634972271497</v>
      </c>
      <c r="E43" s="83">
        <v>17.222749138232896</v>
      </c>
      <c r="F43" s="22" t="s">
        <v>241</v>
      </c>
      <c r="G43" s="37">
        <v>-6.733071485164615</v>
      </c>
      <c r="H43" s="33">
        <v>-42.645580945865781</v>
      </c>
    </row>
    <row r="44" spans="1:8" x14ac:dyDescent="0.2">
      <c r="A44" s="34"/>
      <c r="B44" s="25" t="s">
        <v>242</v>
      </c>
      <c r="C44" s="82">
        <v>15.247250355956854</v>
      </c>
      <c r="D44" s="82">
        <v>26.838102886221659</v>
      </c>
      <c r="E44" s="82">
        <v>14.981208407038615</v>
      </c>
      <c r="F44" s="27"/>
      <c r="G44" s="28">
        <v>-1.7448519746663749</v>
      </c>
      <c r="H44" s="29">
        <v>-44.179331636999663</v>
      </c>
    </row>
    <row r="45" spans="1:8" x14ac:dyDescent="0.2">
      <c r="A45" s="30" t="s">
        <v>190</v>
      </c>
      <c r="B45" s="31" t="s">
        <v>3</v>
      </c>
      <c r="C45" s="80">
        <v>1108.4103109400962</v>
      </c>
      <c r="D45" s="80">
        <v>778.23145115395789</v>
      </c>
      <c r="E45" s="83">
        <v>724.99716922906964</v>
      </c>
      <c r="F45" s="22" t="s">
        <v>241</v>
      </c>
      <c r="G45" s="37">
        <v>-34.591264437610235</v>
      </c>
      <c r="H45" s="33">
        <v>-6.8404176991244299</v>
      </c>
    </row>
    <row r="46" spans="1:8" x14ac:dyDescent="0.2">
      <c r="A46" s="34"/>
      <c r="B46" s="25" t="s">
        <v>242</v>
      </c>
      <c r="C46" s="82">
        <v>810.82955708849977</v>
      </c>
      <c r="D46" s="82">
        <v>634.93835072217098</v>
      </c>
      <c r="E46" s="82">
        <v>569.61279042313549</v>
      </c>
      <c r="F46" s="27"/>
      <c r="G46" s="28">
        <v>-29.749380070889075</v>
      </c>
      <c r="H46" s="29">
        <v>-10.288488673701153</v>
      </c>
    </row>
    <row r="47" spans="1:8" x14ac:dyDescent="0.2">
      <c r="A47" s="39" t="s">
        <v>12</v>
      </c>
      <c r="B47" s="31" t="s">
        <v>3</v>
      </c>
      <c r="C47" s="80">
        <v>22.158456164608783</v>
      </c>
      <c r="D47" s="80">
        <v>14.599101522754497</v>
      </c>
      <c r="E47" s="83">
        <v>9.476289263039348</v>
      </c>
      <c r="F47" s="22" t="s">
        <v>241</v>
      </c>
      <c r="G47" s="37">
        <v>-57.233982400927545</v>
      </c>
      <c r="H47" s="33">
        <v>-35.089914620640286</v>
      </c>
    </row>
    <row r="48" spans="1:8" x14ac:dyDescent="0.2">
      <c r="A48" s="34"/>
      <c r="B48" s="25" t="s">
        <v>242</v>
      </c>
      <c r="C48" s="82">
        <v>18.977617826770956</v>
      </c>
      <c r="D48" s="82">
        <v>11.155681585018316</v>
      </c>
      <c r="E48" s="82">
        <v>7.5110301719169259</v>
      </c>
      <c r="F48" s="27"/>
      <c r="G48" s="28">
        <v>-60.42163858247045</v>
      </c>
      <c r="H48" s="29">
        <v>-32.670808908673294</v>
      </c>
    </row>
    <row r="49" spans="1:8" x14ac:dyDescent="0.2">
      <c r="A49" s="39" t="s">
        <v>23</v>
      </c>
      <c r="B49" s="31" t="s">
        <v>3</v>
      </c>
      <c r="C49" s="80">
        <v>35.592461416346289</v>
      </c>
      <c r="D49" s="80">
        <v>29.990324041124726</v>
      </c>
      <c r="E49" s="83">
        <v>34.499954448256041</v>
      </c>
      <c r="F49" s="22" t="s">
        <v>241</v>
      </c>
      <c r="G49" s="23">
        <v>-3.0694897869257858</v>
      </c>
      <c r="H49" s="24">
        <v>15.036951254502668</v>
      </c>
    </row>
    <row r="50" spans="1:8" x14ac:dyDescent="0.2">
      <c r="A50" s="34"/>
      <c r="B50" s="25" t="s">
        <v>242</v>
      </c>
      <c r="C50" s="82">
        <v>32.440289116419656</v>
      </c>
      <c r="D50" s="82">
        <v>21.498868418337256</v>
      </c>
      <c r="E50" s="82">
        <v>26.626410638165471</v>
      </c>
      <c r="F50" s="27"/>
      <c r="G50" s="38">
        <v>-17.921783796037403</v>
      </c>
      <c r="H50" s="24">
        <v>23.850288861969716</v>
      </c>
    </row>
    <row r="51" spans="1:8" x14ac:dyDescent="0.2">
      <c r="A51" s="30" t="s">
        <v>24</v>
      </c>
      <c r="B51" s="31" t="s">
        <v>3</v>
      </c>
      <c r="C51" s="80">
        <v>842.07539543818689</v>
      </c>
      <c r="D51" s="80">
        <v>686.77670587738157</v>
      </c>
      <c r="E51" s="83">
        <v>538.89984958859725</v>
      </c>
      <c r="F51" s="22" t="s">
        <v>241</v>
      </c>
      <c r="G51" s="37">
        <v>-36.003373034290789</v>
      </c>
      <c r="H51" s="33">
        <v>-21.532013975323522</v>
      </c>
    </row>
    <row r="52" spans="1:8" ht="13.5" thickBot="1" x14ac:dyDescent="0.25">
      <c r="A52" s="41"/>
      <c r="B52" s="42" t="s">
        <v>242</v>
      </c>
      <c r="C52" s="86">
        <v>769.59062055844856</v>
      </c>
      <c r="D52" s="86">
        <v>552.62751801339198</v>
      </c>
      <c r="E52" s="86">
        <v>451.63216813974611</v>
      </c>
      <c r="F52" s="44"/>
      <c r="G52" s="45">
        <v>-41.31527125265351</v>
      </c>
      <c r="H52" s="46">
        <v>-18.275483319525605</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6">
        <v>17</v>
      </c>
    </row>
    <row r="62" spans="1:8" ht="12.75" customHeight="1" x14ac:dyDescent="0.2">
      <c r="A62" s="54" t="s">
        <v>244</v>
      </c>
      <c r="G62" s="53"/>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1" t="s">
        <v>1</v>
      </c>
      <c r="H5" s="202"/>
    </row>
    <row r="6" spans="1:9" x14ac:dyDescent="0.2">
      <c r="A6" s="12"/>
      <c r="B6" s="13"/>
      <c r="C6" s="14" t="s">
        <v>236</v>
      </c>
      <c r="D6" s="15" t="s">
        <v>237</v>
      </c>
      <c r="E6" s="15" t="s">
        <v>238</v>
      </c>
      <c r="F6" s="16"/>
      <c r="G6" s="17" t="s">
        <v>239</v>
      </c>
      <c r="H6" s="18" t="s">
        <v>240</v>
      </c>
    </row>
    <row r="7" spans="1:9" x14ac:dyDescent="0.2">
      <c r="A7" s="203" t="s">
        <v>58</v>
      </c>
      <c r="B7" s="19" t="s">
        <v>3</v>
      </c>
      <c r="C7" s="20">
        <v>10868.335804081633</v>
      </c>
      <c r="D7" s="20">
        <v>9550.4275265306132</v>
      </c>
      <c r="E7" s="79">
        <v>8355.9981650554091</v>
      </c>
      <c r="F7" s="22" t="s">
        <v>241</v>
      </c>
      <c r="G7" s="23">
        <v>-23.116120851572404</v>
      </c>
      <c r="H7" s="24">
        <v>-12.506553849627551</v>
      </c>
    </row>
    <row r="8" spans="1:9" x14ac:dyDescent="0.2">
      <c r="A8" s="204"/>
      <c r="B8" s="25" t="s">
        <v>242</v>
      </c>
      <c r="C8" s="26">
        <v>8017.5373224489795</v>
      </c>
      <c r="D8" s="26">
        <v>7040.4526530612247</v>
      </c>
      <c r="E8" s="26">
        <v>6161.3536816326532</v>
      </c>
      <c r="F8" s="27"/>
      <c r="G8" s="28">
        <v>-23.15154349976072</v>
      </c>
      <c r="H8" s="29">
        <v>-12.486398456871015</v>
      </c>
    </row>
    <row r="9" spans="1:9" x14ac:dyDescent="0.2">
      <c r="A9" s="30" t="s">
        <v>9</v>
      </c>
      <c r="B9" s="31" t="s">
        <v>3</v>
      </c>
      <c r="C9" s="20">
        <v>10478.467885714286</v>
      </c>
      <c r="D9" s="20">
        <v>9153.4100571428571</v>
      </c>
      <c r="E9" s="21">
        <v>7952.9655292262451</v>
      </c>
      <c r="F9" s="22" t="s">
        <v>241</v>
      </c>
      <c r="G9" s="32">
        <v>-24.101828473713795</v>
      </c>
      <c r="H9" s="33">
        <v>-13.114724680993035</v>
      </c>
    </row>
    <row r="10" spans="1:9" x14ac:dyDescent="0.2">
      <c r="A10" s="34"/>
      <c r="B10" s="25" t="s">
        <v>242</v>
      </c>
      <c r="C10" s="26">
        <v>7704.915771428572</v>
      </c>
      <c r="D10" s="26">
        <v>6743.7057142857138</v>
      </c>
      <c r="E10" s="26">
        <v>5855.4833142857142</v>
      </c>
      <c r="F10" s="27"/>
      <c r="G10" s="35">
        <v>-24.00327936096248</v>
      </c>
      <c r="H10" s="29">
        <v>-13.171132276997341</v>
      </c>
    </row>
    <row r="11" spans="1:9" x14ac:dyDescent="0.2">
      <c r="A11" s="30" t="s">
        <v>46</v>
      </c>
      <c r="B11" s="31" t="s">
        <v>3</v>
      </c>
      <c r="C11" s="20">
        <v>392.86791836734693</v>
      </c>
      <c r="D11" s="20">
        <v>399.01746938775511</v>
      </c>
      <c r="E11" s="21">
        <v>401.38189264917787</v>
      </c>
      <c r="F11" s="22" t="s">
        <v>241</v>
      </c>
      <c r="G11" s="37">
        <v>2.167134012166926</v>
      </c>
      <c r="H11" s="33">
        <v>0.59256133949490675</v>
      </c>
    </row>
    <row r="12" spans="1:9" ht="13.5" thickBot="1" x14ac:dyDescent="0.25">
      <c r="A12" s="56"/>
      <c r="B12" s="42" t="s">
        <v>242</v>
      </c>
      <c r="C12" s="43">
        <v>313.62155102040816</v>
      </c>
      <c r="D12" s="43">
        <v>298.74693877551022</v>
      </c>
      <c r="E12" s="43">
        <v>306.87036734693879</v>
      </c>
      <c r="F12" s="44"/>
      <c r="G12" s="57">
        <v>-2.1526529830311461</v>
      </c>
      <c r="H12" s="46">
        <v>2.7191671334690426</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7" t="s">
        <v>16</v>
      </c>
      <c r="D33" s="201"/>
      <c r="E33" s="201"/>
      <c r="F33" s="208"/>
      <c r="G33" s="201" t="s">
        <v>1</v>
      </c>
      <c r="H33" s="202"/>
    </row>
    <row r="34" spans="1:9" x14ac:dyDescent="0.2">
      <c r="A34" s="12"/>
      <c r="B34" s="13"/>
      <c r="C34" s="14" t="s">
        <v>236</v>
      </c>
      <c r="D34" s="15" t="s">
        <v>237</v>
      </c>
      <c r="E34" s="15" t="s">
        <v>238</v>
      </c>
      <c r="F34" s="16"/>
      <c r="G34" s="17" t="s">
        <v>239</v>
      </c>
      <c r="H34" s="18" t="s">
        <v>240</v>
      </c>
    </row>
    <row r="35" spans="1:9" ht="12.75" customHeight="1" x14ac:dyDescent="0.2">
      <c r="A35" s="203" t="s">
        <v>58</v>
      </c>
      <c r="B35" s="19" t="s">
        <v>3</v>
      </c>
      <c r="C35" s="80">
        <v>1876.3099251303952</v>
      </c>
      <c r="D35" s="80">
        <v>2097.286501513945</v>
      </c>
      <c r="E35" s="81">
        <v>1841.6215610150066</v>
      </c>
      <c r="F35" s="22" t="s">
        <v>241</v>
      </c>
      <c r="G35" s="23">
        <v>-1.8487544968338767</v>
      </c>
      <c r="H35" s="24">
        <v>-12.190272540942033</v>
      </c>
    </row>
    <row r="36" spans="1:9" ht="12.75" customHeight="1" x14ac:dyDescent="0.2">
      <c r="A36" s="204"/>
      <c r="B36" s="25" t="s">
        <v>242</v>
      </c>
      <c r="C36" s="82">
        <v>1363.7842889789265</v>
      </c>
      <c r="D36" s="82">
        <v>1538.0958501144173</v>
      </c>
      <c r="E36" s="82">
        <v>1346.5649977752037</v>
      </c>
      <c r="F36" s="27"/>
      <c r="G36" s="28">
        <v>-1.2626110553462269</v>
      </c>
      <c r="H36" s="29">
        <v>-12.452465320998414</v>
      </c>
    </row>
    <row r="37" spans="1:9" x14ac:dyDescent="0.2">
      <c r="A37" s="30" t="s">
        <v>9</v>
      </c>
      <c r="B37" s="31" t="s">
        <v>3</v>
      </c>
      <c r="C37" s="80">
        <v>1426.821285309876</v>
      </c>
      <c r="D37" s="80">
        <v>1504.8281474900598</v>
      </c>
      <c r="E37" s="83">
        <v>1339.0565154302278</v>
      </c>
      <c r="F37" s="22" t="s">
        <v>241</v>
      </c>
      <c r="G37" s="32">
        <v>-6.1510695686452124</v>
      </c>
      <c r="H37" s="33">
        <v>-11.015984272777374</v>
      </c>
    </row>
    <row r="38" spans="1:9" x14ac:dyDescent="0.2">
      <c r="A38" s="34"/>
      <c r="B38" s="25" t="s">
        <v>242</v>
      </c>
      <c r="C38" s="82">
        <v>1036.2130378325583</v>
      </c>
      <c r="D38" s="82">
        <v>1103.4278441091972</v>
      </c>
      <c r="E38" s="82">
        <v>978.72109732522574</v>
      </c>
      <c r="F38" s="27"/>
      <c r="G38" s="35">
        <v>-5.5482741876697617</v>
      </c>
      <c r="H38" s="29">
        <v>-11.30175819377186</v>
      </c>
    </row>
    <row r="39" spans="1:9" x14ac:dyDescent="0.2">
      <c r="A39" s="30" t="s">
        <v>46</v>
      </c>
      <c r="B39" s="31" t="s">
        <v>3</v>
      </c>
      <c r="C39" s="80">
        <v>449.48863982051921</v>
      </c>
      <c r="D39" s="80">
        <v>592.45835402388514</v>
      </c>
      <c r="E39" s="83">
        <v>502.50086459935937</v>
      </c>
      <c r="F39" s="22" t="s">
        <v>241</v>
      </c>
      <c r="G39" s="37">
        <v>11.793896459765477</v>
      </c>
      <c r="H39" s="33">
        <v>-15.183765882200575</v>
      </c>
    </row>
    <row r="40" spans="1:9" ht="13.5" thickBot="1" x14ac:dyDescent="0.25">
      <c r="A40" s="56"/>
      <c r="B40" s="42" t="s">
        <v>242</v>
      </c>
      <c r="C40" s="86">
        <v>327.57125114636875</v>
      </c>
      <c r="D40" s="86">
        <v>434.66800600521992</v>
      </c>
      <c r="E40" s="86">
        <v>367.84390044997809</v>
      </c>
      <c r="F40" s="44"/>
      <c r="G40" s="57">
        <v>12.294317392833193</v>
      </c>
      <c r="H40" s="46">
        <v>-15.373596545414784</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8">
        <v>18</v>
      </c>
    </row>
    <row r="62" spans="1:9" ht="12.75" customHeight="1" x14ac:dyDescent="0.2">
      <c r="A62" s="54" t="s">
        <v>244</v>
      </c>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1" t="s">
        <v>1</v>
      </c>
      <c r="H5" s="202"/>
    </row>
    <row r="6" spans="1:9" x14ac:dyDescent="0.2">
      <c r="A6" s="12"/>
      <c r="B6" s="13"/>
      <c r="C6" s="14" t="s">
        <v>236</v>
      </c>
      <c r="D6" s="15" t="s">
        <v>237</v>
      </c>
      <c r="E6" s="15" t="s">
        <v>238</v>
      </c>
      <c r="F6" s="16"/>
      <c r="G6" s="17" t="s">
        <v>239</v>
      </c>
      <c r="H6" s="18" t="s">
        <v>240</v>
      </c>
    </row>
    <row r="7" spans="1:9" x14ac:dyDescent="0.2">
      <c r="A7" s="203" t="s">
        <v>57</v>
      </c>
      <c r="B7" s="19" t="s">
        <v>3</v>
      </c>
      <c r="C7" s="20">
        <v>4525</v>
      </c>
      <c r="D7" s="20">
        <v>5250</v>
      </c>
      <c r="E7" s="79">
        <v>5350.9811510541676</v>
      </c>
      <c r="F7" s="22" t="s">
        <v>241</v>
      </c>
      <c r="G7" s="23">
        <v>18.253727095119714</v>
      </c>
      <c r="H7" s="24">
        <v>1.9234504962698509</v>
      </c>
    </row>
    <row r="8" spans="1:9" x14ac:dyDescent="0.2">
      <c r="A8" s="204"/>
      <c r="B8" s="25" t="s">
        <v>242</v>
      </c>
      <c r="C8" s="26">
        <v>3395</v>
      </c>
      <c r="D8" s="26">
        <v>3867.6905142857145</v>
      </c>
      <c r="E8" s="26">
        <v>3966</v>
      </c>
      <c r="F8" s="27"/>
      <c r="G8" s="28">
        <v>16.818851251840954</v>
      </c>
      <c r="H8" s="29">
        <v>2.5418136573019297</v>
      </c>
    </row>
    <row r="9" spans="1:9" x14ac:dyDescent="0.2">
      <c r="A9" s="30" t="s">
        <v>9</v>
      </c>
      <c r="B9" s="31" t="s">
        <v>3</v>
      </c>
      <c r="C9" s="20">
        <v>1807</v>
      </c>
      <c r="D9" s="20">
        <v>1759</v>
      </c>
      <c r="E9" s="21">
        <v>1587.3000561366837</v>
      </c>
      <c r="F9" s="22" t="s">
        <v>241</v>
      </c>
      <c r="G9" s="32">
        <v>-12.158270274671622</v>
      </c>
      <c r="H9" s="33">
        <v>-9.7612247790401625</v>
      </c>
    </row>
    <row r="10" spans="1:9" x14ac:dyDescent="0.2">
      <c r="A10" s="34"/>
      <c r="B10" s="25" t="s">
        <v>242</v>
      </c>
      <c r="C10" s="26">
        <v>1347</v>
      </c>
      <c r="D10" s="26">
        <v>1378.4603428571429</v>
      </c>
      <c r="E10" s="26">
        <v>1223</v>
      </c>
      <c r="F10" s="27"/>
      <c r="G10" s="35">
        <v>-9.2056421677802547</v>
      </c>
      <c r="H10" s="29">
        <v>-11.277824832807255</v>
      </c>
    </row>
    <row r="11" spans="1:9" x14ac:dyDescent="0.2">
      <c r="A11" s="30" t="s">
        <v>46</v>
      </c>
      <c r="B11" s="31" t="s">
        <v>3</v>
      </c>
      <c r="C11" s="20">
        <v>1729</v>
      </c>
      <c r="D11" s="20">
        <v>2718</v>
      </c>
      <c r="E11" s="21">
        <v>2485.3932382941775</v>
      </c>
      <c r="F11" s="22" t="s">
        <v>241</v>
      </c>
      <c r="G11" s="37">
        <v>43.747440040149087</v>
      </c>
      <c r="H11" s="33">
        <v>-8.5580118361229864</v>
      </c>
    </row>
    <row r="12" spans="1:9" x14ac:dyDescent="0.2">
      <c r="A12" s="34"/>
      <c r="B12" s="25" t="s">
        <v>242</v>
      </c>
      <c r="C12" s="26">
        <v>1258</v>
      </c>
      <c r="D12" s="26">
        <v>1709.2301714285713</v>
      </c>
      <c r="E12" s="26">
        <v>1637</v>
      </c>
      <c r="F12" s="27"/>
      <c r="G12" s="28">
        <v>30.127186009538946</v>
      </c>
      <c r="H12" s="29">
        <v>-4.2258890953347503</v>
      </c>
    </row>
    <row r="13" spans="1:9" x14ac:dyDescent="0.2">
      <c r="A13" s="30" t="s">
        <v>24</v>
      </c>
      <c r="B13" s="31" t="s">
        <v>3</v>
      </c>
      <c r="C13" s="20">
        <v>1082</v>
      </c>
      <c r="D13" s="20">
        <v>861</v>
      </c>
      <c r="E13" s="21">
        <v>1260.557978677062</v>
      </c>
      <c r="F13" s="22" t="s">
        <v>241</v>
      </c>
      <c r="G13" s="23">
        <v>16.502585829673009</v>
      </c>
      <c r="H13" s="24">
        <v>46.406269300471791</v>
      </c>
    </row>
    <row r="14" spans="1:9" ht="13.5" thickBot="1" x14ac:dyDescent="0.25">
      <c r="A14" s="56"/>
      <c r="B14" s="42" t="s">
        <v>242</v>
      </c>
      <c r="C14" s="43">
        <v>802</v>
      </c>
      <c r="D14" s="43">
        <v>848.11508571428567</v>
      </c>
      <c r="E14" s="43">
        <v>1119</v>
      </c>
      <c r="F14" s="44"/>
      <c r="G14" s="57">
        <v>39.526184538653382</v>
      </c>
      <c r="H14" s="46">
        <v>31.939641075665349</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7" t="s">
        <v>16</v>
      </c>
      <c r="D33" s="201"/>
      <c r="E33" s="201"/>
      <c r="F33" s="208"/>
      <c r="G33" s="201" t="s">
        <v>1</v>
      </c>
      <c r="H33" s="202"/>
    </row>
    <row r="34" spans="1:9" x14ac:dyDescent="0.2">
      <c r="A34" s="12"/>
      <c r="B34" s="13"/>
      <c r="C34" s="14" t="s">
        <v>236</v>
      </c>
      <c r="D34" s="15" t="s">
        <v>237</v>
      </c>
      <c r="E34" s="15" t="s">
        <v>238</v>
      </c>
      <c r="F34" s="16"/>
      <c r="G34" s="17" t="s">
        <v>239</v>
      </c>
      <c r="H34" s="18" t="s">
        <v>240</v>
      </c>
    </row>
    <row r="35" spans="1:9" ht="12.75" customHeight="1" x14ac:dyDescent="0.2">
      <c r="A35" s="203" t="s">
        <v>57</v>
      </c>
      <c r="B35" s="19" t="s">
        <v>3</v>
      </c>
      <c r="C35" s="80">
        <v>1723.7394637740251</v>
      </c>
      <c r="D35" s="80">
        <v>1715.0155545624009</v>
      </c>
      <c r="E35" s="81">
        <v>1994.7515672228965</v>
      </c>
      <c r="F35" s="22" t="s">
        <v>241</v>
      </c>
      <c r="G35" s="23">
        <v>15.722335604912502</v>
      </c>
      <c r="H35" s="24">
        <v>16.310989828420091</v>
      </c>
    </row>
    <row r="36" spans="1:9" ht="12.75" customHeight="1" x14ac:dyDescent="0.2">
      <c r="A36" s="204"/>
      <c r="B36" s="25" t="s">
        <v>242</v>
      </c>
      <c r="C36" s="82">
        <v>1305.4693500324836</v>
      </c>
      <c r="D36" s="82">
        <v>1281.1842179109665</v>
      </c>
      <c r="E36" s="82">
        <v>1496.9494315651552</v>
      </c>
      <c r="F36" s="27"/>
      <c r="G36" s="28">
        <v>14.667527929928582</v>
      </c>
      <c r="H36" s="29">
        <v>16.841076453939195</v>
      </c>
    </row>
    <row r="37" spans="1:9" x14ac:dyDescent="0.2">
      <c r="A37" s="30" t="s">
        <v>9</v>
      </c>
      <c r="B37" s="31" t="s">
        <v>3</v>
      </c>
      <c r="C37" s="80">
        <v>358.18675231131641</v>
      </c>
      <c r="D37" s="80">
        <v>315.91774839229691</v>
      </c>
      <c r="E37" s="83">
        <v>349.82759090350027</v>
      </c>
      <c r="F37" s="22" t="s">
        <v>241</v>
      </c>
      <c r="G37" s="32">
        <v>-2.3337438791010356</v>
      </c>
      <c r="H37" s="33">
        <v>10.733756708437653</v>
      </c>
    </row>
    <row r="38" spans="1:9" x14ac:dyDescent="0.2">
      <c r="A38" s="34"/>
      <c r="B38" s="25" t="s">
        <v>242</v>
      </c>
      <c r="C38" s="82">
        <v>274.19114140872074</v>
      </c>
      <c r="D38" s="82">
        <v>239.37797705985324</v>
      </c>
      <c r="E38" s="82">
        <v>265.97273170646224</v>
      </c>
      <c r="F38" s="27"/>
      <c r="G38" s="35">
        <v>-2.9973286737253915</v>
      </c>
      <c r="H38" s="29">
        <v>11.109942097956377</v>
      </c>
    </row>
    <row r="39" spans="1:9" x14ac:dyDescent="0.2">
      <c r="A39" s="30" t="s">
        <v>46</v>
      </c>
      <c r="B39" s="31" t="s">
        <v>3</v>
      </c>
      <c r="C39" s="80">
        <v>949.23993611656874</v>
      </c>
      <c r="D39" s="80">
        <v>1004.6419565647176</v>
      </c>
      <c r="E39" s="83">
        <v>1159.8614749186477</v>
      </c>
      <c r="F39" s="22" t="s">
        <v>241</v>
      </c>
      <c r="G39" s="37">
        <v>22.18844053946485</v>
      </c>
      <c r="H39" s="33">
        <v>15.450232527087479</v>
      </c>
    </row>
    <row r="40" spans="1:9" x14ac:dyDescent="0.2">
      <c r="A40" s="34"/>
      <c r="B40" s="25" t="s">
        <v>242</v>
      </c>
      <c r="C40" s="82">
        <v>712.83158691164101</v>
      </c>
      <c r="D40" s="82">
        <v>753.70770997011016</v>
      </c>
      <c r="E40" s="82">
        <v>870.4372887693379</v>
      </c>
      <c r="F40" s="27"/>
      <c r="G40" s="28">
        <v>22.109808929838138</v>
      </c>
      <c r="H40" s="29">
        <v>15.487380221154552</v>
      </c>
    </row>
    <row r="41" spans="1:9" x14ac:dyDescent="0.2">
      <c r="A41" s="30" t="s">
        <v>24</v>
      </c>
      <c r="B41" s="31" t="s">
        <v>3</v>
      </c>
      <c r="C41" s="80">
        <v>416.31277534614003</v>
      </c>
      <c r="D41" s="80">
        <v>394.45584960538633</v>
      </c>
      <c r="E41" s="83">
        <v>486.2070407571976</v>
      </c>
      <c r="F41" s="22" t="s">
        <v>241</v>
      </c>
      <c r="G41" s="23">
        <v>16.788883154725326</v>
      </c>
      <c r="H41" s="24">
        <v>23.260192805759928</v>
      </c>
    </row>
    <row r="42" spans="1:9" ht="13.5" thickBot="1" x14ac:dyDescent="0.25">
      <c r="A42" s="56"/>
      <c r="B42" s="42" t="s">
        <v>242</v>
      </c>
      <c r="C42" s="86">
        <v>318.4466217121219</v>
      </c>
      <c r="D42" s="86">
        <v>288.09853088100317</v>
      </c>
      <c r="E42" s="86">
        <v>360.53941108935538</v>
      </c>
      <c r="F42" s="44"/>
      <c r="G42" s="57">
        <v>13.218161697217084</v>
      </c>
      <c r="H42" s="46">
        <v>25.14448094783009</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G61" s="53"/>
      <c r="H61" s="206">
        <v>19</v>
      </c>
    </row>
    <row r="62" spans="1:9" ht="12.75" customHeight="1" x14ac:dyDescent="0.2">
      <c r="A62" s="54" t="s">
        <v>244</v>
      </c>
      <c r="G62" s="53"/>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154</v>
      </c>
      <c r="B4" s="5"/>
      <c r="C4" s="5"/>
      <c r="D4" s="5"/>
      <c r="E4" s="5"/>
      <c r="F4" s="5"/>
      <c r="G4" s="5"/>
      <c r="H4" s="6"/>
    </row>
    <row r="5" spans="1:9" x14ac:dyDescent="0.2">
      <c r="A5" s="7"/>
      <c r="B5" s="8"/>
      <c r="C5" s="9"/>
      <c r="D5" s="8"/>
      <c r="E5" s="10"/>
      <c r="F5" s="11"/>
      <c r="G5" s="201" t="s">
        <v>1</v>
      </c>
      <c r="H5" s="202"/>
    </row>
    <row r="6" spans="1:9" x14ac:dyDescent="0.2">
      <c r="A6" s="12"/>
      <c r="B6" s="13"/>
      <c r="C6" s="14" t="s">
        <v>236</v>
      </c>
      <c r="D6" s="15" t="s">
        <v>237</v>
      </c>
      <c r="E6" s="15" t="s">
        <v>238</v>
      </c>
      <c r="F6" s="16"/>
      <c r="G6" s="17" t="s">
        <v>239</v>
      </c>
      <c r="H6" s="18" t="s">
        <v>240</v>
      </c>
    </row>
    <row r="7" spans="1:9" ht="12.75" customHeight="1" x14ac:dyDescent="0.2">
      <c r="A7" s="203" t="s">
        <v>60</v>
      </c>
      <c r="B7" s="19" t="s">
        <v>3</v>
      </c>
      <c r="C7" s="20">
        <v>24026.283333333333</v>
      </c>
      <c r="D7" s="20">
        <v>27254.799999999999</v>
      </c>
      <c r="E7" s="79">
        <v>27476.001146915522</v>
      </c>
      <c r="F7" s="22" t="s">
        <v>241</v>
      </c>
      <c r="G7" s="23">
        <v>14.35810010945869</v>
      </c>
      <c r="H7" s="24">
        <v>0.81160436662723612</v>
      </c>
    </row>
    <row r="8" spans="1:9" ht="13.7" customHeight="1" thickBot="1" x14ac:dyDescent="0.25">
      <c r="A8" s="209"/>
      <c r="B8" s="42" t="s">
        <v>242</v>
      </c>
      <c r="C8" s="43">
        <v>17128.16</v>
      </c>
      <c r="D8" s="43">
        <v>19854.9175</v>
      </c>
      <c r="E8" s="43">
        <v>19871.1175</v>
      </c>
      <c r="F8" s="44"/>
      <c r="G8" s="57">
        <v>16.014315022746175</v>
      </c>
      <c r="H8" s="46">
        <v>8.1591877679684899E-2</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7" t="s">
        <v>16</v>
      </c>
      <c r="D33" s="201"/>
      <c r="E33" s="201"/>
      <c r="F33" s="208"/>
      <c r="G33" s="201" t="s">
        <v>1</v>
      </c>
      <c r="H33" s="202"/>
    </row>
    <row r="34" spans="1:9" x14ac:dyDescent="0.2">
      <c r="A34" s="12"/>
      <c r="B34" s="13"/>
      <c r="C34" s="14" t="s">
        <v>236</v>
      </c>
      <c r="D34" s="15" t="s">
        <v>237</v>
      </c>
      <c r="E34" s="15" t="s">
        <v>238</v>
      </c>
      <c r="F34" s="16"/>
      <c r="G34" s="17" t="s">
        <v>239</v>
      </c>
      <c r="H34" s="18" t="s">
        <v>240</v>
      </c>
    </row>
    <row r="35" spans="1:9" ht="12.75" customHeight="1" x14ac:dyDescent="0.2">
      <c r="A35" s="203" t="s">
        <v>60</v>
      </c>
      <c r="B35" s="19" t="s">
        <v>3</v>
      </c>
      <c r="C35" s="80">
        <v>573.57984776658577</v>
      </c>
      <c r="D35" s="80">
        <v>750.93103671113704</v>
      </c>
      <c r="E35" s="81">
        <v>842.30346101724399</v>
      </c>
      <c r="F35" s="22" t="s">
        <v>241</v>
      </c>
      <c r="G35" s="23">
        <v>46.85025359538318</v>
      </c>
      <c r="H35" s="24">
        <v>12.167884910749208</v>
      </c>
    </row>
    <row r="36" spans="1:9" ht="12.75" customHeight="1" thickBot="1" x14ac:dyDescent="0.25">
      <c r="A36" s="209"/>
      <c r="B36" s="42" t="s">
        <v>242</v>
      </c>
      <c r="C36" s="86">
        <v>416.25019085927647</v>
      </c>
      <c r="D36" s="86">
        <v>567.35785914336941</v>
      </c>
      <c r="E36" s="86">
        <v>627.79056663159804</v>
      </c>
      <c r="F36" s="44"/>
      <c r="G36" s="57">
        <v>50.820487393803489</v>
      </c>
      <c r="H36" s="46">
        <v>10.651603130953987</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8">
        <v>20</v>
      </c>
    </row>
    <row r="62" spans="1:9" ht="12.75" customHeight="1" x14ac:dyDescent="0.2">
      <c r="A62" s="54" t="s">
        <v>244</v>
      </c>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116" customWidth="1"/>
    <col min="2" max="2" width="8.140625" style="116" customWidth="1"/>
    <col min="3" max="4" width="10.42578125" style="116" customWidth="1"/>
    <col min="5" max="5" width="9.85546875" style="116" customWidth="1"/>
    <col min="6" max="6" width="1.5703125" style="116" customWidth="1"/>
    <col min="7" max="7" width="7.570312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215</v>
      </c>
      <c r="B4" s="119"/>
      <c r="C4" s="119"/>
      <c r="D4" s="119"/>
      <c r="E4" s="119"/>
      <c r="F4" s="119"/>
      <c r="G4" s="119"/>
      <c r="H4" s="120"/>
    </row>
    <row r="5" spans="1:8" x14ac:dyDescent="0.2">
      <c r="A5" s="121"/>
      <c r="B5" s="122"/>
      <c r="C5" s="123"/>
      <c r="D5" s="122"/>
      <c r="E5" s="124"/>
      <c r="F5" s="125"/>
      <c r="G5" s="212" t="s">
        <v>1</v>
      </c>
      <c r="H5" s="213"/>
    </row>
    <row r="6" spans="1:8" x14ac:dyDescent="0.2">
      <c r="A6" s="126"/>
      <c r="B6" s="127"/>
      <c r="C6" s="128" t="s">
        <v>236</v>
      </c>
      <c r="D6" s="129" t="s">
        <v>237</v>
      </c>
      <c r="E6" s="129" t="s">
        <v>238</v>
      </c>
      <c r="F6" s="130"/>
      <c r="G6" s="131" t="s">
        <v>239</v>
      </c>
      <c r="H6" s="132" t="s">
        <v>240</v>
      </c>
    </row>
    <row r="7" spans="1:8" ht="12.75" customHeight="1" x14ac:dyDescent="0.2">
      <c r="A7" s="214" t="s">
        <v>196</v>
      </c>
      <c r="B7" s="133" t="s">
        <v>3</v>
      </c>
      <c r="C7" s="20">
        <v>5769</v>
      </c>
      <c r="D7" s="20">
        <v>6375</v>
      </c>
      <c r="E7" s="79">
        <v>6463.0002330779771</v>
      </c>
      <c r="F7" s="22" t="s">
        <v>241</v>
      </c>
      <c r="G7" s="134">
        <v>12.029818566094235</v>
      </c>
      <c r="H7" s="135">
        <v>1.3803958129878708</v>
      </c>
    </row>
    <row r="8" spans="1:8" ht="12.75" customHeight="1" x14ac:dyDescent="0.2">
      <c r="A8" s="215"/>
      <c r="B8" s="136" t="s">
        <v>242</v>
      </c>
      <c r="C8" s="26">
        <v>4269</v>
      </c>
      <c r="D8" s="26">
        <v>4618.1849056603769</v>
      </c>
      <c r="E8" s="26">
        <v>4715</v>
      </c>
      <c r="F8" s="27"/>
      <c r="G8" s="137">
        <v>10.447411571796678</v>
      </c>
      <c r="H8" s="138">
        <v>2.0963884365253591</v>
      </c>
    </row>
    <row r="9" spans="1:8" x14ac:dyDescent="0.2">
      <c r="A9" s="139" t="s">
        <v>197</v>
      </c>
      <c r="B9" s="140" t="s">
        <v>3</v>
      </c>
      <c r="C9" s="20">
        <v>1690</v>
      </c>
      <c r="D9" s="20">
        <v>2249</v>
      </c>
      <c r="E9" s="20">
        <v>2263.8560909631528</v>
      </c>
      <c r="F9" s="22" t="s">
        <v>241</v>
      </c>
      <c r="G9" s="141">
        <v>33.955981713796035</v>
      </c>
      <c r="H9" s="142">
        <v>0.66056429360395441</v>
      </c>
    </row>
    <row r="10" spans="1:8" x14ac:dyDescent="0.2">
      <c r="A10" s="143"/>
      <c r="B10" s="136" t="s">
        <v>242</v>
      </c>
      <c r="C10" s="26">
        <v>1227</v>
      </c>
      <c r="D10" s="26">
        <v>1648.3408319999999</v>
      </c>
      <c r="E10" s="26">
        <v>1654</v>
      </c>
      <c r="F10" s="27"/>
      <c r="G10" s="144">
        <v>34.800325998370027</v>
      </c>
      <c r="H10" s="138">
        <v>0.34332511153859002</v>
      </c>
    </row>
    <row r="11" spans="1:8" x14ac:dyDescent="0.2">
      <c r="A11" s="139" t="s">
        <v>198</v>
      </c>
      <c r="B11" s="140" t="s">
        <v>3</v>
      </c>
      <c r="C11" s="20">
        <v>492</v>
      </c>
      <c r="D11" s="20">
        <v>545</v>
      </c>
      <c r="E11" s="20">
        <v>590.48244491941466</v>
      </c>
      <c r="F11" s="22" t="s">
        <v>241</v>
      </c>
      <c r="G11" s="145">
        <v>20.016757097441996</v>
      </c>
      <c r="H11" s="142">
        <v>8.3454027375072855</v>
      </c>
    </row>
    <row r="12" spans="1:8" x14ac:dyDescent="0.2">
      <c r="A12" s="143"/>
      <c r="B12" s="136" t="s">
        <v>242</v>
      </c>
      <c r="C12" s="26">
        <v>373</v>
      </c>
      <c r="D12" s="26">
        <v>406.75927999999999</v>
      </c>
      <c r="E12" s="26">
        <v>443</v>
      </c>
      <c r="F12" s="27"/>
      <c r="G12" s="137">
        <v>18.766756032171571</v>
      </c>
      <c r="H12" s="138">
        <v>8.9096234018311691</v>
      </c>
    </row>
    <row r="13" spans="1:8" x14ac:dyDescent="0.2">
      <c r="A13" s="139" t="s">
        <v>231</v>
      </c>
      <c r="B13" s="140" t="s">
        <v>3</v>
      </c>
      <c r="C13" s="20">
        <v>128</v>
      </c>
      <c r="D13" s="20">
        <v>166</v>
      </c>
      <c r="E13" s="20">
        <v>117.3917989479625</v>
      </c>
      <c r="F13" s="22" t="s">
        <v>241</v>
      </c>
      <c r="G13" s="134">
        <v>-8.2876570719042917</v>
      </c>
      <c r="H13" s="135">
        <v>-29.282048826528623</v>
      </c>
    </row>
    <row r="14" spans="1:8" x14ac:dyDescent="0.2">
      <c r="A14" s="143"/>
      <c r="B14" s="136" t="s">
        <v>242</v>
      </c>
      <c r="C14" s="26">
        <v>98</v>
      </c>
      <c r="D14" s="26">
        <v>154.66480799999999</v>
      </c>
      <c r="E14" s="26">
        <v>102</v>
      </c>
      <c r="F14" s="27"/>
      <c r="G14" s="146">
        <v>4.0816326530612344</v>
      </c>
      <c r="H14" s="135">
        <v>-34.050931612057482</v>
      </c>
    </row>
    <row r="15" spans="1:8" x14ac:dyDescent="0.2">
      <c r="A15" s="139" t="s">
        <v>199</v>
      </c>
      <c r="B15" s="140" t="s">
        <v>3</v>
      </c>
      <c r="C15" s="20">
        <v>2440</v>
      </c>
      <c r="D15" s="20">
        <v>2468</v>
      </c>
      <c r="E15" s="20">
        <v>2193.8113096849447</v>
      </c>
      <c r="F15" s="22" t="s">
        <v>241</v>
      </c>
      <c r="G15" s="145">
        <v>-10.089700422748166</v>
      </c>
      <c r="H15" s="142">
        <v>-11.10975244388392</v>
      </c>
    </row>
    <row r="16" spans="1:8" x14ac:dyDescent="0.2">
      <c r="A16" s="143"/>
      <c r="B16" s="136" t="s">
        <v>242</v>
      </c>
      <c r="C16" s="26">
        <v>1774</v>
      </c>
      <c r="D16" s="26">
        <v>1874.83952</v>
      </c>
      <c r="E16" s="26">
        <v>1642</v>
      </c>
      <c r="F16" s="27"/>
      <c r="G16" s="137">
        <v>-7.4408117249154486</v>
      </c>
      <c r="H16" s="138">
        <v>-12.419170681872544</v>
      </c>
    </row>
    <row r="17" spans="1:9" x14ac:dyDescent="0.2">
      <c r="A17" s="139" t="s">
        <v>200</v>
      </c>
      <c r="B17" s="140" t="s">
        <v>3</v>
      </c>
      <c r="C17" s="20">
        <v>502</v>
      </c>
      <c r="D17" s="20">
        <v>478</v>
      </c>
      <c r="E17" s="20">
        <v>489.02181871209507</v>
      </c>
      <c r="F17" s="22" t="s">
        <v>241</v>
      </c>
      <c r="G17" s="145">
        <v>-2.5852950772718941</v>
      </c>
      <c r="H17" s="142">
        <v>2.3058198142458224</v>
      </c>
    </row>
    <row r="18" spans="1:9" x14ac:dyDescent="0.2">
      <c r="A18" s="139"/>
      <c r="B18" s="136" t="s">
        <v>242</v>
      </c>
      <c r="C18" s="26">
        <v>383</v>
      </c>
      <c r="D18" s="26">
        <v>331.83951999999999</v>
      </c>
      <c r="E18" s="26">
        <v>350</v>
      </c>
      <c r="F18" s="27"/>
      <c r="G18" s="137">
        <v>-8.6161879895561384</v>
      </c>
      <c r="H18" s="138">
        <v>5.4726694397340054</v>
      </c>
    </row>
    <row r="19" spans="1:9" x14ac:dyDescent="0.2">
      <c r="A19" s="147" t="s">
        <v>201</v>
      </c>
      <c r="B19" s="140" t="s">
        <v>3</v>
      </c>
      <c r="C19" s="20">
        <v>31</v>
      </c>
      <c r="D19" s="20">
        <v>34</v>
      </c>
      <c r="E19" s="20">
        <v>8.8412832915662971</v>
      </c>
      <c r="F19" s="22" t="s">
        <v>241</v>
      </c>
      <c r="G19" s="134">
        <v>-71.479731317528064</v>
      </c>
      <c r="H19" s="135">
        <v>-73.996225613040309</v>
      </c>
    </row>
    <row r="20" spans="1:9" x14ac:dyDescent="0.2">
      <c r="A20" s="143"/>
      <c r="B20" s="136" t="s">
        <v>242</v>
      </c>
      <c r="C20" s="26">
        <v>23</v>
      </c>
      <c r="D20" s="26">
        <v>161.73895199999998</v>
      </c>
      <c r="E20" s="26">
        <v>15</v>
      </c>
      <c r="F20" s="27"/>
      <c r="G20" s="146">
        <v>-34.782608695652172</v>
      </c>
      <c r="H20" s="135">
        <v>-90.725796220071956</v>
      </c>
    </row>
    <row r="21" spans="1:9" x14ac:dyDescent="0.2">
      <c r="A21" s="147" t="s">
        <v>202</v>
      </c>
      <c r="B21" s="140" t="s">
        <v>3</v>
      </c>
      <c r="C21" s="20">
        <v>9</v>
      </c>
      <c r="D21" s="20">
        <v>17</v>
      </c>
      <c r="E21" s="20">
        <v>8.4300468638248276</v>
      </c>
      <c r="F21" s="22" t="s">
        <v>241</v>
      </c>
      <c r="G21" s="145">
        <v>-6.3328126241685823</v>
      </c>
      <c r="H21" s="142">
        <v>-50.411489036324539</v>
      </c>
    </row>
    <row r="22" spans="1:9" x14ac:dyDescent="0.2">
      <c r="A22" s="143"/>
      <c r="B22" s="136" t="s">
        <v>242</v>
      </c>
      <c r="C22" s="26">
        <v>7</v>
      </c>
      <c r="D22" s="26">
        <v>18.127983999999998</v>
      </c>
      <c r="E22" s="26">
        <v>8</v>
      </c>
      <c r="F22" s="27"/>
      <c r="G22" s="137">
        <v>14.285714285714278</v>
      </c>
      <c r="H22" s="138">
        <v>-55.869334394822943</v>
      </c>
    </row>
    <row r="23" spans="1:9" x14ac:dyDescent="0.2">
      <c r="A23" s="147" t="s">
        <v>203</v>
      </c>
      <c r="B23" s="140" t="s">
        <v>3</v>
      </c>
      <c r="C23" s="20">
        <v>213</v>
      </c>
      <c r="D23" s="20">
        <v>396</v>
      </c>
      <c r="E23" s="20">
        <v>567.16426942756721</v>
      </c>
      <c r="F23" s="22" t="s">
        <v>241</v>
      </c>
      <c r="G23" s="145">
        <v>166.27430489557145</v>
      </c>
      <c r="H23" s="142">
        <v>43.223300360496779</v>
      </c>
    </row>
    <row r="24" spans="1:9" x14ac:dyDescent="0.2">
      <c r="A24" s="143"/>
      <c r="B24" s="136" t="s">
        <v>242</v>
      </c>
      <c r="C24" s="26">
        <v>154</v>
      </c>
      <c r="D24" s="26">
        <v>209.91687999999999</v>
      </c>
      <c r="E24" s="26">
        <v>330</v>
      </c>
      <c r="F24" s="27"/>
      <c r="G24" s="137">
        <v>114.28571428571428</v>
      </c>
      <c r="H24" s="138">
        <v>57.205080410875013</v>
      </c>
    </row>
    <row r="25" spans="1:9" x14ac:dyDescent="0.2">
      <c r="A25" s="139" t="s">
        <v>24</v>
      </c>
      <c r="B25" s="140" t="s">
        <v>3</v>
      </c>
      <c r="C25" s="20">
        <v>1588</v>
      </c>
      <c r="D25" s="20">
        <v>1581</v>
      </c>
      <c r="E25" s="20">
        <v>1568.6168192547505</v>
      </c>
      <c r="F25" s="22" t="s">
        <v>241</v>
      </c>
      <c r="G25" s="134">
        <v>-1.2206033214892642</v>
      </c>
      <c r="H25" s="135">
        <v>-0.78324988901009363</v>
      </c>
      <c r="I25" s="148"/>
    </row>
    <row r="26" spans="1:9" ht="13.5" thickBot="1" x14ac:dyDescent="0.25">
      <c r="A26" s="149"/>
      <c r="B26" s="150" t="s">
        <v>242</v>
      </c>
      <c r="C26" s="43">
        <v>1198</v>
      </c>
      <c r="D26" s="43">
        <v>1142.9598799999999</v>
      </c>
      <c r="E26" s="43">
        <v>1150</v>
      </c>
      <c r="F26" s="44"/>
      <c r="G26" s="151">
        <v>-4.0066777963272102</v>
      </c>
      <c r="H26" s="152">
        <v>0.61595512871370772</v>
      </c>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216</v>
      </c>
      <c r="B32" s="119"/>
      <c r="C32" s="119"/>
      <c r="D32" s="119"/>
      <c r="E32" s="119"/>
      <c r="F32" s="119"/>
      <c r="G32" s="119"/>
      <c r="H32" s="120"/>
    </row>
    <row r="33" spans="1:8" x14ac:dyDescent="0.2">
      <c r="A33" s="121"/>
      <c r="B33" s="122"/>
      <c r="C33" s="216" t="s">
        <v>16</v>
      </c>
      <c r="D33" s="212"/>
      <c r="E33" s="212"/>
      <c r="F33" s="217"/>
      <c r="G33" s="212" t="s">
        <v>1</v>
      </c>
      <c r="H33" s="213"/>
    </row>
    <row r="34" spans="1:8" x14ac:dyDescent="0.2">
      <c r="A34" s="126"/>
      <c r="B34" s="127"/>
      <c r="C34" s="128" t="s">
        <v>236</v>
      </c>
      <c r="D34" s="129" t="s">
        <v>237</v>
      </c>
      <c r="E34" s="129" t="s">
        <v>238</v>
      </c>
      <c r="F34" s="130"/>
      <c r="G34" s="131" t="s">
        <v>239</v>
      </c>
      <c r="H34" s="132" t="s">
        <v>240</v>
      </c>
    </row>
    <row r="35" spans="1:8" ht="12.75" customHeight="1" x14ac:dyDescent="0.2">
      <c r="A35" s="214" t="s">
        <v>196</v>
      </c>
      <c r="B35" s="133" t="s">
        <v>3</v>
      </c>
      <c r="C35" s="80">
        <v>1042.4939548825184</v>
      </c>
      <c r="D35" s="80">
        <v>1135.0357251820453</v>
      </c>
      <c r="E35" s="81">
        <v>1484.5283107272251</v>
      </c>
      <c r="F35" s="22" t="s">
        <v>241</v>
      </c>
      <c r="G35" s="134">
        <v>42.401622932626083</v>
      </c>
      <c r="H35" s="135">
        <v>30.791329100158976</v>
      </c>
    </row>
    <row r="36" spans="1:8" ht="12.75" customHeight="1" x14ac:dyDescent="0.2">
      <c r="A36" s="215"/>
      <c r="B36" s="136" t="s">
        <v>242</v>
      </c>
      <c r="C36" s="82">
        <v>788.59425140615417</v>
      </c>
      <c r="D36" s="82">
        <v>802.08942815572084</v>
      </c>
      <c r="E36" s="82">
        <v>1072.5941125280385</v>
      </c>
      <c r="F36" s="27"/>
      <c r="G36" s="137">
        <v>36.013432841474554</v>
      </c>
      <c r="H36" s="138">
        <v>33.72500308279848</v>
      </c>
    </row>
    <row r="37" spans="1:8" x14ac:dyDescent="0.2">
      <c r="A37" s="139" t="s">
        <v>197</v>
      </c>
      <c r="B37" s="140" t="s">
        <v>3</v>
      </c>
      <c r="C37" s="80">
        <v>518.22745944305632</v>
      </c>
      <c r="D37" s="80">
        <v>554.71764030581437</v>
      </c>
      <c r="E37" s="80">
        <v>718.12525157734547</v>
      </c>
      <c r="F37" s="22" t="s">
        <v>241</v>
      </c>
      <c r="G37" s="141">
        <v>38.573369375123633</v>
      </c>
      <c r="H37" s="142">
        <v>29.457799680112032</v>
      </c>
    </row>
    <row r="38" spans="1:8" x14ac:dyDescent="0.2">
      <c r="A38" s="143"/>
      <c r="B38" s="136" t="s">
        <v>242</v>
      </c>
      <c r="C38" s="82">
        <v>382.93250585808238</v>
      </c>
      <c r="D38" s="82">
        <v>411.46921080159314</v>
      </c>
      <c r="E38" s="82">
        <v>531.99841509250155</v>
      </c>
      <c r="F38" s="27"/>
      <c r="G38" s="144">
        <v>38.927462922059703</v>
      </c>
      <c r="H38" s="138">
        <v>29.292399316124431</v>
      </c>
    </row>
    <row r="39" spans="1:8" x14ac:dyDescent="0.2">
      <c r="A39" s="139" t="s">
        <v>198</v>
      </c>
      <c r="B39" s="140" t="s">
        <v>3</v>
      </c>
      <c r="C39" s="80">
        <v>61.751132220382033</v>
      </c>
      <c r="D39" s="80">
        <v>74.505171291976794</v>
      </c>
      <c r="E39" s="80">
        <v>113.67452650549851</v>
      </c>
      <c r="F39" s="22" t="s">
        <v>241</v>
      </c>
      <c r="G39" s="145">
        <v>84.084926734312177</v>
      </c>
      <c r="H39" s="142">
        <v>52.57266647978264</v>
      </c>
    </row>
    <row r="40" spans="1:8" x14ac:dyDescent="0.2">
      <c r="A40" s="143"/>
      <c r="B40" s="136" t="s">
        <v>242</v>
      </c>
      <c r="C40" s="82">
        <v>46.285735632260298</v>
      </c>
      <c r="D40" s="82">
        <v>47.224954892699138</v>
      </c>
      <c r="E40" s="82">
        <v>75.960946431562718</v>
      </c>
      <c r="F40" s="27"/>
      <c r="G40" s="137">
        <v>64.113080183215999</v>
      </c>
      <c r="H40" s="138">
        <v>60.849166725844981</v>
      </c>
    </row>
    <row r="41" spans="1:8" x14ac:dyDescent="0.2">
      <c r="A41" s="139" t="s">
        <v>231</v>
      </c>
      <c r="B41" s="140" t="s">
        <v>3</v>
      </c>
      <c r="C41" s="80">
        <v>90.45702397779776</v>
      </c>
      <c r="D41" s="80">
        <v>101.38107377481735</v>
      </c>
      <c r="E41" s="80">
        <v>114.37710628504122</v>
      </c>
      <c r="F41" s="22" t="s">
        <v>241</v>
      </c>
      <c r="G41" s="134">
        <v>26.443587524076122</v>
      </c>
      <c r="H41" s="135">
        <v>12.818992762978638</v>
      </c>
    </row>
    <row r="42" spans="1:8" x14ac:dyDescent="0.2">
      <c r="A42" s="143"/>
      <c r="B42" s="136" t="s">
        <v>242</v>
      </c>
      <c r="C42" s="82">
        <v>69.247547115303362</v>
      </c>
      <c r="D42" s="82">
        <v>91.943848707484221</v>
      </c>
      <c r="E42" s="82">
        <v>97.714580196964619</v>
      </c>
      <c r="F42" s="27"/>
      <c r="G42" s="146">
        <v>41.10908511208504</v>
      </c>
      <c r="H42" s="135">
        <v>6.2763649451305241</v>
      </c>
    </row>
    <row r="43" spans="1:8" x14ac:dyDescent="0.2">
      <c r="A43" s="139" t="s">
        <v>199</v>
      </c>
      <c r="B43" s="140" t="s">
        <v>3</v>
      </c>
      <c r="C43" s="80">
        <v>41.031011127415738</v>
      </c>
      <c r="D43" s="80">
        <v>38.818838122840567</v>
      </c>
      <c r="E43" s="80">
        <v>63.152914543282812</v>
      </c>
      <c r="F43" s="22" t="s">
        <v>241</v>
      </c>
      <c r="G43" s="145">
        <v>53.915082295122517</v>
      </c>
      <c r="H43" s="142">
        <v>62.686256459912812</v>
      </c>
    </row>
    <row r="44" spans="1:8" x14ac:dyDescent="0.2">
      <c r="A44" s="143"/>
      <c r="B44" s="136" t="s">
        <v>242</v>
      </c>
      <c r="C44" s="82">
        <v>33.110236973043065</v>
      </c>
      <c r="D44" s="82">
        <v>23.611085444785108</v>
      </c>
      <c r="E44" s="82">
        <v>41.847031035401933</v>
      </c>
      <c r="F44" s="27"/>
      <c r="G44" s="137">
        <v>26.386987412599879</v>
      </c>
      <c r="H44" s="138">
        <v>77.234677047194083</v>
      </c>
    </row>
    <row r="45" spans="1:8" x14ac:dyDescent="0.2">
      <c r="A45" s="139" t="s">
        <v>200</v>
      </c>
      <c r="B45" s="140" t="s">
        <v>3</v>
      </c>
      <c r="C45" s="80">
        <v>18.10926248148315</v>
      </c>
      <c r="D45" s="80">
        <v>16.811149084568115</v>
      </c>
      <c r="E45" s="80">
        <v>22.023110799270547</v>
      </c>
      <c r="F45" s="22" t="s">
        <v>241</v>
      </c>
      <c r="G45" s="145">
        <v>21.612411448502328</v>
      </c>
      <c r="H45" s="142">
        <v>31.003006924058383</v>
      </c>
    </row>
    <row r="46" spans="1:8" x14ac:dyDescent="0.2">
      <c r="A46" s="139"/>
      <c r="B46" s="136" t="s">
        <v>242</v>
      </c>
      <c r="C46" s="82">
        <v>12.789958714608613</v>
      </c>
      <c r="D46" s="82">
        <v>11.277288868957019</v>
      </c>
      <c r="E46" s="82">
        <v>15.024930633080384</v>
      </c>
      <c r="F46" s="27"/>
      <c r="G46" s="137">
        <v>17.474426371048409</v>
      </c>
      <c r="H46" s="138">
        <v>33.231761708609724</v>
      </c>
    </row>
    <row r="47" spans="1:8" x14ac:dyDescent="0.2">
      <c r="A47" s="147" t="s">
        <v>201</v>
      </c>
      <c r="B47" s="140" t="s">
        <v>3</v>
      </c>
      <c r="C47" s="80">
        <v>7.8396207614831468</v>
      </c>
      <c r="D47" s="80">
        <v>7.9401496045681137</v>
      </c>
      <c r="E47" s="80">
        <v>9.4392342844135904</v>
      </c>
      <c r="F47" s="22" t="s">
        <v>241</v>
      </c>
      <c r="G47" s="134">
        <v>20.404220709112693</v>
      </c>
      <c r="H47" s="135">
        <v>18.879803964688847</v>
      </c>
    </row>
    <row r="48" spans="1:8" x14ac:dyDescent="0.2">
      <c r="A48" s="143"/>
      <c r="B48" s="136" t="s">
        <v>242</v>
      </c>
      <c r="C48" s="82">
        <v>6.066559404608614</v>
      </c>
      <c r="D48" s="82">
        <v>6.8681423089570206</v>
      </c>
      <c r="E48" s="82">
        <v>7.856347633080385</v>
      </c>
      <c r="F48" s="27"/>
      <c r="G48" s="146">
        <v>29.502525387159551</v>
      </c>
      <c r="H48" s="135">
        <v>14.388247646450282</v>
      </c>
    </row>
    <row r="49" spans="1:9" x14ac:dyDescent="0.2">
      <c r="A49" s="147" t="s">
        <v>202</v>
      </c>
      <c r="B49" s="140" t="s">
        <v>3</v>
      </c>
      <c r="C49" s="80">
        <v>5.8936577614831469</v>
      </c>
      <c r="D49" s="80">
        <v>6.4212137045681139</v>
      </c>
      <c r="E49" s="80">
        <v>12.229994262982144</v>
      </c>
      <c r="F49" s="22" t="s">
        <v>241</v>
      </c>
      <c r="G49" s="145">
        <v>107.51110359527308</v>
      </c>
      <c r="H49" s="142">
        <v>90.46234599358695</v>
      </c>
    </row>
    <row r="50" spans="1:9" x14ac:dyDescent="0.2">
      <c r="A50" s="143"/>
      <c r="B50" s="136" t="s">
        <v>242</v>
      </c>
      <c r="C50" s="82">
        <v>4.6202574046086138</v>
      </c>
      <c r="D50" s="82">
        <v>3.4031803089570198</v>
      </c>
      <c r="E50" s="82">
        <v>7.266397633080385</v>
      </c>
      <c r="F50" s="27"/>
      <c r="G50" s="137">
        <v>57.272571563486906</v>
      </c>
      <c r="H50" s="138">
        <v>113.51785604646184</v>
      </c>
    </row>
    <row r="51" spans="1:9" x14ac:dyDescent="0.2">
      <c r="A51" s="147" t="s">
        <v>203</v>
      </c>
      <c r="B51" s="140" t="s">
        <v>3</v>
      </c>
      <c r="C51" s="80">
        <v>69.598649807415725</v>
      </c>
      <c r="D51" s="80">
        <v>118.30875302284058</v>
      </c>
      <c r="E51" s="80">
        <v>159.78795537519912</v>
      </c>
      <c r="F51" s="22" t="s">
        <v>241</v>
      </c>
      <c r="G51" s="145">
        <v>129.58484944369383</v>
      </c>
      <c r="H51" s="142">
        <v>35.060129781226408</v>
      </c>
    </row>
    <row r="52" spans="1:9" x14ac:dyDescent="0.2">
      <c r="A52" s="143"/>
      <c r="B52" s="136" t="s">
        <v>242</v>
      </c>
      <c r="C52" s="82">
        <v>52.681929023043075</v>
      </c>
      <c r="D52" s="82">
        <v>83.322540544785113</v>
      </c>
      <c r="E52" s="82">
        <v>115.20709616540195</v>
      </c>
      <c r="F52" s="27"/>
      <c r="G52" s="137">
        <v>118.68427808520519</v>
      </c>
      <c r="H52" s="138">
        <v>38.266422761652564</v>
      </c>
    </row>
    <row r="53" spans="1:9" x14ac:dyDescent="0.2">
      <c r="A53" s="139" t="s">
        <v>24</v>
      </c>
      <c r="B53" s="140" t="s">
        <v>3</v>
      </c>
      <c r="C53" s="80">
        <v>229.58613730200128</v>
      </c>
      <c r="D53" s="80">
        <v>216.13173627005131</v>
      </c>
      <c r="E53" s="80">
        <v>280.49395085924374</v>
      </c>
      <c r="F53" s="22" t="s">
        <v>241</v>
      </c>
      <c r="G53" s="134">
        <v>22.173731461093183</v>
      </c>
      <c r="H53" s="135">
        <v>29.779159553307551</v>
      </c>
      <c r="I53" s="148"/>
    </row>
    <row r="54" spans="1:9" ht="13.5" thickBot="1" x14ac:dyDescent="0.25">
      <c r="A54" s="149"/>
      <c r="B54" s="150" t="s">
        <v>242</v>
      </c>
      <c r="C54" s="86">
        <v>180.85952128059623</v>
      </c>
      <c r="D54" s="86">
        <v>126.65917627750316</v>
      </c>
      <c r="E54" s="86">
        <v>179.71836770696464</v>
      </c>
      <c r="F54" s="44"/>
      <c r="G54" s="151">
        <v>-0.63096129280421565</v>
      </c>
      <c r="H54" s="152">
        <v>41.891312567209297</v>
      </c>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243</v>
      </c>
      <c r="G61" s="163"/>
      <c r="H61" s="210">
        <v>21</v>
      </c>
    </row>
    <row r="62" spans="1:9" ht="12.75" customHeight="1" x14ac:dyDescent="0.2">
      <c r="A62" s="162" t="s">
        <v>244</v>
      </c>
      <c r="G62" s="163"/>
      <c r="H62" s="211"/>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116" customWidth="1"/>
    <col min="2" max="2" width="8.140625" style="116" customWidth="1"/>
    <col min="3" max="4" width="10.42578125" style="116" customWidth="1"/>
    <col min="5" max="5" width="9.85546875" style="116" customWidth="1"/>
    <col min="6" max="6" width="1.5703125" style="116" customWidth="1"/>
    <col min="7" max="7" width="7.570312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217</v>
      </c>
      <c r="B4" s="119"/>
      <c r="C4" s="119"/>
      <c r="D4" s="119"/>
      <c r="E4" s="119"/>
      <c r="F4" s="119"/>
      <c r="G4" s="119"/>
      <c r="H4" s="120"/>
    </row>
    <row r="5" spans="1:8" x14ac:dyDescent="0.2">
      <c r="A5" s="121"/>
      <c r="B5" s="122"/>
      <c r="C5" s="123"/>
      <c r="D5" s="122"/>
      <c r="E5" s="124"/>
      <c r="F5" s="125"/>
      <c r="G5" s="212" t="s">
        <v>1</v>
      </c>
      <c r="H5" s="213"/>
    </row>
    <row r="6" spans="1:8" x14ac:dyDescent="0.2">
      <c r="A6" s="126"/>
      <c r="B6" s="127"/>
      <c r="C6" s="128" t="s">
        <v>236</v>
      </c>
      <c r="D6" s="129" t="s">
        <v>237</v>
      </c>
      <c r="E6" s="129" t="s">
        <v>238</v>
      </c>
      <c r="F6" s="130"/>
      <c r="G6" s="131" t="s">
        <v>239</v>
      </c>
      <c r="H6" s="132" t="s">
        <v>240</v>
      </c>
    </row>
    <row r="7" spans="1:8" ht="12.75" customHeight="1" x14ac:dyDescent="0.2">
      <c r="A7" s="214" t="s">
        <v>204</v>
      </c>
      <c r="B7" s="133" t="s">
        <v>3</v>
      </c>
      <c r="C7" s="20">
        <v>1154</v>
      </c>
      <c r="D7" s="20">
        <v>1628</v>
      </c>
      <c r="E7" s="79">
        <v>1602.5932038906828</v>
      </c>
      <c r="F7" s="22" t="s">
        <v>241</v>
      </c>
      <c r="G7" s="134">
        <v>38.872894617910134</v>
      </c>
      <c r="H7" s="135">
        <v>-1.5606140116288145</v>
      </c>
    </row>
    <row r="8" spans="1:8" ht="12.75" customHeight="1" x14ac:dyDescent="0.2">
      <c r="A8" s="215"/>
      <c r="B8" s="136" t="s">
        <v>242</v>
      </c>
      <c r="C8" s="26">
        <v>877</v>
      </c>
      <c r="D8" s="26">
        <v>1103.6732954545455</v>
      </c>
      <c r="E8" s="26">
        <v>1127</v>
      </c>
      <c r="F8" s="27"/>
      <c r="G8" s="137">
        <v>28.506271379703549</v>
      </c>
      <c r="H8" s="138">
        <v>2.1135515955242425</v>
      </c>
    </row>
    <row r="9" spans="1:8" x14ac:dyDescent="0.2">
      <c r="A9" s="139" t="s">
        <v>205</v>
      </c>
      <c r="B9" s="140" t="s">
        <v>3</v>
      </c>
      <c r="C9" s="20">
        <v>395</v>
      </c>
      <c r="D9" s="20">
        <v>545</v>
      </c>
      <c r="E9" s="20">
        <v>501.47576890546611</v>
      </c>
      <c r="F9" s="22" t="s">
        <v>241</v>
      </c>
      <c r="G9" s="141">
        <v>26.95589086214332</v>
      </c>
      <c r="H9" s="142">
        <v>-7.9860974485383309</v>
      </c>
    </row>
    <row r="10" spans="1:8" x14ac:dyDescent="0.2">
      <c r="A10" s="143"/>
      <c r="B10" s="136" t="s">
        <v>242</v>
      </c>
      <c r="C10" s="26">
        <v>286</v>
      </c>
      <c r="D10" s="26">
        <v>394.45462500000002</v>
      </c>
      <c r="E10" s="26">
        <v>363</v>
      </c>
      <c r="F10" s="27"/>
      <c r="G10" s="144">
        <v>26.92307692307692</v>
      </c>
      <c r="H10" s="138">
        <v>-7.9742061586931641</v>
      </c>
    </row>
    <row r="11" spans="1:8" x14ac:dyDescent="0.2">
      <c r="A11" s="139" t="s">
        <v>206</v>
      </c>
      <c r="B11" s="140" t="s">
        <v>3</v>
      </c>
      <c r="C11" s="20">
        <v>114</v>
      </c>
      <c r="D11" s="20">
        <v>145</v>
      </c>
      <c r="E11" s="20">
        <v>105.77890452465456</v>
      </c>
      <c r="F11" s="22" t="s">
        <v>241</v>
      </c>
      <c r="G11" s="145">
        <v>-7.2114872590749428</v>
      </c>
      <c r="H11" s="142">
        <v>-27.04903136230719</v>
      </c>
    </row>
    <row r="12" spans="1:8" x14ac:dyDescent="0.2">
      <c r="A12" s="143"/>
      <c r="B12" s="136" t="s">
        <v>242</v>
      </c>
      <c r="C12" s="26">
        <v>90</v>
      </c>
      <c r="D12" s="26">
        <v>115.484875</v>
      </c>
      <c r="E12" s="26">
        <v>84</v>
      </c>
      <c r="F12" s="27"/>
      <c r="G12" s="137">
        <v>-6.6666666666666714</v>
      </c>
      <c r="H12" s="138">
        <v>-27.2632022158746</v>
      </c>
    </row>
    <row r="13" spans="1:8" x14ac:dyDescent="0.2">
      <c r="A13" s="139" t="s">
        <v>207</v>
      </c>
      <c r="B13" s="140" t="s">
        <v>3</v>
      </c>
      <c r="C13" s="20">
        <v>74</v>
      </c>
      <c r="D13" s="20">
        <v>61</v>
      </c>
      <c r="E13" s="20">
        <v>82.71261914906907</v>
      </c>
      <c r="F13" s="22" t="s">
        <v>241</v>
      </c>
      <c r="G13" s="134">
        <v>11.773809660904149</v>
      </c>
      <c r="H13" s="135">
        <v>35.594457621424709</v>
      </c>
    </row>
    <row r="14" spans="1:8" x14ac:dyDescent="0.2">
      <c r="A14" s="143"/>
      <c r="B14" s="136" t="s">
        <v>242</v>
      </c>
      <c r="C14" s="26">
        <v>49</v>
      </c>
      <c r="D14" s="26">
        <v>37.404062500000002</v>
      </c>
      <c r="E14" s="26">
        <v>52</v>
      </c>
      <c r="F14" s="27"/>
      <c r="G14" s="146">
        <v>6.1224489795918373</v>
      </c>
      <c r="H14" s="135">
        <v>39.022332133040351</v>
      </c>
    </row>
    <row r="15" spans="1:8" x14ac:dyDescent="0.2">
      <c r="A15" s="139" t="s">
        <v>208</v>
      </c>
      <c r="B15" s="140" t="s">
        <v>3</v>
      </c>
      <c r="C15" s="20">
        <v>7</v>
      </c>
      <c r="D15" s="20">
        <v>10</v>
      </c>
      <c r="E15" s="20">
        <v>6.8753327825208848</v>
      </c>
      <c r="F15" s="22" t="s">
        <v>241</v>
      </c>
      <c r="G15" s="145">
        <v>-1.7809602497016499</v>
      </c>
      <c r="H15" s="142">
        <v>-31.246672174791158</v>
      </c>
    </row>
    <row r="16" spans="1:8" x14ac:dyDescent="0.2">
      <c r="A16" s="143"/>
      <c r="B16" s="136" t="s">
        <v>242</v>
      </c>
      <c r="C16" s="26">
        <v>7</v>
      </c>
      <c r="D16" s="26">
        <v>3.4040625000000002</v>
      </c>
      <c r="E16" s="26">
        <v>3</v>
      </c>
      <c r="F16" s="27"/>
      <c r="G16" s="137">
        <v>-57.142857142857146</v>
      </c>
      <c r="H16" s="138">
        <v>-11.87000826218673</v>
      </c>
    </row>
    <row r="17" spans="1:9" x14ac:dyDescent="0.2">
      <c r="A17" s="139" t="s">
        <v>209</v>
      </c>
      <c r="B17" s="140" t="s">
        <v>3</v>
      </c>
      <c r="C17" s="20">
        <v>46</v>
      </c>
      <c r="D17" s="20">
        <v>69</v>
      </c>
      <c r="E17" s="20">
        <v>59.602458427024878</v>
      </c>
      <c r="F17" s="22" t="s">
        <v>241</v>
      </c>
      <c r="G17" s="145">
        <v>29.570561797880174</v>
      </c>
      <c r="H17" s="142">
        <v>-13.619625468079889</v>
      </c>
    </row>
    <row r="18" spans="1:9" x14ac:dyDescent="0.2">
      <c r="A18" s="143"/>
      <c r="B18" s="136" t="s">
        <v>242</v>
      </c>
      <c r="C18" s="26">
        <v>38</v>
      </c>
      <c r="D18" s="26">
        <v>53.202031250000005</v>
      </c>
      <c r="E18" s="26">
        <v>47</v>
      </c>
      <c r="F18" s="27"/>
      <c r="G18" s="137">
        <v>23.684210526315795</v>
      </c>
      <c r="H18" s="138">
        <v>-11.657508377558429</v>
      </c>
    </row>
    <row r="19" spans="1:9" x14ac:dyDescent="0.2">
      <c r="A19" s="139" t="s">
        <v>210</v>
      </c>
      <c r="B19" s="140" t="s">
        <v>3</v>
      </c>
      <c r="C19" s="20">
        <v>546</v>
      </c>
      <c r="D19" s="20">
        <v>809</v>
      </c>
      <c r="E19" s="20">
        <v>864.9948034850438</v>
      </c>
      <c r="F19" s="22" t="s">
        <v>241</v>
      </c>
      <c r="G19" s="134">
        <v>58.423956682242448</v>
      </c>
      <c r="H19" s="135">
        <v>6.9214837435159069</v>
      </c>
    </row>
    <row r="20" spans="1:9" ht="13.5" thickBot="1" x14ac:dyDescent="0.25">
      <c r="A20" s="149"/>
      <c r="B20" s="150" t="s">
        <v>242</v>
      </c>
      <c r="C20" s="43">
        <v>417</v>
      </c>
      <c r="D20" s="43">
        <v>510.01015625000002</v>
      </c>
      <c r="E20" s="43">
        <v>579</v>
      </c>
      <c r="F20" s="44"/>
      <c r="G20" s="151">
        <v>38.84892086330936</v>
      </c>
      <c r="H20" s="152">
        <v>13.527150960535408</v>
      </c>
    </row>
    <row r="25" spans="1:9" x14ac:dyDescent="0.2">
      <c r="I25" s="148"/>
    </row>
    <row r="26" spans="1:9" x14ac:dyDescent="0.2">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218</v>
      </c>
      <c r="B32" s="119"/>
      <c r="C32" s="119"/>
      <c r="D32" s="119"/>
      <c r="E32" s="119"/>
      <c r="F32" s="119"/>
      <c r="G32" s="119"/>
      <c r="H32" s="120"/>
    </row>
    <row r="33" spans="1:8" x14ac:dyDescent="0.2">
      <c r="A33" s="121"/>
      <c r="B33" s="122"/>
      <c r="C33" s="216" t="s">
        <v>16</v>
      </c>
      <c r="D33" s="212"/>
      <c r="E33" s="212"/>
      <c r="F33" s="217"/>
      <c r="G33" s="212" t="s">
        <v>1</v>
      </c>
      <c r="H33" s="213"/>
    </row>
    <row r="34" spans="1:8" x14ac:dyDescent="0.2">
      <c r="A34" s="126"/>
      <c r="B34" s="127"/>
      <c r="C34" s="128" t="s">
        <v>236</v>
      </c>
      <c r="D34" s="129" t="s">
        <v>237</v>
      </c>
      <c r="E34" s="129" t="s">
        <v>238</v>
      </c>
      <c r="F34" s="130"/>
      <c r="G34" s="131" t="s">
        <v>239</v>
      </c>
      <c r="H34" s="132" t="s">
        <v>240</v>
      </c>
    </row>
    <row r="35" spans="1:8" ht="12.75" customHeight="1" x14ac:dyDescent="0.2">
      <c r="A35" s="214" t="s">
        <v>204</v>
      </c>
      <c r="B35" s="133" t="s">
        <v>3</v>
      </c>
      <c r="C35" s="80">
        <v>442.39533603703228</v>
      </c>
      <c r="D35" s="80">
        <v>454.12308686202277</v>
      </c>
      <c r="E35" s="81">
        <v>637.68908796779647</v>
      </c>
      <c r="F35" s="22" t="s">
        <v>241</v>
      </c>
      <c r="G35" s="134">
        <v>44.144622698828897</v>
      </c>
      <c r="H35" s="135">
        <v>40.422080800650207</v>
      </c>
    </row>
    <row r="36" spans="1:8" ht="12.75" customHeight="1" x14ac:dyDescent="0.2">
      <c r="A36" s="215"/>
      <c r="B36" s="136" t="s">
        <v>242</v>
      </c>
      <c r="C36" s="82">
        <v>369.99379130361177</v>
      </c>
      <c r="D36" s="82">
        <v>339.56913184407614</v>
      </c>
      <c r="E36" s="82">
        <v>494.28345973779921</v>
      </c>
      <c r="F36" s="27"/>
      <c r="G36" s="137">
        <v>33.59236596816217</v>
      </c>
      <c r="H36" s="138">
        <v>45.561952894106128</v>
      </c>
    </row>
    <row r="37" spans="1:8" x14ac:dyDescent="0.2">
      <c r="A37" s="139" t="s">
        <v>205</v>
      </c>
      <c r="B37" s="140" t="s">
        <v>3</v>
      </c>
      <c r="C37" s="80">
        <v>232.19116150073808</v>
      </c>
      <c r="D37" s="80">
        <v>231.35037240273277</v>
      </c>
      <c r="E37" s="80">
        <v>322.26919714354858</v>
      </c>
      <c r="F37" s="22" t="s">
        <v>241</v>
      </c>
      <c r="G37" s="141">
        <v>38.79477369448631</v>
      </c>
      <c r="H37" s="142">
        <v>39.299191004778265</v>
      </c>
    </row>
    <row r="38" spans="1:8" x14ac:dyDescent="0.2">
      <c r="A38" s="143"/>
      <c r="B38" s="136" t="s">
        <v>242</v>
      </c>
      <c r="C38" s="82">
        <v>186.50666981002257</v>
      </c>
      <c r="D38" s="82">
        <v>173.73364400268264</v>
      </c>
      <c r="E38" s="82">
        <v>247.37767701316756</v>
      </c>
      <c r="F38" s="27"/>
      <c r="G38" s="144">
        <v>32.637442545700253</v>
      </c>
      <c r="H38" s="138">
        <v>42.38904527285905</v>
      </c>
    </row>
    <row r="39" spans="1:8" x14ac:dyDescent="0.2">
      <c r="A39" s="139" t="s">
        <v>206</v>
      </c>
      <c r="B39" s="140" t="s">
        <v>3</v>
      </c>
      <c r="C39" s="80">
        <v>61.2755973662955</v>
      </c>
      <c r="D39" s="80">
        <v>51.983363836543859</v>
      </c>
      <c r="E39" s="80">
        <v>73.917432196249436</v>
      </c>
      <c r="F39" s="22" t="s">
        <v>241</v>
      </c>
      <c r="G39" s="145">
        <v>20.631108260574123</v>
      </c>
      <c r="H39" s="142">
        <v>42.194399786583489</v>
      </c>
    </row>
    <row r="40" spans="1:8" x14ac:dyDescent="0.2">
      <c r="A40" s="143"/>
      <c r="B40" s="136" t="s">
        <v>242</v>
      </c>
      <c r="C40" s="82">
        <v>49.871101781614001</v>
      </c>
      <c r="D40" s="82">
        <v>42.441868603492935</v>
      </c>
      <c r="E40" s="82">
        <v>60.286528075425856</v>
      </c>
      <c r="F40" s="27"/>
      <c r="G40" s="137">
        <v>20.884692580928132</v>
      </c>
      <c r="H40" s="138">
        <v>42.044943022287953</v>
      </c>
    </row>
    <row r="41" spans="1:8" x14ac:dyDescent="0.2">
      <c r="A41" s="139" t="s">
        <v>207</v>
      </c>
      <c r="B41" s="140" t="s">
        <v>3</v>
      </c>
      <c r="C41" s="80">
        <v>32.595159562592265</v>
      </c>
      <c r="D41" s="80">
        <v>24.609239050341593</v>
      </c>
      <c r="E41" s="80">
        <v>42.454410033492131</v>
      </c>
      <c r="F41" s="22" t="s">
        <v>241</v>
      </c>
      <c r="G41" s="134">
        <v>30.247590756434903</v>
      </c>
      <c r="H41" s="135">
        <v>72.514111251655436</v>
      </c>
    </row>
    <row r="42" spans="1:8" x14ac:dyDescent="0.2">
      <c r="A42" s="143"/>
      <c r="B42" s="136" t="s">
        <v>242</v>
      </c>
      <c r="C42" s="82">
        <v>25.325320851252826</v>
      </c>
      <c r="D42" s="82">
        <v>18.328579719085329</v>
      </c>
      <c r="E42" s="82">
        <v>32.062046501645945</v>
      </c>
      <c r="F42" s="27"/>
      <c r="G42" s="146">
        <v>26.600751437507881</v>
      </c>
      <c r="H42" s="135">
        <v>74.92924707232018</v>
      </c>
    </row>
    <row r="43" spans="1:8" x14ac:dyDescent="0.2">
      <c r="A43" s="139" t="s">
        <v>208</v>
      </c>
      <c r="B43" s="140" t="s">
        <v>3</v>
      </c>
      <c r="C43" s="80">
        <v>3.1888580803703235</v>
      </c>
      <c r="D43" s="80">
        <v>3.7942195786202273</v>
      </c>
      <c r="E43" s="80">
        <v>4.4140147862756134</v>
      </c>
      <c r="F43" s="22" t="s">
        <v>241</v>
      </c>
      <c r="G43" s="145">
        <v>38.419919451636815</v>
      </c>
      <c r="H43" s="142">
        <v>16.335248786017161</v>
      </c>
    </row>
    <row r="44" spans="1:8" x14ac:dyDescent="0.2">
      <c r="A44" s="143"/>
      <c r="B44" s="136" t="s">
        <v>242</v>
      </c>
      <c r="C44" s="82">
        <v>2.9980856930361179</v>
      </c>
      <c r="D44" s="82">
        <v>2.6657738884407607</v>
      </c>
      <c r="E44" s="82">
        <v>3.3864963573779923</v>
      </c>
      <c r="F44" s="27"/>
      <c r="G44" s="137">
        <v>12.955288944677761</v>
      </c>
      <c r="H44" s="138">
        <v>27.036144065421453</v>
      </c>
    </row>
    <row r="45" spans="1:8" x14ac:dyDescent="0.2">
      <c r="A45" s="139" t="s">
        <v>209</v>
      </c>
      <c r="B45" s="140" t="s">
        <v>3</v>
      </c>
      <c r="C45" s="80">
        <v>21.259768401851616</v>
      </c>
      <c r="D45" s="80">
        <v>29.722355893101138</v>
      </c>
      <c r="E45" s="80">
        <v>31.043945193003935</v>
      </c>
      <c r="F45" s="22" t="s">
        <v>241</v>
      </c>
      <c r="G45" s="145">
        <v>46.022029056065207</v>
      </c>
      <c r="H45" s="142">
        <v>4.4464486753876429</v>
      </c>
    </row>
    <row r="46" spans="1:8" x14ac:dyDescent="0.2">
      <c r="A46" s="143"/>
      <c r="B46" s="136" t="s">
        <v>242</v>
      </c>
      <c r="C46" s="82">
        <v>19.191938465180588</v>
      </c>
      <c r="D46" s="82">
        <v>24.042244442203803</v>
      </c>
      <c r="E46" s="82">
        <v>26.012621786889959</v>
      </c>
      <c r="F46" s="27"/>
      <c r="G46" s="137">
        <v>35.539314249490474</v>
      </c>
      <c r="H46" s="138">
        <v>8.1954800410703399</v>
      </c>
    </row>
    <row r="47" spans="1:8" x14ac:dyDescent="0.2">
      <c r="A47" s="139" t="s">
        <v>210</v>
      </c>
      <c r="B47" s="140" t="s">
        <v>3</v>
      </c>
      <c r="C47" s="80">
        <v>91.88479112518452</v>
      </c>
      <c r="D47" s="80">
        <v>112.66353610068319</v>
      </c>
      <c r="E47" s="80">
        <v>164.49213836540912</v>
      </c>
      <c r="F47" s="22" t="s">
        <v>241</v>
      </c>
      <c r="G47" s="134">
        <v>79.019983994199663</v>
      </c>
      <c r="H47" s="135">
        <v>46.00299622977272</v>
      </c>
    </row>
    <row r="48" spans="1:8" ht="13.5" thickBot="1" x14ac:dyDescent="0.25">
      <c r="A48" s="149"/>
      <c r="B48" s="150" t="s">
        <v>242</v>
      </c>
      <c r="C48" s="86">
        <v>86.100674702505643</v>
      </c>
      <c r="D48" s="86">
        <v>78.357021188170663</v>
      </c>
      <c r="E48" s="86">
        <v>125.15809000329189</v>
      </c>
      <c r="F48" s="44"/>
      <c r="G48" s="151">
        <v>45.362496212413106</v>
      </c>
      <c r="H48" s="152">
        <v>59.727983664323688</v>
      </c>
    </row>
    <row r="53" spans="1:9" x14ac:dyDescent="0.2">
      <c r="I53" s="148"/>
    </row>
    <row r="54" spans="1:9" x14ac:dyDescent="0.2">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243</v>
      </c>
      <c r="G61" s="163"/>
      <c r="H61" s="210">
        <v>22</v>
      </c>
    </row>
    <row r="62" spans="1:9" ht="12.75" customHeight="1" x14ac:dyDescent="0.2">
      <c r="A62" s="162" t="s">
        <v>244</v>
      </c>
      <c r="G62" s="163"/>
      <c r="H62" s="211"/>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116" customWidth="1"/>
    <col min="2" max="2" width="8.140625" style="116" customWidth="1"/>
    <col min="3" max="4" width="10.42578125" style="116" customWidth="1"/>
    <col min="5" max="5" width="9.85546875" style="116" customWidth="1"/>
    <col min="6" max="6" width="1.5703125" style="116" customWidth="1"/>
    <col min="7" max="7" width="7.570312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219</v>
      </c>
      <c r="B4" s="119"/>
      <c r="C4" s="119"/>
      <c r="D4" s="119"/>
      <c r="E4" s="119"/>
      <c r="F4" s="119"/>
      <c r="G4" s="119"/>
      <c r="H4" s="120"/>
    </row>
    <row r="5" spans="1:8" x14ac:dyDescent="0.2">
      <c r="A5" s="121"/>
      <c r="B5" s="122"/>
      <c r="C5" s="123"/>
      <c r="D5" s="122"/>
      <c r="E5" s="124"/>
      <c r="F5" s="125"/>
      <c r="G5" s="212" t="s">
        <v>1</v>
      </c>
      <c r="H5" s="213"/>
    </row>
    <row r="6" spans="1:8" x14ac:dyDescent="0.2">
      <c r="A6" s="126"/>
      <c r="B6" s="127"/>
      <c r="C6" s="128" t="s">
        <v>236</v>
      </c>
      <c r="D6" s="129" t="s">
        <v>237</v>
      </c>
      <c r="E6" s="129" t="s">
        <v>238</v>
      </c>
      <c r="F6" s="130"/>
      <c r="G6" s="131" t="s">
        <v>239</v>
      </c>
      <c r="H6" s="132" t="s">
        <v>240</v>
      </c>
    </row>
    <row r="7" spans="1:8" ht="12.75" customHeight="1" x14ac:dyDescent="0.2">
      <c r="A7" s="214" t="s">
        <v>211</v>
      </c>
      <c r="B7" s="133" t="s">
        <v>3</v>
      </c>
      <c r="C7" s="20">
        <v>281786.98794041621</v>
      </c>
      <c r="D7" s="20">
        <v>335300.03885714285</v>
      </c>
      <c r="E7" s="79">
        <v>336495.61821453826</v>
      </c>
      <c r="F7" s="22" t="s">
        <v>241</v>
      </c>
      <c r="G7" s="134">
        <v>19.414888768991062</v>
      </c>
      <c r="H7" s="135">
        <v>0.3565700026371843</v>
      </c>
    </row>
    <row r="8" spans="1:8" ht="12.75" customHeight="1" x14ac:dyDescent="0.2">
      <c r="A8" s="215"/>
      <c r="B8" s="136" t="s">
        <v>242</v>
      </c>
      <c r="C8" s="26">
        <v>201813.89713771018</v>
      </c>
      <c r="D8" s="26">
        <v>228573.55542857142</v>
      </c>
      <c r="E8" s="26">
        <v>233131.40685714287</v>
      </c>
      <c r="F8" s="27"/>
      <c r="G8" s="137">
        <v>15.5180144497496</v>
      </c>
      <c r="H8" s="138">
        <v>1.9940414454443527</v>
      </c>
    </row>
    <row r="9" spans="1:8" x14ac:dyDescent="0.2">
      <c r="A9" s="139" t="s">
        <v>230</v>
      </c>
      <c r="B9" s="140" t="s">
        <v>3</v>
      </c>
      <c r="C9" s="20">
        <v>11206.538595687683</v>
      </c>
      <c r="D9" s="20">
        <v>13975.547999999999</v>
      </c>
      <c r="E9" s="20">
        <v>14381.346991287282</v>
      </c>
      <c r="F9" s="22" t="s">
        <v>241</v>
      </c>
      <c r="G9" s="141">
        <v>28.329964408646902</v>
      </c>
      <c r="H9" s="142">
        <v>2.9036356305118431</v>
      </c>
    </row>
    <row r="10" spans="1:8" x14ac:dyDescent="0.2">
      <c r="A10" s="143"/>
      <c r="B10" s="136" t="s">
        <v>242</v>
      </c>
      <c r="C10" s="26">
        <v>8127.2897863524149</v>
      </c>
      <c r="D10" s="26">
        <v>9813.0920000000006</v>
      </c>
      <c r="E10" s="26">
        <v>10206.232</v>
      </c>
      <c r="F10" s="27"/>
      <c r="G10" s="144">
        <v>25.579772203257804</v>
      </c>
      <c r="H10" s="138">
        <v>4.0062805892373063</v>
      </c>
    </row>
    <row r="11" spans="1:8" x14ac:dyDescent="0.2">
      <c r="A11" s="139" t="s">
        <v>234</v>
      </c>
      <c r="B11" s="140" t="s">
        <v>3</v>
      </c>
      <c r="C11" s="20">
        <v>165152.23248157973</v>
      </c>
      <c r="D11" s="20">
        <v>180322.87040000001</v>
      </c>
      <c r="E11" s="20">
        <v>160037.26193235558</v>
      </c>
      <c r="F11" s="22" t="s">
        <v>241</v>
      </c>
      <c r="G11" s="145">
        <v>-3.0971246784657609</v>
      </c>
      <c r="H11" s="142">
        <v>-11.249603792711383</v>
      </c>
    </row>
    <row r="12" spans="1:8" x14ac:dyDescent="0.2">
      <c r="A12" s="143"/>
      <c r="B12" s="136" t="s">
        <v>242</v>
      </c>
      <c r="C12" s="26">
        <v>116156.44446076429</v>
      </c>
      <c r="D12" s="26">
        <v>126483.24160000001</v>
      </c>
      <c r="E12" s="26">
        <v>112355.7136</v>
      </c>
      <c r="F12" s="27"/>
      <c r="G12" s="137">
        <v>-3.2720792018114082</v>
      </c>
      <c r="H12" s="138">
        <v>-11.169486029365018</v>
      </c>
    </row>
    <row r="13" spans="1:8" x14ac:dyDescent="0.2">
      <c r="A13" s="139" t="s">
        <v>212</v>
      </c>
      <c r="B13" s="140" t="s">
        <v>3</v>
      </c>
      <c r="C13" s="20">
        <v>102402.04104909507</v>
      </c>
      <c r="D13" s="20">
        <v>129041.1704</v>
      </c>
      <c r="E13" s="20">
        <v>132268.2370584702</v>
      </c>
      <c r="F13" s="22" t="s">
        <v>241</v>
      </c>
      <c r="G13" s="134">
        <v>29.165625707651913</v>
      </c>
      <c r="H13" s="135">
        <v>2.5008039282866008</v>
      </c>
    </row>
    <row r="14" spans="1:8" x14ac:dyDescent="0.2">
      <c r="A14" s="143"/>
      <c r="B14" s="136" t="s">
        <v>242</v>
      </c>
      <c r="C14" s="26">
        <v>73924.330594911604</v>
      </c>
      <c r="D14" s="26">
        <v>91388.241600000008</v>
      </c>
      <c r="E14" s="26">
        <v>94269.713600000003</v>
      </c>
      <c r="F14" s="27"/>
      <c r="G14" s="146">
        <v>27.521903602450507</v>
      </c>
      <c r="H14" s="135">
        <v>3.1530008123058053</v>
      </c>
    </row>
    <row r="15" spans="1:8" x14ac:dyDescent="0.2">
      <c r="A15" s="139" t="s">
        <v>213</v>
      </c>
      <c r="B15" s="140" t="s">
        <v>3</v>
      </c>
      <c r="C15" s="20">
        <v>9250</v>
      </c>
      <c r="D15" s="20">
        <v>14239.4784</v>
      </c>
      <c r="E15" s="20">
        <v>18633.581441529081</v>
      </c>
      <c r="F15" s="22" t="s">
        <v>241</v>
      </c>
      <c r="G15" s="145">
        <v>101.44412369220626</v>
      </c>
      <c r="H15" s="142">
        <v>30.858595505359801</v>
      </c>
    </row>
    <row r="16" spans="1:8" x14ac:dyDescent="0.2">
      <c r="A16" s="143"/>
      <c r="B16" s="136" t="s">
        <v>242</v>
      </c>
      <c r="C16" s="26">
        <v>6113</v>
      </c>
      <c r="D16" s="26">
        <v>8950.873599999999</v>
      </c>
      <c r="E16" s="26">
        <v>11906.785599999999</v>
      </c>
      <c r="F16" s="27"/>
      <c r="G16" s="137">
        <v>94.778105676427288</v>
      </c>
      <c r="H16" s="138">
        <v>33.023726309798406</v>
      </c>
    </row>
    <row r="17" spans="1:9" x14ac:dyDescent="0.2">
      <c r="A17" s="139" t="s">
        <v>214</v>
      </c>
      <c r="B17" s="140" t="s">
        <v>3</v>
      </c>
      <c r="C17" s="20">
        <v>10383.175814053724</v>
      </c>
      <c r="D17" s="20">
        <v>15982.9568</v>
      </c>
      <c r="E17" s="20">
        <v>25550.832628772427</v>
      </c>
      <c r="F17" s="22" t="s">
        <v>241</v>
      </c>
      <c r="G17" s="134">
        <v>146.07916774547093</v>
      </c>
      <c r="H17" s="135">
        <v>59.862989986761562</v>
      </c>
    </row>
    <row r="18" spans="1:9" ht="13.5" thickBot="1" x14ac:dyDescent="0.25">
      <c r="A18" s="149"/>
      <c r="B18" s="150" t="s">
        <v>242</v>
      </c>
      <c r="C18" s="43">
        <v>8206.8322956818502</v>
      </c>
      <c r="D18" s="43">
        <v>10420.7472</v>
      </c>
      <c r="E18" s="43">
        <v>17691.571199999998</v>
      </c>
      <c r="F18" s="44"/>
      <c r="G18" s="151">
        <v>115.57125286096914</v>
      </c>
      <c r="H18" s="152">
        <v>69.772578304173805</v>
      </c>
    </row>
    <row r="25" spans="1:9" x14ac:dyDescent="0.2">
      <c r="I25" s="148"/>
    </row>
    <row r="26" spans="1:9" x14ac:dyDescent="0.2">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220</v>
      </c>
      <c r="B32" s="119"/>
      <c r="C32" s="119"/>
      <c r="D32" s="119"/>
      <c r="E32" s="119"/>
      <c r="F32" s="119"/>
      <c r="G32" s="119"/>
      <c r="H32" s="120"/>
    </row>
    <row r="33" spans="1:8" x14ac:dyDescent="0.2">
      <c r="A33" s="121"/>
      <c r="B33" s="122"/>
      <c r="C33" s="216" t="s">
        <v>16</v>
      </c>
      <c r="D33" s="212"/>
      <c r="E33" s="212"/>
      <c r="F33" s="217"/>
      <c r="G33" s="212" t="s">
        <v>1</v>
      </c>
      <c r="H33" s="213"/>
    </row>
    <row r="34" spans="1:8" x14ac:dyDescent="0.2">
      <c r="A34" s="126"/>
      <c r="B34" s="127"/>
      <c r="C34" s="128" t="s">
        <v>236</v>
      </c>
      <c r="D34" s="129" t="s">
        <v>237</v>
      </c>
      <c r="E34" s="129" t="s">
        <v>238</v>
      </c>
      <c r="F34" s="130"/>
      <c r="G34" s="131" t="s">
        <v>239</v>
      </c>
      <c r="H34" s="132" t="s">
        <v>240</v>
      </c>
    </row>
    <row r="35" spans="1:8" ht="12.75" customHeight="1" x14ac:dyDescent="0.2">
      <c r="A35" s="214" t="s">
        <v>211</v>
      </c>
      <c r="B35" s="133" t="s">
        <v>3</v>
      </c>
      <c r="C35" s="80">
        <v>1097.9182333987903</v>
      </c>
      <c r="D35" s="80">
        <v>1333.798795413061</v>
      </c>
      <c r="E35" s="81">
        <v>1384.6007416600305</v>
      </c>
      <c r="F35" s="22" t="s">
        <v>241</v>
      </c>
      <c r="G35" s="134">
        <v>26.111462542503403</v>
      </c>
      <c r="H35" s="135">
        <v>3.8088163238471537</v>
      </c>
    </row>
    <row r="36" spans="1:8" ht="12.75" customHeight="1" x14ac:dyDescent="0.2">
      <c r="A36" s="215"/>
      <c r="B36" s="136" t="s">
        <v>242</v>
      </c>
      <c r="C36" s="82">
        <v>792.55013661210489</v>
      </c>
      <c r="D36" s="82">
        <v>953.43436993335831</v>
      </c>
      <c r="E36" s="82">
        <v>992.9769511697275</v>
      </c>
      <c r="F36" s="27"/>
      <c r="G36" s="137">
        <v>25.288849916092659</v>
      </c>
      <c r="H36" s="138">
        <v>4.1473836567411695</v>
      </c>
    </row>
    <row r="37" spans="1:8" x14ac:dyDescent="0.2">
      <c r="A37" s="139" t="s">
        <v>230</v>
      </c>
      <c r="B37" s="140" t="s">
        <v>3</v>
      </c>
      <c r="C37" s="80">
        <v>326.23983367946346</v>
      </c>
      <c r="D37" s="80">
        <v>384.05710009564029</v>
      </c>
      <c r="E37" s="80">
        <v>414.08054324154028</v>
      </c>
      <c r="F37" s="22" t="s">
        <v>241</v>
      </c>
      <c r="G37" s="141">
        <v>26.925194440965157</v>
      </c>
      <c r="H37" s="142">
        <v>7.8174425465440862</v>
      </c>
    </row>
    <row r="38" spans="1:8" x14ac:dyDescent="0.2">
      <c r="A38" s="143"/>
      <c r="B38" s="136" t="s">
        <v>242</v>
      </c>
      <c r="C38" s="82">
        <v>239.95854609502209</v>
      </c>
      <c r="D38" s="82">
        <v>270.29392557854186</v>
      </c>
      <c r="E38" s="82">
        <v>295.67739086050733</v>
      </c>
      <c r="F38" s="27"/>
      <c r="G38" s="144">
        <v>23.220196018115956</v>
      </c>
      <c r="H38" s="138">
        <v>9.3910602051578707</v>
      </c>
    </row>
    <row r="39" spans="1:8" x14ac:dyDescent="0.2">
      <c r="A39" s="139" t="s">
        <v>234</v>
      </c>
      <c r="B39" s="140" t="s">
        <v>3</v>
      </c>
      <c r="C39" s="80">
        <v>256.23559530104421</v>
      </c>
      <c r="D39" s="80">
        <v>273.20901626826992</v>
      </c>
      <c r="E39" s="80">
        <v>244.108996996473</v>
      </c>
      <c r="F39" s="22" t="s">
        <v>241</v>
      </c>
      <c r="G39" s="145">
        <v>-4.7325970813399323</v>
      </c>
      <c r="H39" s="142">
        <v>-10.6511928739654</v>
      </c>
    </row>
    <row r="40" spans="1:8" x14ac:dyDescent="0.2">
      <c r="A40" s="143"/>
      <c r="B40" s="136" t="s">
        <v>242</v>
      </c>
      <c r="C40" s="82">
        <v>190.1864304730079</v>
      </c>
      <c r="D40" s="82">
        <v>207.51924276333961</v>
      </c>
      <c r="E40" s="82">
        <v>183.98409064243182</v>
      </c>
      <c r="F40" s="27"/>
      <c r="G40" s="137">
        <v>-3.2611894629655751</v>
      </c>
      <c r="H40" s="138">
        <v>-11.341190246992127</v>
      </c>
    </row>
    <row r="41" spans="1:8" x14ac:dyDescent="0.2">
      <c r="A41" s="139" t="s">
        <v>212</v>
      </c>
      <c r="B41" s="140" t="s">
        <v>3</v>
      </c>
      <c r="C41" s="80">
        <v>345.55780100399937</v>
      </c>
      <c r="D41" s="80">
        <v>448.97767258984481</v>
      </c>
      <c r="E41" s="80">
        <v>475.93940977091609</v>
      </c>
      <c r="F41" s="22" t="s">
        <v>241</v>
      </c>
      <c r="G41" s="134">
        <v>37.730767005722356</v>
      </c>
      <c r="H41" s="135">
        <v>6.0051398604183248</v>
      </c>
    </row>
    <row r="42" spans="1:8" x14ac:dyDescent="0.2">
      <c r="A42" s="143"/>
      <c r="B42" s="136" t="s">
        <v>242</v>
      </c>
      <c r="C42" s="82">
        <v>252.0075749998656</v>
      </c>
      <c r="D42" s="82">
        <v>317.48926013014113</v>
      </c>
      <c r="E42" s="82">
        <v>339.99546620781541</v>
      </c>
      <c r="F42" s="27"/>
      <c r="G42" s="146">
        <v>34.914780322772742</v>
      </c>
      <c r="H42" s="135">
        <v>7.0888086319672112</v>
      </c>
    </row>
    <row r="43" spans="1:8" x14ac:dyDescent="0.2">
      <c r="A43" s="139" t="s">
        <v>213</v>
      </c>
      <c r="B43" s="140" t="s">
        <v>3</v>
      </c>
      <c r="C43" s="80">
        <v>50.626081812198294</v>
      </c>
      <c r="D43" s="80">
        <v>82.138112313861399</v>
      </c>
      <c r="E43" s="80">
        <v>98.130691717045593</v>
      </c>
      <c r="F43" s="22" t="s">
        <v>241</v>
      </c>
      <c r="G43" s="145">
        <v>93.834261322196824</v>
      </c>
      <c r="H43" s="142">
        <v>19.470351768097942</v>
      </c>
    </row>
    <row r="44" spans="1:8" x14ac:dyDescent="0.2">
      <c r="A44" s="143"/>
      <c r="B44" s="136" t="s">
        <v>242</v>
      </c>
      <c r="C44" s="82">
        <v>34.73858929684247</v>
      </c>
      <c r="D44" s="82">
        <v>53.20711221226717</v>
      </c>
      <c r="E44" s="82">
        <v>64.775150881794545</v>
      </c>
      <c r="F44" s="27"/>
      <c r="G44" s="137">
        <v>86.464540423010845</v>
      </c>
      <c r="H44" s="138">
        <v>21.741527003715703</v>
      </c>
    </row>
    <row r="45" spans="1:8" x14ac:dyDescent="0.2">
      <c r="A45" s="139" t="s">
        <v>214</v>
      </c>
      <c r="B45" s="140" t="s">
        <v>3</v>
      </c>
      <c r="C45" s="80">
        <v>119.25892160208494</v>
      </c>
      <c r="D45" s="80">
        <v>145.41689414544481</v>
      </c>
      <c r="E45" s="80">
        <v>157.32125077040737</v>
      </c>
      <c r="F45" s="22" t="s">
        <v>241</v>
      </c>
      <c r="G45" s="134">
        <v>31.915707988136802</v>
      </c>
      <c r="H45" s="135">
        <v>8.1863642425589802</v>
      </c>
    </row>
    <row r="46" spans="1:8" ht="13.5" thickBot="1" x14ac:dyDescent="0.25">
      <c r="A46" s="149"/>
      <c r="B46" s="150" t="s">
        <v>242</v>
      </c>
      <c r="C46" s="86">
        <v>75.658995747367044</v>
      </c>
      <c r="D46" s="86">
        <v>104.92482924906867</v>
      </c>
      <c r="E46" s="86">
        <v>108.54485257717819</v>
      </c>
      <c r="F46" s="44"/>
      <c r="G46" s="151">
        <v>43.465891273022351</v>
      </c>
      <c r="H46" s="152">
        <v>3.4501112406067307</v>
      </c>
    </row>
    <row r="53" spans="1:9" x14ac:dyDescent="0.2">
      <c r="I53" s="148"/>
    </row>
    <row r="54" spans="1:9" x14ac:dyDescent="0.2">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243</v>
      </c>
      <c r="G61" s="163"/>
      <c r="H61" s="210">
        <v>23</v>
      </c>
    </row>
    <row r="62" spans="1:9" ht="12.75" customHeight="1" x14ac:dyDescent="0.2">
      <c r="A62" s="162" t="s">
        <v>244</v>
      </c>
      <c r="G62" s="163"/>
      <c r="H62" s="211"/>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2020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132</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133</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134</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135</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136</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137</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138</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167</v>
      </c>
      <c r="C40" s="73"/>
      <c r="D40" s="73"/>
      <c r="E40" s="73"/>
      <c r="F40" s="73"/>
      <c r="G40" s="73"/>
      <c r="H40" s="76">
        <f>+H38+1</f>
        <v>17</v>
      </c>
      <c r="N40" s="77"/>
    </row>
    <row r="41" spans="1:14" ht="12.75" customHeight="1" x14ac:dyDescent="0.25">
      <c r="B41" s="73" t="s">
        <v>168</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173</v>
      </c>
      <c r="B43" s="73" t="s">
        <v>139</v>
      </c>
      <c r="H43" s="76">
        <f>+H40+1</f>
        <v>18</v>
      </c>
      <c r="N43" s="77"/>
    </row>
    <row r="44" spans="1:14" ht="12.75" customHeight="1" x14ac:dyDescent="0.25">
      <c r="B44" s="73" t="s">
        <v>104</v>
      </c>
      <c r="H44" s="76">
        <f>+H43</f>
        <v>18</v>
      </c>
      <c r="N44" s="77"/>
    </row>
    <row r="45" spans="1:14" ht="12.75" customHeight="1" x14ac:dyDescent="0.25">
      <c r="A45" s="91" t="s">
        <v>125</v>
      </c>
      <c r="B45" s="73" t="s">
        <v>140</v>
      </c>
      <c r="H45" s="76">
        <f>+H43+1</f>
        <v>19</v>
      </c>
      <c r="N45" s="77"/>
    </row>
    <row r="46" spans="1:14" ht="12.75" customHeight="1" x14ac:dyDescent="0.25">
      <c r="B46" s="73" t="s">
        <v>102</v>
      </c>
      <c r="H46" s="76">
        <f>+H45</f>
        <v>19</v>
      </c>
      <c r="N46" s="77"/>
    </row>
    <row r="47" spans="1:14" ht="12.75" customHeight="1" x14ac:dyDescent="0.25">
      <c r="A47" s="91" t="s">
        <v>126</v>
      </c>
      <c r="B47" s="73" t="s">
        <v>141</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8"/>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198">
        <v>1</v>
      </c>
      <c r="I61" s="77"/>
    </row>
    <row r="62" spans="1:14" ht="12.75" customHeight="1" x14ac:dyDescent="0.2">
      <c r="B62" s="54" t="str">
        <f>+B124</f>
        <v>Skadestatistikk for landbasert forsikring 3. kvartal 2020</v>
      </c>
      <c r="H62" s="199"/>
      <c r="I62" s="77"/>
    </row>
    <row r="63" spans="1:14" ht="12.75" customHeight="1" x14ac:dyDescent="0.2">
      <c r="I63" s="77"/>
    </row>
    <row r="64" spans="1:14" ht="12.75" customHeight="1" x14ac:dyDescent="0.2">
      <c r="I64" s="77"/>
    </row>
    <row r="66" spans="1:13" ht="12.75" customHeight="1" x14ac:dyDescent="0.25">
      <c r="A66" s="91" t="s">
        <v>127</v>
      </c>
      <c r="B66" s="73" t="s">
        <v>221</v>
      </c>
      <c r="H66" s="76">
        <f>H48+1</f>
        <v>21</v>
      </c>
    </row>
    <row r="67" spans="1:13" ht="12.75" customHeight="1" x14ac:dyDescent="0.25">
      <c r="B67" s="73" t="s">
        <v>222</v>
      </c>
      <c r="H67" s="76">
        <f>H66</f>
        <v>21</v>
      </c>
    </row>
    <row r="68" spans="1:13" ht="12.75" customHeight="1" x14ac:dyDescent="0.25">
      <c r="A68" s="91" t="s">
        <v>128</v>
      </c>
      <c r="B68" s="73" t="s">
        <v>223</v>
      </c>
      <c r="H68" s="76">
        <f>H67+1</f>
        <v>22</v>
      </c>
    </row>
    <row r="69" spans="1:13" ht="12.75" customHeight="1" x14ac:dyDescent="0.25">
      <c r="B69" s="73" t="s">
        <v>224</v>
      </c>
      <c r="H69" s="76">
        <f>H68</f>
        <v>22</v>
      </c>
    </row>
    <row r="70" spans="1:13" ht="12.75" customHeight="1" x14ac:dyDescent="0.25">
      <c r="A70" s="91" t="s">
        <v>129</v>
      </c>
      <c r="B70" s="73" t="s">
        <v>225</v>
      </c>
      <c r="H70" s="76">
        <f>H69+1</f>
        <v>23</v>
      </c>
      <c r="J70"/>
      <c r="K70"/>
      <c r="L70"/>
      <c r="M70"/>
    </row>
    <row r="71" spans="1:13" ht="12.75" customHeight="1" x14ac:dyDescent="0.25">
      <c r="B71" s="73" t="s">
        <v>226</v>
      </c>
      <c r="H71" s="76">
        <f>H70</f>
        <v>23</v>
      </c>
      <c r="J71"/>
      <c r="K71" s="71"/>
      <c r="L71" s="72"/>
      <c r="M71" s="72"/>
    </row>
    <row r="72" spans="1:13" ht="12.75" customHeight="1" x14ac:dyDescent="0.2">
      <c r="J72"/>
      <c r="K72" s="70"/>
      <c r="L72"/>
      <c r="M72"/>
    </row>
    <row r="73" spans="1:13" ht="12.75" customHeight="1" x14ac:dyDescent="0.25">
      <c r="A73" s="91" t="s">
        <v>130</v>
      </c>
      <c r="B73" s="73" t="s">
        <v>142</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227</v>
      </c>
      <c r="B75" s="73" t="s">
        <v>143</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228</v>
      </c>
      <c r="B77" s="73" t="s">
        <v>144</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229</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198">
        <v>2</v>
      </c>
      <c r="I123"/>
      <c r="J123" s="69"/>
      <c r="K123" s="69"/>
      <c r="L123" s="69"/>
    </row>
    <row r="124" spans="2:13" ht="12.75" customHeight="1" x14ac:dyDescent="0.2">
      <c r="B124" s="54" t="str">
        <f>"Skadestatistikk for landbasert forsikring 3. kvartal 2020"</f>
        <v>Skadestatistikk for landbasert forsikring 3. kvartal 2020</v>
      </c>
      <c r="H124" s="199"/>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1" t="s">
        <v>1</v>
      </c>
      <c r="H5" s="202"/>
    </row>
    <row r="6" spans="1:8" x14ac:dyDescent="0.2">
      <c r="A6" s="12"/>
      <c r="B6" s="13"/>
      <c r="C6" s="14" t="s">
        <v>236</v>
      </c>
      <c r="D6" s="15" t="s">
        <v>237</v>
      </c>
      <c r="E6" s="15" t="s">
        <v>238</v>
      </c>
      <c r="F6" s="16"/>
      <c r="G6" s="17" t="s">
        <v>239</v>
      </c>
      <c r="H6" s="18" t="s">
        <v>240</v>
      </c>
    </row>
    <row r="7" spans="1:8" x14ac:dyDescent="0.2">
      <c r="A7" s="203" t="s">
        <v>61</v>
      </c>
      <c r="B7" s="19" t="s">
        <v>3</v>
      </c>
      <c r="C7" s="20">
        <v>333492</v>
      </c>
      <c r="D7" s="20">
        <v>351332</v>
      </c>
      <c r="E7" s="79">
        <v>500836.92955012084</v>
      </c>
      <c r="F7" s="22" t="s">
        <v>241</v>
      </c>
      <c r="G7" s="23">
        <v>50.179593378588038</v>
      </c>
      <c r="H7" s="24">
        <v>42.553746755240297</v>
      </c>
    </row>
    <row r="8" spans="1:8" x14ac:dyDescent="0.2">
      <c r="A8" s="204"/>
      <c r="B8" s="25" t="s">
        <v>242</v>
      </c>
      <c r="C8" s="26">
        <v>261928</v>
      </c>
      <c r="D8" s="26">
        <v>271454.89423076925</v>
      </c>
      <c r="E8" s="26">
        <v>389077</v>
      </c>
      <c r="F8" s="27"/>
      <c r="G8" s="28">
        <v>48.543492868269141</v>
      </c>
      <c r="H8" s="29">
        <v>43.330257906213262</v>
      </c>
    </row>
    <row r="9" spans="1:8" x14ac:dyDescent="0.2">
      <c r="A9" s="30" t="s">
        <v>62</v>
      </c>
      <c r="B9" s="31" t="s">
        <v>3</v>
      </c>
      <c r="C9" s="20">
        <v>93851</v>
      </c>
      <c r="D9" s="20">
        <v>103744</v>
      </c>
      <c r="E9" s="21">
        <v>65494.278167093704</v>
      </c>
      <c r="F9" s="22" t="s">
        <v>241</v>
      </c>
      <c r="G9" s="32">
        <v>-30.214618739178377</v>
      </c>
      <c r="H9" s="33">
        <v>-36.869333969103081</v>
      </c>
    </row>
    <row r="10" spans="1:8" x14ac:dyDescent="0.2">
      <c r="A10" s="34"/>
      <c r="B10" s="25" t="s">
        <v>242</v>
      </c>
      <c r="C10" s="26">
        <v>74026</v>
      </c>
      <c r="D10" s="26">
        <v>80999.640625</v>
      </c>
      <c r="E10" s="26">
        <v>51309</v>
      </c>
      <c r="F10" s="27"/>
      <c r="G10" s="35">
        <v>-30.687866425310034</v>
      </c>
      <c r="H10" s="29">
        <v>-36.65527451221331</v>
      </c>
    </row>
    <row r="11" spans="1:8" x14ac:dyDescent="0.2">
      <c r="A11" s="30" t="s">
        <v>47</v>
      </c>
      <c r="B11" s="31" t="s">
        <v>3</v>
      </c>
      <c r="C11" s="20">
        <v>11771</v>
      </c>
      <c r="D11" s="20">
        <v>12745</v>
      </c>
      <c r="E11" s="21">
        <v>10514.464111767817</v>
      </c>
      <c r="F11" s="22" t="s">
        <v>241</v>
      </c>
      <c r="G11" s="37">
        <v>-10.674844008429048</v>
      </c>
      <c r="H11" s="33">
        <v>-17.501262363532234</v>
      </c>
    </row>
    <row r="12" spans="1:8" x14ac:dyDescent="0.2">
      <c r="A12" s="34"/>
      <c r="B12" s="25" t="s">
        <v>242</v>
      </c>
      <c r="C12" s="26">
        <v>9168</v>
      </c>
      <c r="D12" s="26">
        <v>9855.2734375</v>
      </c>
      <c r="E12" s="26">
        <v>8150</v>
      </c>
      <c r="F12" s="27"/>
      <c r="G12" s="28">
        <v>-11.103839441535783</v>
      </c>
      <c r="H12" s="29">
        <v>-17.303157018569536</v>
      </c>
    </row>
    <row r="13" spans="1:8" x14ac:dyDescent="0.2">
      <c r="A13" s="30" t="s">
        <v>48</v>
      </c>
      <c r="B13" s="31" t="s">
        <v>3</v>
      </c>
      <c r="C13" s="20">
        <v>97865</v>
      </c>
      <c r="D13" s="20">
        <v>103618</v>
      </c>
      <c r="E13" s="21">
        <v>104819.10159163817</v>
      </c>
      <c r="F13" s="22" t="s">
        <v>241</v>
      </c>
      <c r="G13" s="23">
        <v>7.1058106489942077</v>
      </c>
      <c r="H13" s="24">
        <v>1.1591630717039152</v>
      </c>
    </row>
    <row r="14" spans="1:8" x14ac:dyDescent="0.2">
      <c r="A14" s="34"/>
      <c r="B14" s="25" t="s">
        <v>242</v>
      </c>
      <c r="C14" s="26">
        <v>76945</v>
      </c>
      <c r="D14" s="26">
        <v>83410.34375</v>
      </c>
      <c r="E14" s="26">
        <v>83712</v>
      </c>
      <c r="F14" s="27"/>
      <c r="G14" s="38">
        <v>8.7945935408408644</v>
      </c>
      <c r="H14" s="24">
        <v>0.36165328715600253</v>
      </c>
    </row>
    <row r="15" spans="1:8" x14ac:dyDescent="0.2">
      <c r="A15" s="30" t="s">
        <v>49</v>
      </c>
      <c r="B15" s="31" t="s">
        <v>3</v>
      </c>
      <c r="C15" s="20">
        <v>84267</v>
      </c>
      <c r="D15" s="20">
        <v>86209</v>
      </c>
      <c r="E15" s="21">
        <v>269918.52808158181</v>
      </c>
      <c r="F15" s="22" t="s">
        <v>241</v>
      </c>
      <c r="G15" s="37">
        <v>220.31344189490761</v>
      </c>
      <c r="H15" s="33">
        <v>213.09785298702201</v>
      </c>
    </row>
    <row r="16" spans="1:8" x14ac:dyDescent="0.2">
      <c r="A16" s="34"/>
      <c r="B16" s="25" t="s">
        <v>242</v>
      </c>
      <c r="C16" s="26">
        <v>64801</v>
      </c>
      <c r="D16" s="26">
        <v>67136.184374999997</v>
      </c>
      <c r="E16" s="26">
        <v>209316</v>
      </c>
      <c r="F16" s="27"/>
      <c r="G16" s="28">
        <v>223.01353374176324</v>
      </c>
      <c r="H16" s="29">
        <v>211.77821907606733</v>
      </c>
    </row>
    <row r="17" spans="1:9" x14ac:dyDescent="0.2">
      <c r="A17" s="30" t="s">
        <v>50</v>
      </c>
      <c r="B17" s="31" t="s">
        <v>3</v>
      </c>
      <c r="C17" s="20">
        <v>58846</v>
      </c>
      <c r="D17" s="20">
        <v>59651</v>
      </c>
      <c r="E17" s="21">
        <v>57997.999730745556</v>
      </c>
      <c r="F17" s="22" t="s">
        <v>241</v>
      </c>
      <c r="G17" s="37">
        <v>-1.4410499766414659</v>
      </c>
      <c r="H17" s="33">
        <v>-2.7711191250011638</v>
      </c>
    </row>
    <row r="18" spans="1:9" ht="13.5" thickBot="1" x14ac:dyDescent="0.25">
      <c r="A18" s="56"/>
      <c r="B18" s="42" t="s">
        <v>242</v>
      </c>
      <c r="C18" s="43">
        <v>46547</v>
      </c>
      <c r="D18" s="43">
        <v>47464.728125000001</v>
      </c>
      <c r="E18" s="43">
        <v>46058</v>
      </c>
      <c r="F18" s="44"/>
      <c r="G18" s="57">
        <v>-1.0505510559219715</v>
      </c>
      <c r="H18" s="46">
        <v>-2.9637336619633317</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7" t="s">
        <v>16</v>
      </c>
      <c r="D33" s="201"/>
      <c r="E33" s="201"/>
      <c r="F33" s="208"/>
      <c r="G33" s="201" t="s">
        <v>1</v>
      </c>
      <c r="H33" s="202"/>
    </row>
    <row r="34" spans="1:9" x14ac:dyDescent="0.2">
      <c r="A34" s="12"/>
      <c r="B34" s="13"/>
      <c r="C34" s="14" t="s">
        <v>236</v>
      </c>
      <c r="D34" s="15" t="s">
        <v>237</v>
      </c>
      <c r="E34" s="15" t="s">
        <v>238</v>
      </c>
      <c r="F34" s="16"/>
      <c r="G34" s="17" t="s">
        <v>239</v>
      </c>
      <c r="H34" s="18" t="s">
        <v>240</v>
      </c>
    </row>
    <row r="35" spans="1:9" ht="12.75" customHeight="1" x14ac:dyDescent="0.2">
      <c r="A35" s="203" t="s">
        <v>61</v>
      </c>
      <c r="B35" s="19" t="s">
        <v>3</v>
      </c>
      <c r="C35" s="80">
        <v>2198.8611608924539</v>
      </c>
      <c r="D35" s="80">
        <v>2298.9281077959999</v>
      </c>
      <c r="E35" s="81">
        <v>2762.6610091729344</v>
      </c>
      <c r="F35" s="22" t="s">
        <v>241</v>
      </c>
      <c r="G35" s="23">
        <v>25.640538761967619</v>
      </c>
      <c r="H35" s="24">
        <v>20.171700881134512</v>
      </c>
    </row>
    <row r="36" spans="1:9" ht="12.75" customHeight="1" x14ac:dyDescent="0.2">
      <c r="A36" s="204"/>
      <c r="B36" s="25" t="s">
        <v>242</v>
      </c>
      <c r="C36" s="82">
        <v>1739.1033802745553</v>
      </c>
      <c r="D36" s="82">
        <v>1851.6828579688095</v>
      </c>
      <c r="E36" s="82">
        <v>2211.6422845817815</v>
      </c>
      <c r="F36" s="27"/>
      <c r="G36" s="28">
        <v>27.171409685410737</v>
      </c>
      <c r="H36" s="29">
        <v>19.439583029235735</v>
      </c>
    </row>
    <row r="37" spans="1:9" x14ac:dyDescent="0.2">
      <c r="A37" s="30" t="s">
        <v>62</v>
      </c>
      <c r="B37" s="31" t="s">
        <v>3</v>
      </c>
      <c r="C37" s="80">
        <v>322.95153879669891</v>
      </c>
      <c r="D37" s="80">
        <v>340.69064907730871</v>
      </c>
      <c r="E37" s="83">
        <v>189.02074562116113</v>
      </c>
      <c r="F37" s="22" t="s">
        <v>241</v>
      </c>
      <c r="G37" s="32">
        <v>-41.470863918022239</v>
      </c>
      <c r="H37" s="33">
        <v>-44.518364054579905</v>
      </c>
    </row>
    <row r="38" spans="1:9" x14ac:dyDescent="0.2">
      <c r="A38" s="34"/>
      <c r="B38" s="25" t="s">
        <v>242</v>
      </c>
      <c r="C38" s="82">
        <v>261.24752043456488</v>
      </c>
      <c r="D38" s="82">
        <v>277.89400847189711</v>
      </c>
      <c r="E38" s="82">
        <v>153.75304715431724</v>
      </c>
      <c r="F38" s="27"/>
      <c r="G38" s="35">
        <v>-41.146600396987097</v>
      </c>
      <c r="H38" s="29">
        <v>-44.672053924521371</v>
      </c>
    </row>
    <row r="39" spans="1:9" x14ac:dyDescent="0.2">
      <c r="A39" s="30" t="s">
        <v>47</v>
      </c>
      <c r="B39" s="31" t="s">
        <v>3</v>
      </c>
      <c r="C39" s="80">
        <v>210.41494721508863</v>
      </c>
      <c r="D39" s="80">
        <v>228.75983207302212</v>
      </c>
      <c r="E39" s="83">
        <v>173.75512575820485</v>
      </c>
      <c r="F39" s="22" t="s">
        <v>241</v>
      </c>
      <c r="G39" s="37">
        <v>-17.422631776919189</v>
      </c>
      <c r="H39" s="33">
        <v>-24.044739767626382</v>
      </c>
    </row>
    <row r="40" spans="1:9" x14ac:dyDescent="0.2">
      <c r="A40" s="34"/>
      <c r="B40" s="25" t="s">
        <v>242</v>
      </c>
      <c r="C40" s="82">
        <v>177.27619886132595</v>
      </c>
      <c r="D40" s="82">
        <v>198.5051996962377</v>
      </c>
      <c r="E40" s="82">
        <v>149.28453207412977</v>
      </c>
      <c r="F40" s="27"/>
      <c r="G40" s="28">
        <v>-15.789861790241005</v>
      </c>
      <c r="H40" s="29">
        <v>-24.795656586037936</v>
      </c>
    </row>
    <row r="41" spans="1:9" x14ac:dyDescent="0.2">
      <c r="A41" s="30" t="s">
        <v>48</v>
      </c>
      <c r="B41" s="31" t="s">
        <v>3</v>
      </c>
      <c r="C41" s="80">
        <v>1026.8400479912539</v>
      </c>
      <c r="D41" s="80">
        <v>1066.8003560881793</v>
      </c>
      <c r="E41" s="83">
        <v>619.24304262633007</v>
      </c>
      <c r="F41" s="22" t="s">
        <v>241</v>
      </c>
      <c r="G41" s="23">
        <v>-39.694303524904541</v>
      </c>
      <c r="H41" s="24">
        <v>-41.953239976689247</v>
      </c>
    </row>
    <row r="42" spans="1:9" x14ac:dyDescent="0.2">
      <c r="A42" s="34"/>
      <c r="B42" s="25" t="s">
        <v>242</v>
      </c>
      <c r="C42" s="82">
        <v>788.61045853414498</v>
      </c>
      <c r="D42" s="82">
        <v>843.43466548925164</v>
      </c>
      <c r="E42" s="82">
        <v>484.8258571903782</v>
      </c>
      <c r="F42" s="27"/>
      <c r="G42" s="38">
        <v>-38.521502987474463</v>
      </c>
      <c r="H42" s="24">
        <v>-42.517674808973496</v>
      </c>
    </row>
    <row r="43" spans="1:9" x14ac:dyDescent="0.2">
      <c r="A43" s="30" t="s">
        <v>49</v>
      </c>
      <c r="B43" s="31" t="s">
        <v>3</v>
      </c>
      <c r="C43" s="80">
        <v>482.04813965634258</v>
      </c>
      <c r="D43" s="80">
        <v>496.37535018128119</v>
      </c>
      <c r="E43" s="83">
        <v>1494.1812975797568</v>
      </c>
      <c r="F43" s="22" t="s">
        <v>241</v>
      </c>
      <c r="G43" s="37">
        <v>209.96516211948773</v>
      </c>
      <c r="H43" s="33">
        <v>201.01843232829088</v>
      </c>
    </row>
    <row r="44" spans="1:9" x14ac:dyDescent="0.2">
      <c r="A44" s="34"/>
      <c r="B44" s="25" t="s">
        <v>242</v>
      </c>
      <c r="C44" s="82">
        <v>379.1637957438262</v>
      </c>
      <c r="D44" s="82">
        <v>397.43314041206406</v>
      </c>
      <c r="E44" s="82">
        <v>1189.2397771963374</v>
      </c>
      <c r="F44" s="27"/>
      <c r="G44" s="28">
        <v>213.64803036200783</v>
      </c>
      <c r="H44" s="29">
        <v>199.23014873981504</v>
      </c>
    </row>
    <row r="45" spans="1:9" x14ac:dyDescent="0.2">
      <c r="A45" s="30" t="s">
        <v>50</v>
      </c>
      <c r="B45" s="31" t="s">
        <v>3</v>
      </c>
      <c r="C45" s="80">
        <v>156.6064872330698</v>
      </c>
      <c r="D45" s="80">
        <v>166.30192037620884</v>
      </c>
      <c r="E45" s="83">
        <v>285.64176993799009</v>
      </c>
      <c r="F45" s="22" t="s">
        <v>241</v>
      </c>
      <c r="G45" s="37">
        <v>82.394596152893314</v>
      </c>
      <c r="H45" s="33">
        <v>71.760956994248886</v>
      </c>
    </row>
    <row r="46" spans="1:9" ht="13.5" thickBot="1" x14ac:dyDescent="0.25">
      <c r="A46" s="56"/>
      <c r="B46" s="42" t="s">
        <v>242</v>
      </c>
      <c r="C46" s="86">
        <v>132.8054067006934</v>
      </c>
      <c r="D46" s="86">
        <v>134.41584389935917</v>
      </c>
      <c r="E46" s="86">
        <v>234.53907096661891</v>
      </c>
      <c r="F46" s="44"/>
      <c r="G46" s="57">
        <v>76.603556130214656</v>
      </c>
      <c r="H46" s="46">
        <v>74.487667645954559</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G61" s="53"/>
      <c r="H61" s="206">
        <v>24</v>
      </c>
    </row>
    <row r="62" spans="1:9" ht="12.75" customHeight="1" x14ac:dyDescent="0.2">
      <c r="A62" s="54" t="s">
        <v>244</v>
      </c>
      <c r="G62" s="53"/>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1" t="s">
        <v>1</v>
      </c>
      <c r="H5" s="202"/>
    </row>
    <row r="6" spans="1:8" x14ac:dyDescent="0.2">
      <c r="A6" s="12"/>
      <c r="B6" s="13"/>
      <c r="C6" s="14" t="s">
        <v>236</v>
      </c>
      <c r="D6" s="15" t="s">
        <v>237</v>
      </c>
      <c r="E6" s="15" t="s">
        <v>238</v>
      </c>
      <c r="F6" s="16"/>
      <c r="G6" s="17" t="s">
        <v>239</v>
      </c>
      <c r="H6" s="18" t="s">
        <v>240</v>
      </c>
    </row>
    <row r="7" spans="1:8" x14ac:dyDescent="0.2">
      <c r="A7" s="203" t="s">
        <v>51</v>
      </c>
      <c r="B7" s="19" t="s">
        <v>3</v>
      </c>
      <c r="C7" s="20">
        <v>12077.194513715711</v>
      </c>
      <c r="D7" s="20">
        <v>10785.192019950126</v>
      </c>
      <c r="E7" s="79">
        <v>13712.623697702944</v>
      </c>
      <c r="F7" s="22" t="s">
        <v>241</v>
      </c>
      <c r="G7" s="23">
        <v>13.5414659599125</v>
      </c>
      <c r="H7" s="24">
        <v>27.143064975920169</v>
      </c>
    </row>
    <row r="8" spans="1:8" x14ac:dyDescent="0.2">
      <c r="A8" s="204"/>
      <c r="B8" s="25" t="s">
        <v>242</v>
      </c>
      <c r="C8" s="26">
        <v>9968.6290523690768</v>
      </c>
      <c r="D8" s="26">
        <v>8920.4557356608475</v>
      </c>
      <c r="E8" s="26">
        <v>11333.992503086034</v>
      </c>
      <c r="F8" s="27"/>
      <c r="G8" s="28">
        <v>13.696602045719359</v>
      </c>
      <c r="H8" s="29">
        <v>27.056204738248013</v>
      </c>
    </row>
    <row r="9" spans="1:8" x14ac:dyDescent="0.2">
      <c r="A9" s="30" t="s">
        <v>12</v>
      </c>
      <c r="B9" s="31" t="s">
        <v>3</v>
      </c>
      <c r="C9" s="20">
        <v>316.09050000000002</v>
      </c>
      <c r="D9" s="20">
        <v>308.33100000000002</v>
      </c>
      <c r="E9" s="21">
        <v>412.20938842949516</v>
      </c>
      <c r="F9" s="22" t="s">
        <v>241</v>
      </c>
      <c r="G9" s="32">
        <v>30.4086609466261</v>
      </c>
      <c r="H9" s="33">
        <v>33.690543094756976</v>
      </c>
    </row>
    <row r="10" spans="1:8" x14ac:dyDescent="0.2">
      <c r="A10" s="34"/>
      <c r="B10" s="25" t="s">
        <v>242</v>
      </c>
      <c r="C10" s="26">
        <v>229.787125</v>
      </c>
      <c r="D10" s="26">
        <v>218.075875</v>
      </c>
      <c r="E10" s="26">
        <v>294.20269937375002</v>
      </c>
      <c r="F10" s="27"/>
      <c r="G10" s="35">
        <v>28.032716965212927</v>
      </c>
      <c r="H10" s="29">
        <v>34.908411750612032</v>
      </c>
    </row>
    <row r="11" spans="1:8" x14ac:dyDescent="0.2">
      <c r="A11" s="30" t="s">
        <v>18</v>
      </c>
      <c r="B11" s="31" t="s">
        <v>3</v>
      </c>
      <c r="C11" s="20">
        <v>259.43619999999999</v>
      </c>
      <c r="D11" s="20">
        <v>294.5324</v>
      </c>
      <c r="E11" s="21">
        <v>313.82753372077855</v>
      </c>
      <c r="F11" s="22" t="s">
        <v>241</v>
      </c>
      <c r="G11" s="37">
        <v>20.965205981577967</v>
      </c>
      <c r="H11" s="33">
        <v>6.5511073555162511</v>
      </c>
    </row>
    <row r="12" spans="1:8" x14ac:dyDescent="0.2">
      <c r="A12" s="34"/>
      <c r="B12" s="25" t="s">
        <v>242</v>
      </c>
      <c r="C12" s="26">
        <v>214.31485000000001</v>
      </c>
      <c r="D12" s="26">
        <v>240.83035000000001</v>
      </c>
      <c r="E12" s="26">
        <v>257.4810797495</v>
      </c>
      <c r="F12" s="27"/>
      <c r="G12" s="28">
        <v>20.141501976881202</v>
      </c>
      <c r="H12" s="29">
        <v>6.9138834658920558</v>
      </c>
    </row>
    <row r="13" spans="1:8" x14ac:dyDescent="0.2">
      <c r="A13" s="30" t="s">
        <v>63</v>
      </c>
      <c r="B13" s="31" t="s">
        <v>3</v>
      </c>
      <c r="C13" s="20">
        <v>1273.089375</v>
      </c>
      <c r="D13" s="20">
        <v>1188.99125</v>
      </c>
      <c r="E13" s="21">
        <v>1451.0207134536877</v>
      </c>
      <c r="F13" s="22" t="s">
        <v>241</v>
      </c>
      <c r="G13" s="23">
        <v>13.976343055544518</v>
      </c>
      <c r="H13" s="24">
        <v>22.037963984485813</v>
      </c>
    </row>
    <row r="14" spans="1:8" x14ac:dyDescent="0.2">
      <c r="A14" s="34"/>
      <c r="B14" s="25" t="s">
        <v>242</v>
      </c>
      <c r="C14" s="26">
        <v>1031.9517187500001</v>
      </c>
      <c r="D14" s="26">
        <v>907.53453124999999</v>
      </c>
      <c r="E14" s="26">
        <v>1129.5101226515626</v>
      </c>
      <c r="F14" s="27"/>
      <c r="G14" s="38">
        <v>9.4537759983320342</v>
      </c>
      <c r="H14" s="24">
        <v>24.459189568888661</v>
      </c>
    </row>
    <row r="15" spans="1:8" x14ac:dyDescent="0.2">
      <c r="A15" s="30" t="s">
        <v>52</v>
      </c>
      <c r="B15" s="31" t="s">
        <v>3</v>
      </c>
      <c r="C15" s="20">
        <v>6422.0837499999998</v>
      </c>
      <c r="D15" s="20">
        <v>5801.2924999999996</v>
      </c>
      <c r="E15" s="21">
        <v>7294.6887478601147</v>
      </c>
      <c r="F15" s="22" t="s">
        <v>241</v>
      </c>
      <c r="G15" s="37">
        <v>13.587568020428179</v>
      </c>
      <c r="H15" s="33">
        <v>25.742474592689746</v>
      </c>
    </row>
    <row r="16" spans="1:8" x14ac:dyDescent="0.2">
      <c r="A16" s="34"/>
      <c r="B16" s="25" t="s">
        <v>242</v>
      </c>
      <c r="C16" s="26">
        <v>5356.7746875000003</v>
      </c>
      <c r="D16" s="26">
        <v>4982.8278125000006</v>
      </c>
      <c r="E16" s="26">
        <v>6204.0472390406248</v>
      </c>
      <c r="F16" s="27"/>
      <c r="G16" s="28">
        <v>15.816841307843859</v>
      </c>
      <c r="H16" s="29">
        <v>24.508561654028128</v>
      </c>
    </row>
    <row r="17" spans="1:9" x14ac:dyDescent="0.2">
      <c r="A17" s="30" t="s">
        <v>50</v>
      </c>
      <c r="B17" s="31" t="s">
        <v>3</v>
      </c>
      <c r="C17" s="20">
        <v>4497.4524999999994</v>
      </c>
      <c r="D17" s="20">
        <v>3958.6549999999997</v>
      </c>
      <c r="E17" s="21">
        <v>4870.8351111810171</v>
      </c>
      <c r="F17" s="22" t="s">
        <v>241</v>
      </c>
      <c r="G17" s="37">
        <v>8.3020912656891284</v>
      </c>
      <c r="H17" s="33">
        <v>23.042677656451943</v>
      </c>
    </row>
    <row r="18" spans="1:9" ht="13.5" thickBot="1" x14ac:dyDescent="0.25">
      <c r="A18" s="56"/>
      <c r="B18" s="42" t="s">
        <v>242</v>
      </c>
      <c r="C18" s="43">
        <v>3626.9356250000001</v>
      </c>
      <c r="D18" s="43">
        <v>3214.379375</v>
      </c>
      <c r="E18" s="43">
        <v>3946.0134968687498</v>
      </c>
      <c r="F18" s="44"/>
      <c r="G18" s="57">
        <v>8.7974506541937671</v>
      </c>
      <c r="H18" s="46">
        <v>22.761287219519616</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7" t="s">
        <v>16</v>
      </c>
      <c r="D33" s="201"/>
      <c r="E33" s="201"/>
      <c r="F33" s="208"/>
      <c r="G33" s="201" t="s">
        <v>1</v>
      </c>
      <c r="H33" s="202"/>
    </row>
    <row r="34" spans="1:9" x14ac:dyDescent="0.2">
      <c r="A34" s="12"/>
      <c r="B34" s="13"/>
      <c r="C34" s="14" t="s">
        <v>236</v>
      </c>
      <c r="D34" s="15" t="s">
        <v>237</v>
      </c>
      <c r="E34" s="15" t="s">
        <v>238</v>
      </c>
      <c r="F34" s="16"/>
      <c r="G34" s="17" t="s">
        <v>239</v>
      </c>
      <c r="H34" s="18" t="s">
        <v>240</v>
      </c>
    </row>
    <row r="35" spans="1:9" ht="12.75" customHeight="1" x14ac:dyDescent="0.2">
      <c r="A35" s="203" t="s">
        <v>51</v>
      </c>
      <c r="B35" s="19" t="s">
        <v>3</v>
      </c>
      <c r="C35" s="80">
        <v>540.69659437321695</v>
      </c>
      <c r="D35" s="80">
        <v>506.53855755591945</v>
      </c>
      <c r="E35" s="81">
        <v>604.75198197622422</v>
      </c>
      <c r="F35" s="22" t="s">
        <v>241</v>
      </c>
      <c r="G35" s="23">
        <v>11.846826532588238</v>
      </c>
      <c r="H35" s="24">
        <v>19.389130986235429</v>
      </c>
    </row>
    <row r="36" spans="1:9" ht="12.75" customHeight="1" x14ac:dyDescent="0.2">
      <c r="A36" s="204"/>
      <c r="B36" s="25" t="s">
        <v>242</v>
      </c>
      <c r="C36" s="82">
        <v>459.96772914450474</v>
      </c>
      <c r="D36" s="82">
        <v>434.72205345501436</v>
      </c>
      <c r="E36" s="82">
        <v>517.4847682108541</v>
      </c>
      <c r="F36" s="27"/>
      <c r="G36" s="28">
        <v>12.504581391682734</v>
      </c>
      <c r="H36" s="29">
        <v>19.038075960966665</v>
      </c>
    </row>
    <row r="37" spans="1:9" x14ac:dyDescent="0.2">
      <c r="A37" s="30" t="s">
        <v>12</v>
      </c>
      <c r="B37" s="31" t="s">
        <v>3</v>
      </c>
      <c r="C37" s="80">
        <v>4.6908872103842141</v>
      </c>
      <c r="D37" s="80">
        <v>7.1079572424110635</v>
      </c>
      <c r="E37" s="83">
        <v>6.5161545933941802</v>
      </c>
      <c r="F37" s="22" t="s">
        <v>241</v>
      </c>
      <c r="G37" s="32">
        <v>38.910920283254171</v>
      </c>
      <c r="H37" s="33">
        <v>-8.325917402622693</v>
      </c>
    </row>
    <row r="38" spans="1:9" x14ac:dyDescent="0.2">
      <c r="A38" s="34"/>
      <c r="B38" s="25" t="s">
        <v>242</v>
      </c>
      <c r="C38" s="82">
        <v>3.9198304198277985</v>
      </c>
      <c r="D38" s="82">
        <v>5.0469536634268586</v>
      </c>
      <c r="E38" s="82">
        <v>4.8707521748679827</v>
      </c>
      <c r="F38" s="27"/>
      <c r="G38" s="35">
        <v>24.259257498235314</v>
      </c>
      <c r="H38" s="29">
        <v>-3.4912444280147383</v>
      </c>
    </row>
    <row r="39" spans="1:9" x14ac:dyDescent="0.2">
      <c r="A39" s="30" t="s">
        <v>18</v>
      </c>
      <c r="B39" s="31" t="s">
        <v>3</v>
      </c>
      <c r="C39" s="80">
        <v>30.739915328211762</v>
      </c>
      <c r="D39" s="80">
        <v>27.304542334659359</v>
      </c>
      <c r="E39" s="83">
        <v>25.962258344868982</v>
      </c>
      <c r="F39" s="22" t="s">
        <v>241</v>
      </c>
      <c r="G39" s="37">
        <v>-15.542193048781925</v>
      </c>
      <c r="H39" s="33">
        <v>-4.915973222838204</v>
      </c>
    </row>
    <row r="40" spans="1:9" x14ac:dyDescent="0.2">
      <c r="A40" s="34"/>
      <c r="B40" s="25" t="s">
        <v>242</v>
      </c>
      <c r="C40" s="82">
        <v>25.604303374035279</v>
      </c>
      <c r="D40" s="82">
        <v>21.850404275216036</v>
      </c>
      <c r="E40" s="82">
        <v>21.051609168325882</v>
      </c>
      <c r="F40" s="27"/>
      <c r="G40" s="28">
        <v>-17.780972749784624</v>
      </c>
      <c r="H40" s="29">
        <v>-3.6557452064911757</v>
      </c>
    </row>
    <row r="41" spans="1:9" x14ac:dyDescent="0.2">
      <c r="A41" s="30" t="s">
        <v>63</v>
      </c>
      <c r="B41" s="31" t="s">
        <v>3</v>
      </c>
      <c r="C41" s="80">
        <v>59.013278673136298</v>
      </c>
      <c r="D41" s="80">
        <v>61.887289375612973</v>
      </c>
      <c r="E41" s="83">
        <v>72.78289170245607</v>
      </c>
      <c r="F41" s="22" t="s">
        <v>241</v>
      </c>
      <c r="G41" s="23">
        <v>23.33307577365278</v>
      </c>
      <c r="H41" s="24">
        <v>17.605557517173409</v>
      </c>
    </row>
    <row r="42" spans="1:9" x14ac:dyDescent="0.2">
      <c r="A42" s="34"/>
      <c r="B42" s="25" t="s">
        <v>242</v>
      </c>
      <c r="C42" s="82">
        <v>50.172155049867527</v>
      </c>
      <c r="D42" s="82">
        <v>50.372280240914698</v>
      </c>
      <c r="E42" s="82">
        <v>60.094664385305045</v>
      </c>
      <c r="F42" s="27"/>
      <c r="G42" s="38">
        <v>19.776924721641436</v>
      </c>
      <c r="H42" s="24">
        <v>19.301060221795126</v>
      </c>
    </row>
    <row r="43" spans="1:9" x14ac:dyDescent="0.2">
      <c r="A43" s="30" t="s">
        <v>52</v>
      </c>
      <c r="B43" s="31" t="s">
        <v>3</v>
      </c>
      <c r="C43" s="80">
        <v>294.63609474175274</v>
      </c>
      <c r="D43" s="80">
        <v>277.98505848710886</v>
      </c>
      <c r="E43" s="83">
        <v>334.09945919428873</v>
      </c>
      <c r="F43" s="22" t="s">
        <v>241</v>
      </c>
      <c r="G43" s="37">
        <v>13.39393412987144</v>
      </c>
      <c r="H43" s="33">
        <v>20.186121157940605</v>
      </c>
    </row>
    <row r="44" spans="1:9" x14ac:dyDescent="0.2">
      <c r="A44" s="34"/>
      <c r="B44" s="25" t="s">
        <v>242</v>
      </c>
      <c r="C44" s="82">
        <v>257.54577357116671</v>
      </c>
      <c r="D44" s="82">
        <v>245.6191917236813</v>
      </c>
      <c r="E44" s="82">
        <v>294.13964879098779</v>
      </c>
      <c r="F44" s="27"/>
      <c r="G44" s="28">
        <v>14.208687920754898</v>
      </c>
      <c r="H44" s="29">
        <v>19.754342780303347</v>
      </c>
    </row>
    <row r="45" spans="1:9" x14ac:dyDescent="0.2">
      <c r="A45" s="30" t="s">
        <v>50</v>
      </c>
      <c r="B45" s="31" t="s">
        <v>3</v>
      </c>
      <c r="C45" s="80">
        <v>151.61641841973207</v>
      </c>
      <c r="D45" s="80">
        <v>132.25371011612714</v>
      </c>
      <c r="E45" s="83">
        <v>164.82138654169063</v>
      </c>
      <c r="F45" s="22" t="s">
        <v>241</v>
      </c>
      <c r="G45" s="37">
        <v>8.709457893539053</v>
      </c>
      <c r="H45" s="33">
        <v>24.625151458486116</v>
      </c>
    </row>
    <row r="46" spans="1:9" ht="13.5" thickBot="1" x14ac:dyDescent="0.25">
      <c r="A46" s="56"/>
      <c r="B46" s="42" t="s">
        <v>242</v>
      </c>
      <c r="C46" s="86">
        <v>122.72566672960748</v>
      </c>
      <c r="D46" s="86">
        <v>111.83322355177548</v>
      </c>
      <c r="E46" s="86">
        <v>137.32809369136749</v>
      </c>
      <c r="F46" s="44"/>
      <c r="G46" s="57">
        <v>11.898429522434341</v>
      </c>
      <c r="H46" s="46">
        <v>22.797223696041129</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8">
        <v>25</v>
      </c>
    </row>
    <row r="62" spans="1:9" ht="12.75" customHeight="1" x14ac:dyDescent="0.2">
      <c r="A62" s="54" t="s">
        <v>244</v>
      </c>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157</v>
      </c>
      <c r="B4" s="5"/>
      <c r="C4" s="5"/>
      <c r="D4" s="5"/>
      <c r="E4" s="5"/>
      <c r="F4" s="5"/>
      <c r="G4" s="5"/>
      <c r="H4" s="6"/>
    </row>
    <row r="5" spans="1:8" x14ac:dyDescent="0.2">
      <c r="A5" s="7"/>
      <c r="B5" s="8"/>
      <c r="C5" s="9"/>
      <c r="D5" s="8"/>
      <c r="E5" s="10"/>
      <c r="F5" s="11"/>
      <c r="G5" s="201" t="s">
        <v>1</v>
      </c>
      <c r="H5" s="202"/>
    </row>
    <row r="6" spans="1:8" x14ac:dyDescent="0.2">
      <c r="A6" s="12"/>
      <c r="B6" s="13"/>
      <c r="C6" s="14" t="s">
        <v>236</v>
      </c>
      <c r="D6" s="15" t="s">
        <v>237</v>
      </c>
      <c r="E6" s="15" t="s">
        <v>238</v>
      </c>
      <c r="F6" s="16"/>
      <c r="G6" s="17" t="s">
        <v>239</v>
      </c>
      <c r="H6" s="18" t="s">
        <v>240</v>
      </c>
    </row>
    <row r="7" spans="1:8" ht="12.75" customHeight="1" x14ac:dyDescent="0.2">
      <c r="A7" s="203" t="s">
        <v>64</v>
      </c>
      <c r="B7" s="19" t="s">
        <v>3</v>
      </c>
      <c r="C7" s="20">
        <v>11145.096</v>
      </c>
      <c r="D7" s="20">
        <v>11204.776</v>
      </c>
      <c r="E7" s="79">
        <v>12127.733785832655</v>
      </c>
      <c r="F7" s="22" t="s">
        <v>241</v>
      </c>
      <c r="G7" s="23">
        <v>8.8167727387243247</v>
      </c>
      <c r="H7" s="24">
        <v>8.2371819466329015</v>
      </c>
    </row>
    <row r="8" spans="1:8" ht="12.75" customHeight="1" x14ac:dyDescent="0.2">
      <c r="A8" s="204"/>
      <c r="B8" s="25" t="s">
        <v>242</v>
      </c>
      <c r="C8" s="26">
        <v>7980.5069999999996</v>
      </c>
      <c r="D8" s="26">
        <v>7645.16</v>
      </c>
      <c r="E8" s="26">
        <v>8406.9601644300001</v>
      </c>
      <c r="F8" s="27"/>
      <c r="G8" s="28">
        <v>5.3436851121113023</v>
      </c>
      <c r="H8" s="29">
        <v>9.9644764063799869</v>
      </c>
    </row>
    <row r="9" spans="1:8" x14ac:dyDescent="0.2">
      <c r="A9" s="30" t="s">
        <v>53</v>
      </c>
      <c r="B9" s="31" t="s">
        <v>3</v>
      </c>
      <c r="C9" s="20">
        <v>3.13096</v>
      </c>
      <c r="D9" s="20">
        <v>6.1577599999999997</v>
      </c>
      <c r="E9" s="21">
        <v>414.79267525446954</v>
      </c>
      <c r="F9" s="22" t="s">
        <v>241</v>
      </c>
      <c r="G9" s="32">
        <v>13148.098834046732</v>
      </c>
      <c r="H9" s="33">
        <v>6636.0968153105932</v>
      </c>
    </row>
    <row r="10" spans="1:8" x14ac:dyDescent="0.2">
      <c r="A10" s="34"/>
      <c r="B10" s="25" t="s">
        <v>242</v>
      </c>
      <c r="C10" s="26">
        <v>2.0950700000000002</v>
      </c>
      <c r="D10" s="26">
        <v>4.1116000000000001</v>
      </c>
      <c r="E10" s="26">
        <v>277.15960164429998</v>
      </c>
      <c r="F10" s="27"/>
      <c r="G10" s="35">
        <v>13129.133233939674</v>
      </c>
      <c r="H10" s="29">
        <v>6640.9184172657842</v>
      </c>
    </row>
    <row r="11" spans="1:8" x14ac:dyDescent="0.2">
      <c r="A11" s="30" t="s">
        <v>54</v>
      </c>
      <c r="B11" s="31" t="s">
        <v>3</v>
      </c>
      <c r="C11" s="20">
        <v>955.65480000000002</v>
      </c>
      <c r="D11" s="20">
        <v>845.78880000000004</v>
      </c>
      <c r="E11" s="21">
        <v>357.22062479038163</v>
      </c>
      <c r="F11" s="22" t="s">
        <v>241</v>
      </c>
      <c r="G11" s="37">
        <v>-62.620328512933582</v>
      </c>
      <c r="H11" s="33">
        <v>-57.764796035324466</v>
      </c>
    </row>
    <row r="12" spans="1:8" x14ac:dyDescent="0.2">
      <c r="A12" s="34"/>
      <c r="B12" s="25" t="s">
        <v>242</v>
      </c>
      <c r="C12" s="26">
        <v>541.47534999999993</v>
      </c>
      <c r="D12" s="26">
        <v>625.55799999999999</v>
      </c>
      <c r="E12" s="26">
        <v>239.7980082215</v>
      </c>
      <c r="F12" s="27"/>
      <c r="G12" s="28">
        <v>-55.713956651673982</v>
      </c>
      <c r="H12" s="29">
        <v>-61.666542795152488</v>
      </c>
    </row>
    <row r="13" spans="1:8" x14ac:dyDescent="0.2">
      <c r="A13" s="30" t="s">
        <v>66</v>
      </c>
      <c r="B13" s="31" t="s">
        <v>3</v>
      </c>
      <c r="C13" s="20">
        <v>56.261920000000003</v>
      </c>
      <c r="D13" s="20">
        <v>99.315519999999992</v>
      </c>
      <c r="E13" s="21">
        <v>201.78108082421937</v>
      </c>
      <c r="F13" s="22" t="s">
        <v>241</v>
      </c>
      <c r="G13" s="23">
        <v>258.64592040978937</v>
      </c>
      <c r="H13" s="24">
        <v>103.1717508242613</v>
      </c>
    </row>
    <row r="14" spans="1:8" x14ac:dyDescent="0.2">
      <c r="A14" s="34"/>
      <c r="B14" s="25" t="s">
        <v>242</v>
      </c>
      <c r="C14" s="26">
        <v>41.19014</v>
      </c>
      <c r="D14" s="26">
        <v>70.223200000000006</v>
      </c>
      <c r="E14" s="26">
        <v>144.31920328859999</v>
      </c>
      <c r="F14" s="27"/>
      <c r="G14" s="38">
        <v>250.37317981584908</v>
      </c>
      <c r="H14" s="24">
        <v>105.51499118325566</v>
      </c>
    </row>
    <row r="15" spans="1:8" x14ac:dyDescent="0.2">
      <c r="A15" s="30" t="s">
        <v>55</v>
      </c>
      <c r="B15" s="31" t="s">
        <v>3</v>
      </c>
      <c r="C15" s="20">
        <v>7916.4768000000004</v>
      </c>
      <c r="D15" s="20">
        <v>8441.6208000000006</v>
      </c>
      <c r="E15" s="21">
        <v>8243.9769497062462</v>
      </c>
      <c r="F15" s="22" t="s">
        <v>241</v>
      </c>
      <c r="G15" s="37">
        <v>4.1369432132517119</v>
      </c>
      <c r="H15" s="33">
        <v>-2.3413021619468424</v>
      </c>
    </row>
    <row r="16" spans="1:8" x14ac:dyDescent="0.2">
      <c r="A16" s="34"/>
      <c r="B16" s="25" t="s">
        <v>242</v>
      </c>
      <c r="C16" s="26">
        <v>5859.6055999999999</v>
      </c>
      <c r="D16" s="26">
        <v>6247.9279999999999</v>
      </c>
      <c r="E16" s="26">
        <v>6101.7681315440004</v>
      </c>
      <c r="F16" s="27"/>
      <c r="G16" s="28">
        <v>4.1327445578248643</v>
      </c>
      <c r="H16" s="29">
        <v>-2.3393334311150795</v>
      </c>
    </row>
    <row r="17" spans="1:9" x14ac:dyDescent="0.2">
      <c r="A17" s="30" t="s">
        <v>67</v>
      </c>
      <c r="B17" s="31" t="s">
        <v>3</v>
      </c>
      <c r="C17" s="20">
        <v>408.65480000000002</v>
      </c>
      <c r="D17" s="20">
        <v>858.78880000000004</v>
      </c>
      <c r="E17" s="21">
        <v>815.99024343848782</v>
      </c>
      <c r="F17" s="22" t="s">
        <v>241</v>
      </c>
      <c r="G17" s="37">
        <v>99.677146442055175</v>
      </c>
      <c r="H17" s="33">
        <v>-4.9835951006245267</v>
      </c>
    </row>
    <row r="18" spans="1:9" x14ac:dyDescent="0.2">
      <c r="A18" s="30"/>
      <c r="B18" s="25" t="s">
        <v>242</v>
      </c>
      <c r="C18" s="26">
        <v>293.47534999999999</v>
      </c>
      <c r="D18" s="26">
        <v>608.55799999999999</v>
      </c>
      <c r="E18" s="26">
        <v>580.79800822150003</v>
      </c>
      <c r="F18" s="27"/>
      <c r="G18" s="28">
        <v>97.903506451734387</v>
      </c>
      <c r="H18" s="29">
        <v>-4.5616016515270417</v>
      </c>
    </row>
    <row r="19" spans="1:9" x14ac:dyDescent="0.2">
      <c r="A19" s="39" t="s">
        <v>56</v>
      </c>
      <c r="B19" s="31" t="s">
        <v>3</v>
      </c>
      <c r="C19" s="20">
        <v>29.130960000000002</v>
      </c>
      <c r="D19" s="20">
        <v>94.157759999999996</v>
      </c>
      <c r="E19" s="21">
        <v>138.48067563093699</v>
      </c>
      <c r="F19" s="22" t="s">
        <v>241</v>
      </c>
      <c r="G19" s="23">
        <v>375.37285290610737</v>
      </c>
      <c r="H19" s="24">
        <v>47.073035330212804</v>
      </c>
    </row>
    <row r="20" spans="1:9" x14ac:dyDescent="0.2">
      <c r="A20" s="34"/>
      <c r="B20" s="25" t="s">
        <v>242</v>
      </c>
      <c r="C20" s="26">
        <v>9.0950699999999998</v>
      </c>
      <c r="D20" s="26">
        <v>65.111599999999996</v>
      </c>
      <c r="E20" s="26">
        <v>68.159601644299997</v>
      </c>
      <c r="F20" s="27"/>
      <c r="G20" s="38">
        <v>649.41261193481751</v>
      </c>
      <c r="H20" s="24">
        <v>4.681196045405116</v>
      </c>
    </row>
    <row r="21" spans="1:9" x14ac:dyDescent="0.2">
      <c r="A21" s="39" t="s">
        <v>68</v>
      </c>
      <c r="B21" s="31" t="s">
        <v>3</v>
      </c>
      <c r="C21" s="20">
        <v>51.130960000000002</v>
      </c>
      <c r="D21" s="20">
        <v>11.15776</v>
      </c>
      <c r="E21" s="21">
        <v>6.2064758779208908</v>
      </c>
      <c r="F21" s="22" t="s">
        <v>241</v>
      </c>
      <c r="G21" s="37">
        <v>-87.861608939239773</v>
      </c>
      <c r="H21" s="33">
        <v>-44.375252040544957</v>
      </c>
    </row>
    <row r="22" spans="1:9" x14ac:dyDescent="0.2">
      <c r="A22" s="34"/>
      <c r="B22" s="25" t="s">
        <v>242</v>
      </c>
      <c r="C22" s="26">
        <v>44.09507</v>
      </c>
      <c r="D22" s="26">
        <v>9.1115999999999993</v>
      </c>
      <c r="E22" s="26">
        <v>5.1596016443000003</v>
      </c>
      <c r="F22" s="27"/>
      <c r="G22" s="28">
        <v>-88.298914948315087</v>
      </c>
      <c r="H22" s="29">
        <v>-43.373264363009781</v>
      </c>
    </row>
    <row r="23" spans="1:9" x14ac:dyDescent="0.2">
      <c r="A23" s="30" t="s">
        <v>69</v>
      </c>
      <c r="B23" s="31" t="s">
        <v>3</v>
      </c>
      <c r="C23" s="20">
        <v>1746.6548</v>
      </c>
      <c r="D23" s="20">
        <v>1446.7888</v>
      </c>
      <c r="E23" s="21">
        <v>1461.1345203367682</v>
      </c>
      <c r="F23" s="22" t="s">
        <v>241</v>
      </c>
      <c r="G23" s="23">
        <v>-16.346691954428067</v>
      </c>
      <c r="H23" s="24">
        <v>0.99155594353288734</v>
      </c>
    </row>
    <row r="24" spans="1:9" ht="13.5" thickBot="1" x14ac:dyDescent="0.25">
      <c r="A24" s="56"/>
      <c r="B24" s="42" t="s">
        <v>242</v>
      </c>
      <c r="C24" s="43">
        <v>1212.4753499999999</v>
      </c>
      <c r="D24" s="43">
        <v>1009.558</v>
      </c>
      <c r="E24" s="43">
        <v>1017.7980082215</v>
      </c>
      <c r="F24" s="44"/>
      <c r="G24" s="57">
        <v>-16.056189660144426</v>
      </c>
      <c r="H24" s="46">
        <v>0.81619958650220781</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7" t="s">
        <v>16</v>
      </c>
      <c r="D33" s="201"/>
      <c r="E33" s="201"/>
      <c r="F33" s="208"/>
      <c r="G33" s="201" t="s">
        <v>1</v>
      </c>
      <c r="H33" s="202"/>
    </row>
    <row r="34" spans="1:8" x14ac:dyDescent="0.2">
      <c r="A34" s="12"/>
      <c r="B34" s="13"/>
      <c r="C34" s="14" t="s">
        <v>236</v>
      </c>
      <c r="D34" s="15" t="s">
        <v>237</v>
      </c>
      <c r="E34" s="15" t="s">
        <v>238</v>
      </c>
      <c r="F34" s="16"/>
      <c r="G34" s="17" t="s">
        <v>239</v>
      </c>
      <c r="H34" s="18" t="s">
        <v>240</v>
      </c>
    </row>
    <row r="35" spans="1:8" ht="12.75" customHeight="1" x14ac:dyDescent="0.2">
      <c r="A35" s="203" t="s">
        <v>64</v>
      </c>
      <c r="B35" s="19" t="s">
        <v>3</v>
      </c>
      <c r="C35" s="80">
        <v>1093.9684121220591</v>
      </c>
      <c r="D35" s="80">
        <v>1202.7935045741631</v>
      </c>
      <c r="E35" s="81">
        <v>1341.8702078082868</v>
      </c>
      <c r="F35" s="22" t="s">
        <v>241</v>
      </c>
      <c r="G35" s="23">
        <v>22.660781878093957</v>
      </c>
      <c r="H35" s="24">
        <v>11.562807972043586</v>
      </c>
    </row>
    <row r="36" spans="1:8" ht="12.75" customHeight="1" x14ac:dyDescent="0.2">
      <c r="A36" s="204"/>
      <c r="B36" s="25" t="s">
        <v>242</v>
      </c>
      <c r="C36" s="82">
        <v>757.47810499964385</v>
      </c>
      <c r="D36" s="82">
        <v>893.73782567895353</v>
      </c>
      <c r="E36" s="82">
        <v>973.35082171501449</v>
      </c>
      <c r="F36" s="27"/>
      <c r="G36" s="28">
        <v>28.498872150961006</v>
      </c>
      <c r="H36" s="29">
        <v>8.907869147820918</v>
      </c>
    </row>
    <row r="37" spans="1:8" x14ac:dyDescent="0.2">
      <c r="A37" s="30" t="s">
        <v>53</v>
      </c>
      <c r="B37" s="31" t="s">
        <v>3</v>
      </c>
      <c r="C37" s="80">
        <v>0.132257286811863</v>
      </c>
      <c r="D37" s="80">
        <v>0.134134343800104</v>
      </c>
      <c r="E37" s="83">
        <v>14.021453137269724</v>
      </c>
      <c r="F37" s="22" t="s">
        <v>241</v>
      </c>
      <c r="G37" s="32">
        <v>10501.648858270733</v>
      </c>
      <c r="H37" s="33">
        <v>10353.29088735502</v>
      </c>
    </row>
    <row r="38" spans="1:8" x14ac:dyDescent="0.2">
      <c r="A38" s="34"/>
      <c r="B38" s="25" t="s">
        <v>242</v>
      </c>
      <c r="C38" s="82">
        <v>7.7338410516280404E-2</v>
      </c>
      <c r="D38" s="82">
        <v>9.5976001786922838E-2</v>
      </c>
      <c r="E38" s="82">
        <v>9.3366897186945668</v>
      </c>
      <c r="F38" s="27"/>
      <c r="G38" s="35">
        <v>11972.513071275382</v>
      </c>
      <c r="H38" s="29">
        <v>9628.1503134742288</v>
      </c>
    </row>
    <row r="39" spans="1:8" x14ac:dyDescent="0.2">
      <c r="A39" s="30" t="s">
        <v>54</v>
      </c>
      <c r="B39" s="31" t="s">
        <v>3</v>
      </c>
      <c r="C39" s="80">
        <v>57.8566841245324</v>
      </c>
      <c r="D39" s="80">
        <v>57.991080964356613</v>
      </c>
      <c r="E39" s="83">
        <v>50.782745441473914</v>
      </c>
      <c r="F39" s="22" t="s">
        <v>241</v>
      </c>
      <c r="G39" s="37">
        <v>-12.226657628412198</v>
      </c>
      <c r="H39" s="33">
        <v>-12.430076147939374</v>
      </c>
    </row>
    <row r="40" spans="1:8" x14ac:dyDescent="0.2">
      <c r="A40" s="34"/>
      <c r="B40" s="25" t="s">
        <v>242</v>
      </c>
      <c r="C40" s="82">
        <v>34.773503806681951</v>
      </c>
      <c r="D40" s="82">
        <v>39.771447991734725</v>
      </c>
      <c r="E40" s="82">
        <v>33.263575185525632</v>
      </c>
      <c r="F40" s="27"/>
      <c r="G40" s="28">
        <v>-4.3421814193661277</v>
      </c>
      <c r="H40" s="29">
        <v>-16.363177945046289</v>
      </c>
    </row>
    <row r="41" spans="1:8" x14ac:dyDescent="0.2">
      <c r="A41" s="30" t="s">
        <v>66</v>
      </c>
      <c r="B41" s="31" t="s">
        <v>3</v>
      </c>
      <c r="C41" s="80">
        <v>25.332420010772623</v>
      </c>
      <c r="D41" s="80">
        <v>13.468025871353925</v>
      </c>
      <c r="E41" s="83">
        <v>18.114388265134554</v>
      </c>
      <c r="F41" s="22" t="s">
        <v>241</v>
      </c>
      <c r="G41" s="23">
        <v>-28.493257819697433</v>
      </c>
      <c r="H41" s="24">
        <v>34.499209001842644</v>
      </c>
    </row>
    <row r="42" spans="1:8" x14ac:dyDescent="0.2">
      <c r="A42" s="34"/>
      <c r="B42" s="25" t="s">
        <v>242</v>
      </c>
      <c r="C42" s="82">
        <v>10.67941129583199</v>
      </c>
      <c r="D42" s="82">
        <v>11.293760402113962</v>
      </c>
      <c r="E42" s="82">
        <v>11.423546466672093</v>
      </c>
      <c r="F42" s="27"/>
      <c r="G42" s="38">
        <v>6.9679418670814499</v>
      </c>
      <c r="H42" s="24">
        <v>1.1491837965133129</v>
      </c>
    </row>
    <row r="43" spans="1:8" x14ac:dyDescent="0.2">
      <c r="A43" s="30" t="s">
        <v>55</v>
      </c>
      <c r="B43" s="31" t="s">
        <v>3</v>
      </c>
      <c r="C43" s="80">
        <v>708.58016793359457</v>
      </c>
      <c r="D43" s="80">
        <v>759.29921336107611</v>
      </c>
      <c r="E43" s="83">
        <v>853.75269292849009</v>
      </c>
      <c r="F43" s="22" t="s">
        <v>241</v>
      </c>
      <c r="G43" s="37">
        <v>20.487805270962724</v>
      </c>
      <c r="H43" s="33">
        <v>12.43955978161901</v>
      </c>
    </row>
    <row r="44" spans="1:8" x14ac:dyDescent="0.2">
      <c r="A44" s="34"/>
      <c r="B44" s="25" t="s">
        <v>242</v>
      </c>
      <c r="C44" s="82">
        <v>507.8152146001039</v>
      </c>
      <c r="D44" s="82">
        <v>572.42747298262873</v>
      </c>
      <c r="E44" s="82">
        <v>632.68119507409961</v>
      </c>
      <c r="F44" s="27"/>
      <c r="G44" s="28">
        <v>24.588861633916494</v>
      </c>
      <c r="H44" s="29">
        <v>10.526001098011477</v>
      </c>
    </row>
    <row r="45" spans="1:8" x14ac:dyDescent="0.2">
      <c r="A45" s="30" t="s">
        <v>67</v>
      </c>
      <c r="B45" s="31" t="s">
        <v>3</v>
      </c>
      <c r="C45" s="80">
        <v>109.72973136447266</v>
      </c>
      <c r="D45" s="80">
        <v>205.76448864684261</v>
      </c>
      <c r="E45" s="83">
        <v>220.43946082130205</v>
      </c>
      <c r="F45" s="22" t="s">
        <v>241</v>
      </c>
      <c r="G45" s="37">
        <v>100.89310169647788</v>
      </c>
      <c r="H45" s="33">
        <v>7.1319265393973552</v>
      </c>
    </row>
    <row r="46" spans="1:8" x14ac:dyDescent="0.2">
      <c r="A46" s="30"/>
      <c r="B46" s="25" t="s">
        <v>242</v>
      </c>
      <c r="C46" s="82">
        <v>80.487429221674617</v>
      </c>
      <c r="D46" s="82">
        <v>141.24184520156302</v>
      </c>
      <c r="E46" s="82">
        <v>154.62336389736782</v>
      </c>
      <c r="F46" s="27"/>
      <c r="G46" s="28">
        <v>92.108712369867817</v>
      </c>
      <c r="H46" s="29">
        <v>9.4741885286958336</v>
      </c>
    </row>
    <row r="47" spans="1:8" x14ac:dyDescent="0.2">
      <c r="A47" s="39" t="s">
        <v>56</v>
      </c>
      <c r="B47" s="31" t="s">
        <v>3</v>
      </c>
      <c r="C47" s="80">
        <v>4.6671651927617948</v>
      </c>
      <c r="D47" s="80">
        <v>10.318568645070682</v>
      </c>
      <c r="E47" s="83">
        <v>12.977928897271649</v>
      </c>
      <c r="F47" s="22" t="s">
        <v>241</v>
      </c>
      <c r="G47" s="23">
        <v>178.06877111182689</v>
      </c>
      <c r="H47" s="24">
        <v>25.772569274628793</v>
      </c>
    </row>
    <row r="48" spans="1:8" x14ac:dyDescent="0.2">
      <c r="A48" s="34"/>
      <c r="B48" s="25" t="s">
        <v>242</v>
      </c>
      <c r="C48" s="82">
        <v>2.733203138337259</v>
      </c>
      <c r="D48" s="82">
        <v>10.120398241512479</v>
      </c>
      <c r="E48" s="82">
        <v>10.39136734964209</v>
      </c>
      <c r="F48" s="27"/>
      <c r="G48" s="38">
        <v>280.19008554057444</v>
      </c>
      <c r="H48" s="24">
        <v>2.677454993995525</v>
      </c>
    </row>
    <row r="49" spans="1:9" x14ac:dyDescent="0.2">
      <c r="A49" s="39" t="s">
        <v>68</v>
      </c>
      <c r="B49" s="31" t="s">
        <v>3</v>
      </c>
      <c r="C49" s="80">
        <v>7.8416505044696772</v>
      </c>
      <c r="D49" s="80">
        <v>4.4052246519785063</v>
      </c>
      <c r="E49" s="83">
        <v>3.4240394681200343</v>
      </c>
      <c r="F49" s="22" t="s">
        <v>241</v>
      </c>
      <c r="G49" s="37">
        <v>-56.33521965601043</v>
      </c>
      <c r="H49" s="33">
        <v>-22.273215587717985</v>
      </c>
    </row>
    <row r="50" spans="1:9" x14ac:dyDescent="0.2">
      <c r="A50" s="34"/>
      <c r="B50" s="25" t="s">
        <v>242</v>
      </c>
      <c r="C50" s="82">
        <v>7.2626863665721633</v>
      </c>
      <c r="D50" s="82">
        <v>4.1459632938712181</v>
      </c>
      <c r="E50" s="82">
        <v>3.2052446452779773</v>
      </c>
      <c r="F50" s="27"/>
      <c r="G50" s="28">
        <v>-55.866954959934667</v>
      </c>
      <c r="H50" s="29">
        <v>-22.68998980246306</v>
      </c>
    </row>
    <row r="51" spans="1:9" x14ac:dyDescent="0.2">
      <c r="A51" s="30" t="s">
        <v>69</v>
      </c>
      <c r="B51" s="31" t="s">
        <v>3</v>
      </c>
      <c r="C51" s="80">
        <v>179.82833570464365</v>
      </c>
      <c r="D51" s="80">
        <v>151.4127680896845</v>
      </c>
      <c r="E51" s="83">
        <v>166.73653547354965</v>
      </c>
      <c r="F51" s="22" t="s">
        <v>241</v>
      </c>
      <c r="G51" s="23">
        <v>-7.280165375381344</v>
      </c>
      <c r="H51" s="24">
        <v>10.120525222013384</v>
      </c>
    </row>
    <row r="52" spans="1:9" ht="13.5" thickBot="1" x14ac:dyDescent="0.25">
      <c r="A52" s="56"/>
      <c r="B52" s="42" t="s">
        <v>242</v>
      </c>
      <c r="C52" s="86">
        <v>113.6493181599258</v>
      </c>
      <c r="D52" s="86">
        <v>114.64096156374244</v>
      </c>
      <c r="E52" s="86">
        <v>118.42583937773482</v>
      </c>
      <c r="F52" s="44"/>
      <c r="G52" s="57">
        <v>4.2028595464933289</v>
      </c>
      <c r="H52" s="46">
        <v>3.3015056419322804</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243</v>
      </c>
      <c r="G61" s="53"/>
      <c r="H61" s="206">
        <v>26</v>
      </c>
    </row>
    <row r="62" spans="1:9" ht="12.75" customHeight="1" x14ac:dyDescent="0.2">
      <c r="A62" s="54" t="s">
        <v>244</v>
      </c>
      <c r="G62" s="53"/>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6"/>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198">
        <v>27</v>
      </c>
      <c r="H52" s="54" t="str">
        <f>+Innhold!B123</f>
        <v>Finans Norge / Skadeforsikringsstatistikk</v>
      </c>
      <c r="N52" s="198">
        <v>28</v>
      </c>
    </row>
    <row r="53" spans="1:14" ht="12.75" customHeight="1" x14ac:dyDescent="0.2">
      <c r="A53" s="54" t="str">
        <f>+Innhold!B124</f>
        <v>Skadestatistikk for landbasert forsikring 3. kvartal 2020</v>
      </c>
      <c r="G53" s="199"/>
      <c r="H53" s="54" t="str">
        <f>+Innhold!B124</f>
        <v>Skadestatistikk for landbasert forsikring 3. kvartal 2020</v>
      </c>
      <c r="N53" s="199"/>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t="s">
        <v>191</v>
      </c>
      <c r="B46" s="73"/>
      <c r="C46" s="73"/>
      <c r="D46" s="73"/>
      <c r="E46" s="73"/>
      <c r="F46" s="73"/>
      <c r="G46" s="73"/>
      <c r="M46" s="77"/>
    </row>
    <row r="47" spans="1:13" ht="15.6" customHeight="1" x14ac:dyDescent="0.25">
      <c r="A47" s="93" t="s">
        <v>192</v>
      </c>
      <c r="B47" s="73"/>
      <c r="C47" s="73"/>
      <c r="D47" s="73"/>
      <c r="E47" s="73"/>
      <c r="F47" s="73"/>
      <c r="G47" s="73"/>
      <c r="M47" s="77"/>
    </row>
    <row r="48" spans="1:13" ht="15.6" customHeight="1" x14ac:dyDescent="0.25">
      <c r="A48" s="93" t="s">
        <v>131</v>
      </c>
      <c r="B48" s="73"/>
      <c r="C48" s="73"/>
      <c r="D48" s="73"/>
      <c r="E48" s="73"/>
      <c r="F48" s="73"/>
      <c r="G48" s="73"/>
      <c r="M48" s="77"/>
    </row>
    <row r="49" spans="1:13" ht="15.6" customHeight="1" x14ac:dyDescent="0.25">
      <c r="A49" s="93" t="s">
        <v>233</v>
      </c>
      <c r="B49" s="73"/>
      <c r="C49" s="73"/>
      <c r="D49" s="73"/>
      <c r="E49" s="73"/>
      <c r="F49" s="73"/>
      <c r="G49" s="73"/>
      <c r="M49" s="77"/>
    </row>
    <row r="50" spans="1:13" ht="15.6" customHeight="1" x14ac:dyDescent="0.2">
      <c r="A50" s="52"/>
      <c r="B50" s="52"/>
      <c r="C50" s="52"/>
      <c r="D50" s="52"/>
      <c r="E50" s="52"/>
      <c r="F50" s="52"/>
      <c r="G50" s="52"/>
      <c r="H50" s="77"/>
    </row>
    <row r="51" spans="1:13" ht="15.6" customHeight="1" x14ac:dyDescent="0.2">
      <c r="A51" s="54" t="str">
        <f>+Innhold!B123</f>
        <v>Finans Norge / Skadeforsikringsstatistikk</v>
      </c>
      <c r="G51" s="198">
        <v>3</v>
      </c>
      <c r="H51" s="77"/>
    </row>
    <row r="52" spans="1:13" ht="15.6" customHeight="1" x14ac:dyDescent="0.2">
      <c r="A52" s="54" t="str">
        <f>+Innhold!B124</f>
        <v>Skadestatistikk for landbasert forsikring 3. kvartal 2020</v>
      </c>
      <c r="G52" s="199"/>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25"/>
  <sheetViews>
    <sheetView showGridLines="0" showRowColHeaders="0" zoomScaleNormal="100" workbookViewId="0"/>
  </sheetViews>
  <sheetFormatPr defaultColWidth="11.42578125" defaultRowHeight="12.75" x14ac:dyDescent="0.2"/>
  <cols>
    <col min="1" max="1" width="26.42578125" style="166" customWidth="1"/>
    <col min="2" max="2" width="8.140625" style="166" customWidth="1"/>
    <col min="3" max="4" width="10.42578125" style="166" customWidth="1"/>
    <col min="5" max="5" width="9.85546875" style="166" customWidth="1"/>
    <col min="6" max="6" width="1.5703125" style="166" customWidth="1"/>
    <col min="7" max="7" width="7.5703125" style="166" customWidth="1"/>
    <col min="8" max="8" width="8.85546875" style="166" customWidth="1"/>
    <col min="9" max="21" width="11.42578125" style="166" customWidth="1"/>
    <col min="22" max="22" width="15.42578125" style="166" customWidth="1"/>
    <col min="23" max="16384" width="11.42578125" style="166"/>
  </cols>
  <sheetData>
    <row r="1" spans="1:36" s="1" customFormat="1" ht="5.25" customHeight="1" x14ac:dyDescent="0.2"/>
    <row r="2" spans="1:36" s="1" customFormat="1" x14ac:dyDescent="0.2">
      <c r="A2" s="164" t="s">
        <v>0</v>
      </c>
      <c r="B2" s="2"/>
      <c r="C2" s="2"/>
      <c r="D2" s="2"/>
      <c r="E2" s="2"/>
      <c r="F2" s="2"/>
      <c r="G2" s="2"/>
    </row>
    <row r="3" spans="1:36" s="1" customFormat="1" ht="6" customHeight="1" x14ac:dyDescent="0.2">
      <c r="A3" s="165"/>
      <c r="B3" s="2"/>
      <c r="C3" s="2"/>
      <c r="D3" s="2"/>
      <c r="E3" s="2"/>
      <c r="F3" s="2"/>
      <c r="G3" s="2"/>
    </row>
    <row r="4" spans="1:36" s="1" customFormat="1" ht="12.75" customHeight="1" x14ac:dyDescent="0.2">
      <c r="A4" s="200" t="s">
        <v>90</v>
      </c>
      <c r="B4" s="2"/>
      <c r="C4" s="2"/>
      <c r="D4" s="2"/>
      <c r="E4" s="2"/>
      <c r="F4" s="2"/>
      <c r="G4" s="2"/>
      <c r="H4" s="67"/>
    </row>
    <row r="5" spans="1:36" s="1" customFormat="1" ht="12.75" customHeight="1" x14ac:dyDescent="0.2">
      <c r="A5" s="200"/>
      <c r="B5" s="2"/>
      <c r="C5" s="2"/>
      <c r="D5" s="2"/>
      <c r="E5" s="2"/>
      <c r="F5" s="2"/>
      <c r="G5" s="2"/>
      <c r="H5" s="67"/>
    </row>
    <row r="6" spans="1:36" s="1" customFormat="1"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165"/>
      <c r="B7" s="2"/>
      <c r="C7" s="2"/>
      <c r="D7" s="2"/>
      <c r="E7" s="2"/>
      <c r="F7" s="2"/>
      <c r="G7" s="2"/>
      <c r="H7" s="67"/>
      <c r="V7" s="88"/>
      <c r="AJ7" s="88"/>
    </row>
    <row r="8" spans="1:36" s="1" customFormat="1" x14ac:dyDescent="0.2">
      <c r="A8" s="165"/>
      <c r="B8" s="2"/>
      <c r="C8" s="2"/>
      <c r="D8" s="2"/>
      <c r="E8" s="2"/>
      <c r="F8" s="2"/>
      <c r="G8" s="2"/>
      <c r="H8" s="67"/>
    </row>
    <row r="9" spans="1:36" s="1" customFormat="1" x14ac:dyDescent="0.2">
      <c r="A9" s="165"/>
      <c r="B9" s="2"/>
      <c r="C9" s="2"/>
      <c r="D9" s="2"/>
      <c r="E9" s="2"/>
      <c r="F9" s="2"/>
      <c r="G9" s="2"/>
      <c r="H9" s="67"/>
    </row>
    <row r="10" spans="1:36" s="1" customFormat="1" x14ac:dyDescent="0.2">
      <c r="A10" s="165"/>
      <c r="B10" s="2"/>
      <c r="C10" s="2"/>
      <c r="D10" s="2"/>
      <c r="E10" s="2"/>
      <c r="F10" s="2"/>
      <c r="G10" s="2"/>
      <c r="H10" s="67"/>
    </row>
    <row r="11" spans="1:36" s="1" customFormat="1" x14ac:dyDescent="0.2">
      <c r="A11" s="165"/>
      <c r="B11" s="2"/>
      <c r="C11" s="2"/>
      <c r="D11" s="2"/>
      <c r="E11" s="2"/>
      <c r="F11" s="2"/>
      <c r="G11" s="2"/>
      <c r="H11" s="67"/>
    </row>
    <row r="12" spans="1:36" s="1" customFormat="1" x14ac:dyDescent="0.2">
      <c r="A12" s="165"/>
      <c r="B12" s="2"/>
      <c r="C12" s="2"/>
      <c r="D12" s="2"/>
      <c r="E12" s="2"/>
      <c r="F12" s="2"/>
      <c r="G12" s="2"/>
      <c r="H12" s="67"/>
    </row>
    <row r="13" spans="1:36" s="1" customFormat="1" x14ac:dyDescent="0.2">
      <c r="A13" s="165"/>
      <c r="B13" s="2"/>
      <c r="C13" s="2"/>
      <c r="D13" s="2"/>
      <c r="E13" s="2"/>
      <c r="F13" s="2"/>
      <c r="G13" s="2"/>
      <c r="H13" s="67"/>
    </row>
    <row r="14" spans="1:36" s="1" customFormat="1" x14ac:dyDescent="0.2">
      <c r="A14" s="165"/>
      <c r="B14" s="2"/>
      <c r="C14" s="2"/>
      <c r="D14" s="2"/>
      <c r="E14" s="2"/>
      <c r="F14" s="2"/>
      <c r="G14" s="2"/>
      <c r="H14" s="67"/>
    </row>
    <row r="15" spans="1:36" s="1" customFormat="1" x14ac:dyDescent="0.2">
      <c r="A15" s="165"/>
      <c r="B15" s="2"/>
      <c r="C15" s="2"/>
      <c r="D15" s="2"/>
      <c r="E15" s="2"/>
      <c r="F15" s="2"/>
      <c r="G15" s="2"/>
      <c r="H15" s="67"/>
    </row>
    <row r="16" spans="1:36" s="1" customFormat="1" x14ac:dyDescent="0.2">
      <c r="A16" s="165"/>
      <c r="B16" s="2"/>
      <c r="C16" s="2"/>
      <c r="D16" s="2"/>
      <c r="E16" s="2"/>
      <c r="F16" s="2"/>
      <c r="G16" s="2"/>
      <c r="H16" s="67"/>
    </row>
    <row r="17" spans="1:30" s="1" customFormat="1" x14ac:dyDescent="0.2">
      <c r="A17" s="165"/>
      <c r="B17" s="2"/>
      <c r="C17" s="2"/>
      <c r="D17" s="2"/>
      <c r="E17" s="2"/>
      <c r="F17" s="2"/>
      <c r="G17" s="2"/>
      <c r="H17" s="67"/>
    </row>
    <row r="18" spans="1:30" s="1" customFormat="1" x14ac:dyDescent="0.2">
      <c r="A18" s="165"/>
      <c r="B18" s="2"/>
      <c r="C18" s="2"/>
      <c r="D18" s="2"/>
      <c r="E18" s="2"/>
      <c r="F18" s="2"/>
      <c r="G18" s="2"/>
      <c r="H18" s="67"/>
    </row>
    <row r="19" spans="1:30" s="1" customFormat="1" x14ac:dyDescent="0.2">
      <c r="A19" s="165"/>
      <c r="B19" s="2"/>
      <c r="C19" s="2"/>
      <c r="D19" s="2"/>
      <c r="E19" s="2"/>
      <c r="F19" s="2"/>
      <c r="G19" s="2"/>
      <c r="H19" s="67"/>
    </row>
    <row r="20" spans="1:30" s="1" customFormat="1" x14ac:dyDescent="0.2">
      <c r="A20" s="165"/>
      <c r="B20" s="2"/>
      <c r="C20" s="2"/>
      <c r="D20" s="2"/>
      <c r="E20" s="2"/>
      <c r="F20" s="2"/>
      <c r="G20" s="2"/>
      <c r="H20" s="67"/>
    </row>
    <row r="21" spans="1:30" s="1" customFormat="1" x14ac:dyDescent="0.2">
      <c r="A21" s="165"/>
      <c r="B21" s="2"/>
      <c r="C21" s="2"/>
      <c r="D21" s="2"/>
      <c r="E21" s="2"/>
      <c r="F21" s="2"/>
      <c r="G21" s="2"/>
      <c r="H21" s="67"/>
    </row>
    <row r="22" spans="1:30" s="1" customFormat="1" x14ac:dyDescent="0.2">
      <c r="A22" s="165"/>
      <c r="B22" s="2"/>
      <c r="C22" s="2"/>
      <c r="D22" s="2"/>
      <c r="E22" s="2"/>
      <c r="F22" s="2"/>
      <c r="G22" s="2"/>
      <c r="H22" s="67"/>
    </row>
    <row r="23" spans="1:30" s="1" customFormat="1" x14ac:dyDescent="0.2">
      <c r="A23" s="165"/>
      <c r="B23" s="2"/>
      <c r="C23" s="2"/>
      <c r="D23" s="2"/>
      <c r="E23" s="2"/>
      <c r="F23" s="2"/>
      <c r="G23" s="2"/>
      <c r="H23" s="67"/>
    </row>
    <row r="24" spans="1:30" s="1" customFormat="1" x14ac:dyDescent="0.2">
      <c r="A24" s="165"/>
      <c r="B24" s="2"/>
      <c r="C24" s="2"/>
      <c r="D24" s="2"/>
      <c r="E24" s="2"/>
      <c r="F24" s="2"/>
      <c r="G24" s="2"/>
      <c r="H24" s="67"/>
    </row>
    <row r="25" spans="1:30" s="1" customFormat="1" x14ac:dyDescent="0.2">
      <c r="A25" s="165"/>
      <c r="B25" s="2"/>
      <c r="C25" s="2"/>
      <c r="D25" s="2"/>
      <c r="E25" s="2"/>
      <c r="F25" s="2"/>
      <c r="G25" s="2"/>
      <c r="H25" s="67"/>
    </row>
    <row r="26" spans="1:30" s="1" customFormat="1" x14ac:dyDescent="0.2">
      <c r="A26" s="165"/>
      <c r="B26" s="2"/>
      <c r="C26" s="2"/>
      <c r="D26" s="2"/>
      <c r="E26" s="2"/>
      <c r="F26" s="2"/>
      <c r="G26" s="2"/>
      <c r="H26" s="67"/>
    </row>
    <row r="27" spans="1:30" s="1" customFormat="1" x14ac:dyDescent="0.2">
      <c r="A27" s="165"/>
      <c r="B27" s="2"/>
      <c r="C27" s="2"/>
      <c r="D27" s="2"/>
      <c r="E27" s="2"/>
      <c r="F27" s="2"/>
      <c r="G27" s="2"/>
      <c r="H27" s="67"/>
    </row>
    <row r="28" spans="1:30" s="1" customFormat="1" x14ac:dyDescent="0.2">
      <c r="A28" s="165"/>
      <c r="B28" s="2"/>
      <c r="C28" s="2"/>
      <c r="D28" s="2"/>
      <c r="E28" s="2"/>
      <c r="F28" s="2"/>
      <c r="G28" s="2"/>
      <c r="H28" s="67"/>
    </row>
    <row r="29" spans="1:30" s="1" customFormat="1" x14ac:dyDescent="0.2">
      <c r="A29" s="165"/>
      <c r="B29" s="2"/>
      <c r="C29" s="2"/>
      <c r="D29" s="2"/>
      <c r="E29" s="2"/>
      <c r="F29" s="2"/>
      <c r="G29" s="2"/>
      <c r="H29" s="67"/>
    </row>
    <row r="30" spans="1:30" s="1" customFormat="1" x14ac:dyDescent="0.2">
      <c r="A30" s="165"/>
      <c r="B30" s="2"/>
      <c r="C30" s="2"/>
      <c r="D30" s="2"/>
      <c r="E30" s="2"/>
      <c r="F30" s="2"/>
      <c r="G30" s="2"/>
      <c r="H30" s="67"/>
    </row>
    <row r="31" spans="1:30" s="1" customFormat="1" x14ac:dyDescent="0.2">
      <c r="A31" s="165"/>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2020</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x14ac:dyDescent="0.2">
      <c r="A33" s="165"/>
      <c r="B33" s="2"/>
      <c r="C33" s="2"/>
      <c r="D33" s="2"/>
      <c r="E33" s="2"/>
      <c r="F33" s="2"/>
      <c r="G33" s="2"/>
      <c r="H33" s="67"/>
    </row>
    <row r="34" spans="1:8" s="1" customFormat="1" x14ac:dyDescent="0.2">
      <c r="A34" s="165"/>
      <c r="B34" s="2"/>
      <c r="C34" s="2"/>
      <c r="D34" s="2"/>
      <c r="E34" s="2"/>
      <c r="F34" s="2"/>
      <c r="G34" s="2"/>
      <c r="H34" s="67"/>
    </row>
    <row r="35" spans="1:8" s="1" customFormat="1" x14ac:dyDescent="0.2">
      <c r="A35" s="165"/>
      <c r="B35" s="2"/>
      <c r="C35" s="2"/>
      <c r="D35" s="2"/>
      <c r="E35" s="2"/>
      <c r="F35" s="2"/>
      <c r="G35" s="2"/>
      <c r="H35" s="67"/>
    </row>
    <row r="36" spans="1:8" s="1" customFormat="1" x14ac:dyDescent="0.2">
      <c r="A36" s="165"/>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s="1" customFormat="1" x14ac:dyDescent="0.2">
      <c r="A49" s="47"/>
      <c r="B49" s="48"/>
      <c r="C49" s="49"/>
      <c r="D49" s="49"/>
      <c r="E49" s="98"/>
      <c r="F49" s="49"/>
      <c r="G49" s="50"/>
      <c r="H49" s="51"/>
    </row>
    <row r="50" spans="1:36" s="1" customFormat="1" x14ac:dyDescent="0.2">
      <c r="A50" s="47"/>
      <c r="B50" s="48"/>
      <c r="C50" s="49"/>
      <c r="D50" s="49"/>
      <c r="E50" s="49"/>
      <c r="F50" s="49"/>
      <c r="G50" s="50"/>
      <c r="H50" s="51"/>
    </row>
    <row r="51" spans="1:36" s="1" customFormat="1" x14ac:dyDescent="0.2">
      <c r="A51" s="47"/>
      <c r="B51" s="48"/>
      <c r="C51" s="49"/>
      <c r="D51" s="49"/>
      <c r="E51" s="49"/>
      <c r="F51" s="49"/>
      <c r="G51" s="50"/>
      <c r="H51" s="51"/>
    </row>
    <row r="52" spans="1:36" s="1" customFormat="1" x14ac:dyDescent="0.2">
      <c r="A52" s="47"/>
      <c r="B52" s="48"/>
      <c r="C52" s="49"/>
      <c r="D52" s="49"/>
      <c r="E52" s="49"/>
      <c r="F52" s="49"/>
      <c r="G52" s="50"/>
      <c r="H52" s="51"/>
    </row>
    <row r="53" spans="1:36" s="1" customFormat="1" x14ac:dyDescent="0.2">
      <c r="A53" s="47"/>
      <c r="B53" s="48"/>
      <c r="C53" s="49"/>
      <c r="D53" s="49"/>
      <c r="E53" s="49"/>
      <c r="F53" s="49"/>
      <c r="G53" s="50"/>
      <c r="H53" s="51"/>
    </row>
    <row r="54" spans="1:36" s="1" customFormat="1" x14ac:dyDescent="0.2">
      <c r="A54" s="47"/>
      <c r="B54" s="48"/>
      <c r="C54" s="49"/>
      <c r="D54" s="49"/>
      <c r="E54" s="49"/>
      <c r="F54" s="49"/>
      <c r="G54" s="50"/>
      <c r="H54" s="51"/>
    </row>
    <row r="55" spans="1:36" s="1" customFormat="1" x14ac:dyDescent="0.2">
      <c r="A55" s="47"/>
      <c r="B55" s="48"/>
      <c r="C55" s="49"/>
      <c r="D55" s="49"/>
      <c r="E55" s="49"/>
      <c r="F55" s="49"/>
      <c r="G55" s="50"/>
      <c r="H55" s="51"/>
    </row>
    <row r="56" spans="1:36" s="1" customFormat="1" x14ac:dyDescent="0.2">
      <c r="A56" s="47"/>
      <c r="B56" s="48"/>
      <c r="C56" s="49"/>
      <c r="D56" s="49"/>
      <c r="E56" s="49"/>
      <c r="F56" s="49"/>
      <c r="G56" s="50"/>
      <c r="H56" s="51"/>
    </row>
    <row r="57" spans="1:36" s="1" customFormat="1" x14ac:dyDescent="0.2">
      <c r="A57" s="47"/>
      <c r="B57" s="48"/>
      <c r="C57" s="49"/>
      <c r="D57" s="49"/>
      <c r="E57" s="49"/>
      <c r="F57" s="49"/>
      <c r="G57" s="50"/>
      <c r="H57" s="51"/>
    </row>
    <row r="58" spans="1:36" s="1" customFormat="1" x14ac:dyDescent="0.2">
      <c r="A58" s="47"/>
      <c r="B58" s="48"/>
      <c r="C58" s="49"/>
      <c r="D58" s="49"/>
      <c r="E58" s="49"/>
      <c r="F58" s="49"/>
      <c r="G58" s="50"/>
      <c r="H58" s="51"/>
    </row>
    <row r="59" spans="1:36" s="1" customFormat="1" x14ac:dyDescent="0.2">
      <c r="A59" s="47"/>
      <c r="B59" s="48"/>
      <c r="C59" s="49"/>
      <c r="D59" s="49"/>
      <c r="E59" s="49"/>
      <c r="F59" s="49"/>
      <c r="G59" s="50"/>
      <c r="H59" s="51"/>
    </row>
    <row r="60" spans="1:36" s="1" customForma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s="1" customFormat="1" x14ac:dyDescent="0.2">
      <c r="A61" s="54" t="str">
        <f>+Innhold!B123</f>
        <v>Finans Norge / Skadeforsikringsstatistikk</v>
      </c>
      <c r="H61" s="198">
        <v>4</v>
      </c>
      <c r="I61" s="54" t="str">
        <f>+Innhold!B123</f>
        <v>Finans Norge / Skadeforsikringsstatistikk</v>
      </c>
      <c r="O61" s="198">
        <v>5</v>
      </c>
      <c r="P61" s="54" t="str">
        <f>+Innhold!B123</f>
        <v>Finans Norge / Skadeforsikringsstatistikk</v>
      </c>
      <c r="V61" s="198">
        <v>6</v>
      </c>
      <c r="W61" s="54" t="str">
        <f>+Innhold!B123</f>
        <v>Finans Norge / Skadeforsikringsstatistikk</v>
      </c>
      <c r="AC61" s="198">
        <v>7</v>
      </c>
      <c r="AD61" s="54" t="str">
        <f>+Innhold!B123</f>
        <v>Finans Norge / Skadeforsikringsstatistikk</v>
      </c>
      <c r="AJ61" s="198">
        <v>8</v>
      </c>
    </row>
    <row r="62" spans="1:36" s="1" customFormat="1" x14ac:dyDescent="0.2">
      <c r="A62" s="54" t="str">
        <f>+Innhold!B124</f>
        <v>Skadestatistikk for landbasert forsikring 3. kvartal 2020</v>
      </c>
      <c r="H62" s="199"/>
      <c r="I62" s="54" t="str">
        <f>+Innhold!B124</f>
        <v>Skadestatistikk for landbasert forsikring 3. kvartal 2020</v>
      </c>
      <c r="O62" s="199"/>
      <c r="P62" s="54" t="str">
        <f>+Innhold!B124</f>
        <v>Skadestatistikk for landbasert forsikring 3. kvartal 2020</v>
      </c>
      <c r="V62" s="199"/>
      <c r="W62" s="54" t="str">
        <f>+Innhold!B124</f>
        <v>Skadestatistikk for landbasert forsikring 3. kvartal 2020</v>
      </c>
      <c r="AC62" s="199"/>
      <c r="AD62" s="54" t="str">
        <f>+Innhold!B124</f>
        <v>Skadestatistikk for landbasert forsikring 3. kvartal 2020</v>
      </c>
      <c r="AJ62" s="199"/>
    </row>
    <row r="67" spans="1:26" ht="12.75" customHeight="1" x14ac:dyDescent="0.2"/>
    <row r="68" spans="1:26" ht="12.75" customHeight="1" x14ac:dyDescent="0.2">
      <c r="M68" s="167" t="s">
        <v>178</v>
      </c>
      <c r="P68" s="167" t="s">
        <v>180</v>
      </c>
      <c r="S68" s="167" t="s">
        <v>179</v>
      </c>
    </row>
    <row r="69" spans="1:26" x14ac:dyDescent="0.2">
      <c r="A69" s="168" t="s">
        <v>184</v>
      </c>
      <c r="B69" s="169"/>
      <c r="C69" s="169"/>
      <c r="D69" s="169" t="s">
        <v>74</v>
      </c>
      <c r="E69" s="169"/>
      <c r="F69" s="169"/>
      <c r="G69" s="169"/>
      <c r="H69" s="168"/>
      <c r="I69" s="170">
        <v>154.90750000000003</v>
      </c>
      <c r="J69" s="171" t="s">
        <v>235</v>
      </c>
      <c r="M69" s="167" t="s">
        <v>162</v>
      </c>
      <c r="P69" s="167" t="s">
        <v>176</v>
      </c>
      <c r="S69" s="167" t="s">
        <v>177</v>
      </c>
      <c r="V69" s="168" t="s">
        <v>185</v>
      </c>
      <c r="W69" s="169"/>
      <c r="X69" s="169"/>
      <c r="Y69" s="169"/>
      <c r="Z69" s="169"/>
    </row>
    <row r="70" spans="1:26" x14ac:dyDescent="0.2">
      <c r="A70" s="169" t="s">
        <v>75</v>
      </c>
      <c r="B70" s="169" t="s">
        <v>76</v>
      </c>
      <c r="C70" s="169" t="s">
        <v>26</v>
      </c>
      <c r="D70" s="169" t="s">
        <v>77</v>
      </c>
      <c r="E70" s="169"/>
      <c r="F70" s="169"/>
      <c r="G70" s="169"/>
      <c r="I70" s="172" t="s">
        <v>160</v>
      </c>
      <c r="J70" s="166" t="s">
        <v>232</v>
      </c>
      <c r="K70" s="172" t="s">
        <v>76</v>
      </c>
      <c r="L70" s="172" t="s">
        <v>108</v>
      </c>
      <c r="M70" s="172" t="s">
        <v>158</v>
      </c>
      <c r="N70" s="172" t="s">
        <v>159</v>
      </c>
      <c r="O70" s="172" t="s">
        <v>108</v>
      </c>
      <c r="P70" s="172" t="s">
        <v>158</v>
      </c>
      <c r="Q70" s="172" t="s">
        <v>159</v>
      </c>
      <c r="R70" s="172" t="s">
        <v>108</v>
      </c>
      <c r="S70" s="172" t="s">
        <v>158</v>
      </c>
      <c r="T70" s="172" t="s">
        <v>159</v>
      </c>
      <c r="V70" s="169" t="s">
        <v>81</v>
      </c>
      <c r="W70" s="169"/>
      <c r="X70" s="173" t="str">
        <f>+'Tab3'!C6</f>
        <v>2018</v>
      </c>
      <c r="Y70" s="173" t="str">
        <f>+'Tab3'!D6</f>
        <v>2019</v>
      </c>
      <c r="Z70" s="173" t="str">
        <f>+'Tab3'!E6</f>
        <v>2020</v>
      </c>
    </row>
    <row r="71" spans="1:26" x14ac:dyDescent="0.2">
      <c r="A71" s="169">
        <v>1</v>
      </c>
      <c r="B71" s="169">
        <v>1983</v>
      </c>
      <c r="C71" s="169">
        <v>97</v>
      </c>
      <c r="D71" s="169">
        <v>78.3</v>
      </c>
      <c r="E71" s="169"/>
      <c r="F71" s="169"/>
      <c r="G71" s="169"/>
      <c r="I71" s="174">
        <v>53.8</v>
      </c>
      <c r="J71" s="166">
        <v>1</v>
      </c>
      <c r="K71" s="166">
        <v>1983</v>
      </c>
      <c r="L71" s="175">
        <v>11621</v>
      </c>
      <c r="M71" s="174">
        <v>80.900000000000006</v>
      </c>
      <c r="N71" s="174">
        <f t="shared" ref="N71:N102" si="0">M71/I71*$I$69</f>
        <v>232.93711431226771</v>
      </c>
      <c r="V71" s="169"/>
      <c r="W71" s="169"/>
      <c r="X71" s="169"/>
      <c r="Y71" s="169"/>
      <c r="Z71" s="169"/>
    </row>
    <row r="72" spans="1:26" x14ac:dyDescent="0.2">
      <c r="A72" s="169">
        <v>2</v>
      </c>
      <c r="B72" s="169"/>
      <c r="C72" s="169">
        <v>78.8</v>
      </c>
      <c r="D72" s="169">
        <v>61.3</v>
      </c>
      <c r="E72" s="169"/>
      <c r="F72" s="169"/>
      <c r="G72" s="169"/>
      <c r="I72" s="174">
        <v>54.7</v>
      </c>
      <c r="J72" s="166">
        <v>2</v>
      </c>
      <c r="L72" s="175">
        <v>11120</v>
      </c>
      <c r="M72" s="174">
        <v>68.900000000000006</v>
      </c>
      <c r="N72" s="174">
        <f t="shared" si="0"/>
        <v>195.12114716636202</v>
      </c>
      <c r="V72" s="169" t="s">
        <v>26</v>
      </c>
      <c r="W72" s="169"/>
      <c r="X72" s="176">
        <f>IF('Tab6'!C36="",'Tab6'!C35,'Tab6'!C36)</f>
        <v>11317.622871284519</v>
      </c>
      <c r="Y72" s="176">
        <f>IF('Tab6'!D36="",'Tab6'!D35,'Tab6'!D36)</f>
        <v>11785.87742239712</v>
      </c>
      <c r="Z72" s="176">
        <f>IF('Tab6'!E36="",'Tab6'!E35,'Tab6'!E36)</f>
        <v>11840.026521089618</v>
      </c>
    </row>
    <row r="73" spans="1:26" x14ac:dyDescent="0.2">
      <c r="A73" s="169">
        <v>3</v>
      </c>
      <c r="B73" s="169"/>
      <c r="C73" s="169">
        <v>84.8</v>
      </c>
      <c r="D73" s="169">
        <v>63</v>
      </c>
      <c r="E73" s="169"/>
      <c r="F73" s="169"/>
      <c r="G73" s="169"/>
      <c r="I73" s="174">
        <v>55.3</v>
      </c>
      <c r="J73" s="166">
        <v>3</v>
      </c>
      <c r="L73" s="175">
        <v>11918</v>
      </c>
      <c r="M73" s="174">
        <v>63.7</v>
      </c>
      <c r="N73" s="174">
        <f t="shared" si="0"/>
        <v>178.43775316455702</v>
      </c>
      <c r="V73" s="169"/>
      <c r="W73" s="169"/>
      <c r="X73" s="176"/>
      <c r="Y73" s="176"/>
      <c r="Z73" s="176"/>
    </row>
    <row r="74" spans="1:26" x14ac:dyDescent="0.2">
      <c r="A74" s="169">
        <v>4</v>
      </c>
      <c r="B74" s="169"/>
      <c r="C74" s="169">
        <v>91.2</v>
      </c>
      <c r="D74" s="169">
        <v>70.8</v>
      </c>
      <c r="E74" s="169"/>
      <c r="F74" s="169"/>
      <c r="G74" s="169"/>
      <c r="I74" s="174">
        <v>56.2</v>
      </c>
      <c r="J74" s="166">
        <v>4</v>
      </c>
      <c r="L74" s="175">
        <v>11905</v>
      </c>
      <c r="M74" s="174">
        <v>79.3</v>
      </c>
      <c r="N74" s="174">
        <f t="shared" si="0"/>
        <v>218.57944395017796</v>
      </c>
      <c r="V74" s="169" t="s">
        <v>63</v>
      </c>
      <c r="W74" s="169"/>
      <c r="X74" s="176">
        <f>IF('Tab6'!C36="",'Tab6'!C45+'Tab6'!C47,'Tab6'!C46+'Tab6'!C48)</f>
        <v>153.67243472173629</v>
      </c>
      <c r="Y74" s="176">
        <f>IF('Tab6'!D36="",'Tab6'!D45+'Tab6'!D47,'Tab6'!D46+'Tab6'!D48)</f>
        <v>200.01817101242716</v>
      </c>
      <c r="Z74" s="176">
        <f>IF('Tab6'!E36="",'Tab6'!E45+'Tab6'!E47,'Tab6'!E46+'Tab6'!E48)</f>
        <v>158.41184045642638</v>
      </c>
    </row>
    <row r="75" spans="1:26" x14ac:dyDescent="0.2">
      <c r="A75" s="169">
        <v>1</v>
      </c>
      <c r="B75" s="169">
        <v>1984</v>
      </c>
      <c r="C75" s="169">
        <v>112.2</v>
      </c>
      <c r="D75" s="169">
        <v>90.4</v>
      </c>
      <c r="E75" s="169"/>
      <c r="F75" s="169"/>
      <c r="G75" s="169"/>
      <c r="I75" s="174">
        <v>57.3</v>
      </c>
      <c r="J75" s="166">
        <v>1</v>
      </c>
      <c r="K75" s="166">
        <v>1984</v>
      </c>
      <c r="L75" s="175">
        <v>13205</v>
      </c>
      <c r="M75" s="174">
        <v>86.7</v>
      </c>
      <c r="N75" s="174">
        <f t="shared" si="0"/>
        <v>234.3888350785341</v>
      </c>
      <c r="V75" s="169" t="s">
        <v>39</v>
      </c>
      <c r="W75" s="169"/>
      <c r="X75" s="176">
        <f>IF('Tab6'!C36="",'Tab6'!C49,'Tab6'!C50)</f>
        <v>1237.7229174386355</v>
      </c>
      <c r="Y75" s="176">
        <f>IF('Tab6'!D36="",'Tab6'!D49,'Tab6'!D50)</f>
        <v>1202.7920383883027</v>
      </c>
      <c r="Z75" s="176">
        <f>IF('Tab6'!E36="",'Tab6'!E49,'Tab6'!E50)</f>
        <v>1318.6882112382611</v>
      </c>
    </row>
    <row r="76" spans="1:26" x14ac:dyDescent="0.2">
      <c r="A76" s="169">
        <v>2</v>
      </c>
      <c r="B76" s="169"/>
      <c r="C76" s="169">
        <v>81.8</v>
      </c>
      <c r="D76" s="169">
        <v>64.400000000000006</v>
      </c>
      <c r="E76" s="169"/>
      <c r="F76" s="169"/>
      <c r="G76" s="169"/>
      <c r="I76" s="174">
        <v>58.2</v>
      </c>
      <c r="J76" s="166">
        <v>2</v>
      </c>
      <c r="L76" s="175">
        <v>12453</v>
      </c>
      <c r="M76" s="174">
        <v>83.3</v>
      </c>
      <c r="N76" s="174">
        <f t="shared" si="0"/>
        <v>221.71468642611686</v>
      </c>
      <c r="V76" s="169" t="s">
        <v>18</v>
      </c>
      <c r="W76" s="169"/>
      <c r="X76" s="176">
        <f>IF('Tab6'!C36="",'Tab6'!C43,'Tab6'!C44)</f>
        <v>214.20772874950052</v>
      </c>
      <c r="Y76" s="176">
        <f>IF('Tab6'!D36="",'Tab6'!D43,'Tab6'!D44)</f>
        <v>211.31382226645786</v>
      </c>
      <c r="Z76" s="176">
        <f>IF('Tab6'!E36="",'Tab6'!E43,'Tab6'!E44)</f>
        <v>332.71894143146432</v>
      </c>
    </row>
    <row r="77" spans="1:26" x14ac:dyDescent="0.2">
      <c r="A77" s="169">
        <v>3</v>
      </c>
      <c r="B77" s="169"/>
      <c r="C77" s="169">
        <v>90.4</v>
      </c>
      <c r="D77" s="169">
        <v>71.099999999999994</v>
      </c>
      <c r="E77" s="169"/>
      <c r="F77" s="169"/>
      <c r="G77" s="169"/>
      <c r="I77" s="174">
        <v>58.7</v>
      </c>
      <c r="J77" s="166">
        <v>3</v>
      </c>
      <c r="L77" s="175">
        <v>12278</v>
      </c>
      <c r="M77" s="174">
        <v>83.3</v>
      </c>
      <c r="N77" s="174">
        <f t="shared" si="0"/>
        <v>219.82614565587735</v>
      </c>
      <c r="V77" s="169" t="s">
        <v>82</v>
      </c>
      <c r="W77" s="169"/>
      <c r="X77" s="176">
        <f>IF('Tab6'!C36="",'Tab6'!C37+'Tab6'!C39,'Tab6'!C38+'Tab6'!C40)</f>
        <v>911.72217168831219</v>
      </c>
      <c r="Y77" s="176">
        <f>IF('Tab6'!D36="",'Tab6'!D37+'Tab6'!D39,'Tab6'!D38+'Tab6'!D40)</f>
        <v>1102.1823438931713</v>
      </c>
      <c r="Z77" s="176">
        <f>IF('Tab6'!E36="",'Tab6'!E37+'Tab6'!E39,'Tab6'!E38+'Tab6'!E40)</f>
        <v>972.64587636951774</v>
      </c>
    </row>
    <row r="78" spans="1:26" x14ac:dyDescent="0.2">
      <c r="A78" s="169">
        <v>4</v>
      </c>
      <c r="B78" s="169"/>
      <c r="C78" s="169">
        <v>92.9</v>
      </c>
      <c r="D78" s="169">
        <v>73.900000000000006</v>
      </c>
      <c r="E78" s="169"/>
      <c r="F78" s="169"/>
      <c r="G78" s="169"/>
      <c r="I78" s="174">
        <v>59.6</v>
      </c>
      <c r="J78" s="166">
        <v>4</v>
      </c>
      <c r="L78" s="175">
        <v>11449</v>
      </c>
      <c r="M78" s="174">
        <v>94.6</v>
      </c>
      <c r="N78" s="174">
        <f t="shared" si="0"/>
        <v>245.87666946308727</v>
      </c>
      <c r="V78" s="169" t="s">
        <v>83</v>
      </c>
      <c r="W78" s="169"/>
      <c r="X78" s="177">
        <f>X72-X77-X76-X75-X74</f>
        <v>8800.2976186863325</v>
      </c>
      <c r="Y78" s="177">
        <f>Y72-Y77-Y76-Y75-Y74</f>
        <v>9069.5710468367597</v>
      </c>
      <c r="Z78" s="177">
        <f>Z72-Z77-Z76-Z75-Z74</f>
        <v>9057.5616515939491</v>
      </c>
    </row>
    <row r="79" spans="1:26" x14ac:dyDescent="0.2">
      <c r="A79" s="169">
        <v>1</v>
      </c>
      <c r="B79" s="169">
        <v>1985</v>
      </c>
      <c r="C79" s="169">
        <v>123.4</v>
      </c>
      <c r="D79" s="169">
        <v>100.8</v>
      </c>
      <c r="E79" s="169"/>
      <c r="F79" s="169"/>
      <c r="G79" s="169"/>
      <c r="I79" s="174">
        <v>60.4</v>
      </c>
      <c r="J79" s="166">
        <v>1</v>
      </c>
      <c r="K79" s="166">
        <v>1985</v>
      </c>
      <c r="L79" s="175">
        <v>16918</v>
      </c>
      <c r="M79" s="174">
        <v>103.6</v>
      </c>
      <c r="N79" s="174">
        <f t="shared" si="0"/>
        <v>265.70226821192057</v>
      </c>
      <c r="V79" s="169"/>
      <c r="W79" s="169"/>
      <c r="X79" s="169"/>
      <c r="Y79" s="169"/>
      <c r="Z79" s="169"/>
    </row>
    <row r="80" spans="1:26" x14ac:dyDescent="0.2">
      <c r="A80" s="169">
        <v>2</v>
      </c>
      <c r="B80" s="169"/>
      <c r="C80" s="169">
        <v>102</v>
      </c>
      <c r="D80" s="169">
        <v>81.099999999999994</v>
      </c>
      <c r="E80" s="169"/>
      <c r="F80" s="169"/>
      <c r="G80" s="169"/>
      <c r="I80" s="174">
        <v>61.5</v>
      </c>
      <c r="J80" s="166">
        <v>2</v>
      </c>
      <c r="L80" s="175">
        <v>14237</v>
      </c>
      <c r="M80" s="174">
        <v>115.3</v>
      </c>
      <c r="N80" s="174">
        <f t="shared" si="0"/>
        <v>290.4200772357724</v>
      </c>
      <c r="V80" s="168" t="s">
        <v>163</v>
      </c>
      <c r="W80" s="169"/>
      <c r="X80" s="169"/>
      <c r="Y80" s="169"/>
    </row>
    <row r="81" spans="1:25" x14ac:dyDescent="0.2">
      <c r="A81" s="169">
        <v>3</v>
      </c>
      <c r="B81" s="169"/>
      <c r="C81" s="169">
        <v>108.4</v>
      </c>
      <c r="D81" s="169">
        <v>86</v>
      </c>
      <c r="E81" s="169"/>
      <c r="F81" s="169"/>
      <c r="G81" s="169"/>
      <c r="I81" s="174">
        <v>62</v>
      </c>
      <c r="J81" s="166">
        <v>3</v>
      </c>
      <c r="L81" s="175">
        <v>14329</v>
      </c>
      <c r="M81" s="174">
        <v>103</v>
      </c>
      <c r="N81" s="174">
        <f t="shared" si="0"/>
        <v>257.34633064516134</v>
      </c>
      <c r="V81" s="169"/>
      <c r="W81" s="169"/>
      <c r="X81" s="169"/>
      <c r="Y81" s="169"/>
    </row>
    <row r="82" spans="1:25" x14ac:dyDescent="0.2">
      <c r="A82" s="169">
        <v>4</v>
      </c>
      <c r="B82" s="169"/>
      <c r="C82" s="169">
        <v>109.6</v>
      </c>
      <c r="D82" s="169">
        <v>87.1</v>
      </c>
      <c r="E82" s="169"/>
      <c r="F82" s="169"/>
      <c r="G82" s="169"/>
      <c r="I82" s="174">
        <v>63</v>
      </c>
      <c r="J82" s="166">
        <v>4</v>
      </c>
      <c r="L82" s="175">
        <v>13060</v>
      </c>
      <c r="M82" s="174">
        <v>118.7</v>
      </c>
      <c r="N82" s="174">
        <f t="shared" si="0"/>
        <v>291.86540079365085</v>
      </c>
      <c r="V82" s="169"/>
      <c r="W82" s="173" t="str">
        <f>+'Tab4'!C6</f>
        <v>2018</v>
      </c>
      <c r="X82" s="173" t="str">
        <f>+'Tab4'!D6</f>
        <v>2019</v>
      </c>
      <c r="Y82" s="173" t="str">
        <f>+'Tab4'!E6</f>
        <v>2020</v>
      </c>
    </row>
    <row r="83" spans="1:25" x14ac:dyDescent="0.2">
      <c r="A83" s="169">
        <v>1</v>
      </c>
      <c r="B83" s="169">
        <v>1986</v>
      </c>
      <c r="C83" s="169">
        <v>141</v>
      </c>
      <c r="D83" s="169">
        <v>115.2</v>
      </c>
      <c r="E83" s="169"/>
      <c r="F83" s="169"/>
      <c r="G83" s="169"/>
      <c r="I83" s="174">
        <v>64</v>
      </c>
      <c r="J83" s="166">
        <v>1</v>
      </c>
      <c r="K83" s="166">
        <v>1986</v>
      </c>
      <c r="L83" s="175">
        <v>14314</v>
      </c>
      <c r="M83" s="174">
        <v>111.8</v>
      </c>
      <c r="N83" s="174">
        <f t="shared" si="0"/>
        <v>270.60403906250002</v>
      </c>
      <c r="V83" s="169" t="s">
        <v>84</v>
      </c>
      <c r="W83" s="176">
        <f>IF('Tab4'!C14="",'Tab4'!C13,'Tab4'!C14)</f>
        <v>6749.2810834624852</v>
      </c>
      <c r="X83" s="176">
        <f>IF('Tab4'!D14="",'Tab4'!D13,'Tab4'!D14)</f>
        <v>6540.8636296685318</v>
      </c>
      <c r="Y83" s="176">
        <f>IF('Tab4'!E14="",'Tab4'!E13,'Tab4'!E14)</f>
        <v>6389.0238891145445</v>
      </c>
    </row>
    <row r="84" spans="1:25" x14ac:dyDescent="0.2">
      <c r="A84" s="169">
        <v>2</v>
      </c>
      <c r="B84" s="169"/>
      <c r="C84" s="169">
        <v>120.5</v>
      </c>
      <c r="D84" s="169">
        <v>93.2</v>
      </c>
      <c r="E84" s="169"/>
      <c r="F84" s="169"/>
      <c r="G84" s="169"/>
      <c r="I84" s="174">
        <v>65</v>
      </c>
      <c r="J84" s="166">
        <v>2</v>
      </c>
      <c r="L84" s="175">
        <v>13505</v>
      </c>
      <c r="M84" s="174">
        <v>121.5</v>
      </c>
      <c r="N84" s="174">
        <f t="shared" si="0"/>
        <v>289.55786538461541</v>
      </c>
      <c r="V84" s="169" t="s">
        <v>170</v>
      </c>
      <c r="W84" s="176">
        <f>IF('Tab4'!C16="",'Tab4'!C15,'Tab4'!C16)</f>
        <v>5286.9828060371356</v>
      </c>
      <c r="X84" s="176">
        <f>IF('Tab4'!D16="",'Tab4'!D15,'Tab4'!D16)</f>
        <v>4767.1996395704155</v>
      </c>
      <c r="Y84" s="176">
        <f>IF('Tab4'!E16="",'Tab4'!E15,'Tab4'!E16)</f>
        <v>4539.8772908809278</v>
      </c>
    </row>
    <row r="85" spans="1:25" x14ac:dyDescent="0.2">
      <c r="A85" s="169">
        <v>3</v>
      </c>
      <c r="B85" s="169"/>
      <c r="C85" s="169">
        <v>115.7</v>
      </c>
      <c r="D85" s="169">
        <v>91.1</v>
      </c>
      <c r="E85" s="169"/>
      <c r="F85" s="169"/>
      <c r="G85" s="169"/>
      <c r="I85" s="174">
        <v>67</v>
      </c>
      <c r="J85" s="166">
        <v>3</v>
      </c>
      <c r="L85" s="175">
        <v>12132</v>
      </c>
      <c r="M85" s="174">
        <v>100.8</v>
      </c>
      <c r="N85" s="174">
        <f t="shared" si="0"/>
        <v>233.05486567164183</v>
      </c>
      <c r="V85" s="169" t="s">
        <v>7</v>
      </c>
      <c r="W85" s="176">
        <f>IF('Tab4'!C18="",'Tab4'!C17,'Tab4'!C18)</f>
        <v>1363.7842889789267</v>
      </c>
      <c r="X85" s="176">
        <f>IF('Tab4'!D18="",'Tab4'!D17,'Tab4'!D18)</f>
        <v>1538.0958501144171</v>
      </c>
      <c r="Y85" s="176">
        <f>IF('Tab4'!E18="",'Tab4'!E17,'Tab4'!E18)</f>
        <v>1346.5649977752037</v>
      </c>
    </row>
    <row r="86" spans="1:25" x14ac:dyDescent="0.2">
      <c r="A86" s="169">
        <v>4</v>
      </c>
      <c r="B86" s="169"/>
      <c r="C86" s="169">
        <v>114.4</v>
      </c>
      <c r="D86" s="169">
        <v>90.8</v>
      </c>
      <c r="E86" s="169"/>
      <c r="F86" s="169"/>
      <c r="G86" s="169"/>
      <c r="I86" s="174">
        <v>68.5</v>
      </c>
      <c r="J86" s="166">
        <v>4</v>
      </c>
      <c r="L86" s="175">
        <v>11763</v>
      </c>
      <c r="M86" s="174">
        <v>120.6</v>
      </c>
      <c r="N86" s="174">
        <f t="shared" si="0"/>
        <v>272.72765693430659</v>
      </c>
      <c r="V86" s="166" t="s">
        <v>8</v>
      </c>
      <c r="W86" s="176">
        <f>IF('Tab4'!C20="",'Tab4'!C19,'Tab4'!C20)</f>
        <v>1305.4693500324836</v>
      </c>
      <c r="X86" s="176">
        <f>IF('Tab4'!D20="",'Tab4'!D19,'Tab4'!D20)</f>
        <v>1281.1842179109667</v>
      </c>
      <c r="Y86" s="176">
        <f>IF('Tab4'!E20="",'Tab4'!E19,'Tab4'!E20)</f>
        <v>1496.9494315651555</v>
      </c>
    </row>
    <row r="87" spans="1:25" x14ac:dyDescent="0.2">
      <c r="A87" s="169">
        <v>1</v>
      </c>
      <c r="B87" s="169">
        <v>1987</v>
      </c>
      <c r="C87" s="169">
        <v>152.19999999999999</v>
      </c>
      <c r="D87" s="169">
        <v>121.3</v>
      </c>
      <c r="E87" s="169"/>
      <c r="F87" s="169"/>
      <c r="G87" s="169"/>
      <c r="I87" s="174">
        <v>70.5</v>
      </c>
      <c r="J87" s="166">
        <v>1</v>
      </c>
      <c r="K87" s="166">
        <v>1987</v>
      </c>
      <c r="L87" s="175">
        <v>17280</v>
      </c>
      <c r="M87" s="174">
        <v>135.6</v>
      </c>
      <c r="N87" s="174">
        <f t="shared" si="0"/>
        <v>297.9497446808511</v>
      </c>
      <c r="V87" s="169" t="s">
        <v>9</v>
      </c>
      <c r="W87" s="176">
        <f>IF('Tab4'!C20="",'Tab4'!C21,'Tab4'!C22)</f>
        <v>416.25019085927642</v>
      </c>
      <c r="X87" s="176">
        <f>IF('Tab4'!D20="",'Tab4'!D21,'Tab4'!D22)</f>
        <v>567.3578591433693</v>
      </c>
      <c r="Y87" s="176">
        <f>IF('Tab4'!E20="",'Tab4'!E21,'Tab4'!E22)</f>
        <v>627.79056663159804</v>
      </c>
    </row>
    <row r="88" spans="1:25" x14ac:dyDescent="0.2">
      <c r="A88" s="169">
        <v>2</v>
      </c>
      <c r="B88" s="169"/>
      <c r="C88" s="169">
        <v>109.2</v>
      </c>
      <c r="D88" s="169">
        <v>86.1</v>
      </c>
      <c r="E88" s="169"/>
      <c r="F88" s="169"/>
      <c r="G88" s="169"/>
      <c r="I88" s="174">
        <v>71.599999999999994</v>
      </c>
      <c r="J88" s="166">
        <v>2</v>
      </c>
      <c r="L88" s="175">
        <v>12241</v>
      </c>
      <c r="M88" s="174">
        <v>135.9</v>
      </c>
      <c r="N88" s="174">
        <f t="shared" si="0"/>
        <v>294.02135824022355</v>
      </c>
      <c r="V88" s="169" t="s">
        <v>10</v>
      </c>
      <c r="W88" s="176">
        <f>IF('Tab4'!C22="",'Tab4'!C29,'Tab4'!C30)</f>
        <v>1739.1033802745555</v>
      </c>
      <c r="X88" s="176">
        <f>IF('Tab4'!D22="",'Tab4'!D29,'Tab4'!D30)</f>
        <v>1851.682857968809</v>
      </c>
      <c r="Y88" s="176">
        <f>IF('Tab4'!E22="",'Tab4'!E29,'Tab4'!E30)</f>
        <v>2211.642284581782</v>
      </c>
    </row>
    <row r="89" spans="1:25" x14ac:dyDescent="0.2">
      <c r="A89" s="169">
        <v>3</v>
      </c>
      <c r="B89" s="169"/>
      <c r="C89" s="169">
        <v>110.1</v>
      </c>
      <c r="D89" s="169">
        <v>87.3</v>
      </c>
      <c r="E89" s="169"/>
      <c r="F89" s="169"/>
      <c r="G89" s="169"/>
      <c r="I89" s="174">
        <v>72.3</v>
      </c>
      <c r="J89" s="166">
        <v>3</v>
      </c>
      <c r="L89" s="175">
        <v>11506</v>
      </c>
      <c r="M89" s="174">
        <v>112.3</v>
      </c>
      <c r="N89" s="174">
        <f t="shared" si="0"/>
        <v>240.6101279391425</v>
      </c>
      <c r="V89" s="169" t="s">
        <v>11</v>
      </c>
      <c r="W89" s="176">
        <f>IF('Tab4'!C30="",'Tab4'!C31,'Tab4'!C32)</f>
        <v>459.96772914450486</v>
      </c>
      <c r="X89" s="176">
        <f>IF('Tab4'!D30="",'Tab4'!D31,'Tab4'!D32)</f>
        <v>434.7220534550143</v>
      </c>
      <c r="Y89" s="176">
        <f>IF('Tab4'!E30="",'Tab4'!E31,'Tab4'!E32)</f>
        <v>517.48476821085421</v>
      </c>
    </row>
    <row r="90" spans="1:25" x14ac:dyDescent="0.2">
      <c r="A90" s="169">
        <v>4</v>
      </c>
      <c r="B90" s="169"/>
      <c r="C90" s="169">
        <v>112</v>
      </c>
      <c r="D90" s="169">
        <v>89.8</v>
      </c>
      <c r="E90" s="169"/>
      <c r="F90" s="169"/>
      <c r="G90" s="169"/>
      <c r="I90" s="174">
        <v>73.599999999999994</v>
      </c>
      <c r="J90" s="166">
        <v>4</v>
      </c>
      <c r="L90" s="175">
        <v>12860</v>
      </c>
      <c r="M90" s="174">
        <v>134.5</v>
      </c>
      <c r="N90" s="174">
        <f t="shared" si="0"/>
        <v>283.08503736413047</v>
      </c>
      <c r="V90" s="169" t="s">
        <v>12</v>
      </c>
      <c r="W90" s="176">
        <f>IF('Tab4'!C32="",'Tab4'!C33,'Tab4'!C34)</f>
        <v>757.47810499964385</v>
      </c>
      <c r="X90" s="176">
        <f>IF('Tab4'!D32="",'Tab4'!D33,'Tab4'!D34)</f>
        <v>893.73782567895341</v>
      </c>
      <c r="Y90" s="176">
        <f>IF('Tab4'!E32="",'Tab4'!E33,'Tab4'!E34)</f>
        <v>973.35082171501472</v>
      </c>
    </row>
    <row r="91" spans="1:25" x14ac:dyDescent="0.2">
      <c r="A91" s="169">
        <v>1</v>
      </c>
      <c r="B91" s="169">
        <v>1988</v>
      </c>
      <c r="C91" s="169">
        <v>134.1</v>
      </c>
      <c r="D91" s="169">
        <v>107.5</v>
      </c>
      <c r="E91" s="169"/>
      <c r="F91" s="169"/>
      <c r="G91" s="169"/>
      <c r="I91" s="174">
        <v>75.2</v>
      </c>
      <c r="J91" s="166">
        <v>1</v>
      </c>
      <c r="K91" s="166">
        <v>1988</v>
      </c>
      <c r="L91" s="175">
        <v>10180</v>
      </c>
      <c r="M91" s="174">
        <v>130.80000000000001</v>
      </c>
      <c r="N91" s="174">
        <f t="shared" si="0"/>
        <v>269.4401728723405</v>
      </c>
      <c r="V91" s="169" t="s">
        <v>13</v>
      </c>
      <c r="W91" s="176">
        <f>IF('Tab4'!C34="",'Tab4'!C35,'Tab4'!C36)</f>
        <v>149.75039763065843</v>
      </c>
      <c r="X91" s="176">
        <f>IF('Tab4'!D34="",'Tab4'!D35,'Tab4'!D36)</f>
        <v>247.17795775804598</v>
      </c>
      <c r="Y91" s="176">
        <f>IF('Tab4'!E34="",'Tab4'!E35,'Tab4'!E36)</f>
        <v>124.35932278810138</v>
      </c>
    </row>
    <row r="92" spans="1:25" x14ac:dyDescent="0.2">
      <c r="A92" s="169">
        <v>2</v>
      </c>
      <c r="B92" s="169"/>
      <c r="C92" s="169">
        <v>113.7</v>
      </c>
      <c r="D92" s="169">
        <v>90</v>
      </c>
      <c r="E92" s="169"/>
      <c r="F92" s="169"/>
      <c r="G92" s="169"/>
      <c r="I92" s="174">
        <v>76.7</v>
      </c>
      <c r="J92" s="166">
        <v>2</v>
      </c>
      <c r="L92" s="175">
        <v>11081</v>
      </c>
      <c r="M92" s="174">
        <v>95.1</v>
      </c>
      <c r="N92" s="174">
        <f t="shared" si="0"/>
        <v>192.06914276401568</v>
      </c>
      <c r="V92" s="169" t="s">
        <v>14</v>
      </c>
      <c r="W92" s="176">
        <f>IF('Tab4'!C38="",'Tab4'!C37,'Tab4'!C38)</f>
        <v>636.40258000706467</v>
      </c>
      <c r="X92" s="176">
        <f>IF('Tab4'!D38="",'Tab4'!D37,'Tab4'!D38)</f>
        <v>765.39587172795655</v>
      </c>
      <c r="Y92" s="176">
        <f>IF('Tab4'!E38="",'Tab4'!E37,'Tab4'!E38)</f>
        <v>808.90768192759413</v>
      </c>
    </row>
    <row r="93" spans="1:25" x14ac:dyDescent="0.2">
      <c r="A93" s="169">
        <v>3</v>
      </c>
      <c r="B93" s="169"/>
      <c r="C93" s="169">
        <v>116.3</v>
      </c>
      <c r="D93" s="169">
        <v>93.1</v>
      </c>
      <c r="E93" s="169"/>
      <c r="F93" s="169"/>
      <c r="G93" s="169"/>
      <c r="I93" s="174">
        <v>77</v>
      </c>
      <c r="J93" s="166">
        <v>3</v>
      </c>
      <c r="L93" s="175">
        <v>15987</v>
      </c>
      <c r="M93" s="174">
        <v>148.69999999999999</v>
      </c>
      <c r="N93" s="174">
        <f t="shared" si="0"/>
        <v>299.15253571428576</v>
      </c>
      <c r="V93" s="169" t="s">
        <v>85</v>
      </c>
      <c r="W93" s="177">
        <f>SUM(W83:W92)</f>
        <v>18864.469911426731</v>
      </c>
      <c r="X93" s="177">
        <f>SUM(X83:X92)</f>
        <v>18887.41776299648</v>
      </c>
      <c r="Y93" s="177">
        <f>SUM(Y83:Y92)</f>
        <v>19035.951055190781</v>
      </c>
    </row>
    <row r="94" spans="1:25" x14ac:dyDescent="0.2">
      <c r="A94" s="169">
        <v>4</v>
      </c>
      <c r="B94" s="169"/>
      <c r="C94" s="169">
        <v>115.2</v>
      </c>
      <c r="D94" s="169">
        <v>93.4</v>
      </c>
      <c r="E94" s="169"/>
      <c r="F94" s="169"/>
      <c r="G94" s="169"/>
      <c r="I94" s="174">
        <v>78.099999999999994</v>
      </c>
      <c r="J94" s="166">
        <v>4</v>
      </c>
      <c r="L94" s="175">
        <v>12493</v>
      </c>
      <c r="M94" s="174">
        <v>199.8</v>
      </c>
      <c r="N94" s="174">
        <f t="shared" si="0"/>
        <v>396.29345070422551</v>
      </c>
      <c r="V94" s="169"/>
      <c r="W94" s="169"/>
      <c r="X94" s="169"/>
      <c r="Y94" s="169"/>
    </row>
    <row r="95" spans="1:25" x14ac:dyDescent="0.2">
      <c r="A95" s="169">
        <v>1</v>
      </c>
      <c r="B95" s="169">
        <v>1989</v>
      </c>
      <c r="C95" s="169">
        <v>106.6</v>
      </c>
      <c r="D95" s="169">
        <v>86.4</v>
      </c>
      <c r="E95" s="169"/>
      <c r="F95" s="169"/>
      <c r="G95" s="169"/>
      <c r="I95" s="174">
        <v>78.900000000000006</v>
      </c>
      <c r="J95" s="166">
        <v>1</v>
      </c>
      <c r="K95" s="166">
        <v>1989</v>
      </c>
      <c r="L95" s="175">
        <v>10988</v>
      </c>
      <c r="M95" s="174">
        <v>142.6</v>
      </c>
      <c r="N95" s="174">
        <f t="shared" si="0"/>
        <v>279.97223700887201</v>
      </c>
      <c r="V95" s="169" t="s">
        <v>171</v>
      </c>
      <c r="W95" s="178">
        <f>+W93+X72</f>
        <v>30182.09278271125</v>
      </c>
      <c r="X95" s="178">
        <f>+X93+Y72</f>
        <v>30673.295185393599</v>
      </c>
      <c r="Y95" s="178">
        <f>+Y93+Z72</f>
        <v>30875.977576280398</v>
      </c>
    </row>
    <row r="96" spans="1:25" x14ac:dyDescent="0.2">
      <c r="A96" s="169">
        <v>2</v>
      </c>
      <c r="B96" s="169"/>
      <c r="C96" s="169">
        <v>98</v>
      </c>
      <c r="D96" s="169">
        <v>79.599999999999994</v>
      </c>
      <c r="E96" s="169"/>
      <c r="F96" s="169"/>
      <c r="G96" s="169"/>
      <c r="I96" s="174">
        <v>80.3</v>
      </c>
      <c r="J96" s="166">
        <v>2</v>
      </c>
      <c r="L96" s="175">
        <v>10292</v>
      </c>
      <c r="M96" s="174">
        <v>117.3</v>
      </c>
      <c r="N96" s="174">
        <f t="shared" si="0"/>
        <v>226.2845547945206</v>
      </c>
    </row>
    <row r="97" spans="1:25" x14ac:dyDescent="0.2">
      <c r="A97" s="169">
        <v>3</v>
      </c>
      <c r="B97" s="169"/>
      <c r="C97" s="169">
        <v>96.9</v>
      </c>
      <c r="D97" s="169">
        <v>79</v>
      </c>
      <c r="E97" s="169"/>
      <c r="F97" s="169"/>
      <c r="G97" s="169"/>
      <c r="I97" s="174">
        <v>80.599999999999994</v>
      </c>
      <c r="J97" s="166">
        <v>3</v>
      </c>
      <c r="L97" s="175">
        <v>11352</v>
      </c>
      <c r="M97" s="174">
        <v>103.6</v>
      </c>
      <c r="N97" s="174">
        <f t="shared" si="0"/>
        <v>199.11187344913154</v>
      </c>
      <c r="Y97" s="169"/>
    </row>
    <row r="98" spans="1:25" x14ac:dyDescent="0.2">
      <c r="A98" s="169">
        <v>4</v>
      </c>
      <c r="B98" s="169"/>
      <c r="C98" s="169">
        <v>93.4</v>
      </c>
      <c r="D98" s="169">
        <v>76.8</v>
      </c>
      <c r="E98" s="169"/>
      <c r="F98" s="169"/>
      <c r="G98" s="169"/>
      <c r="I98" s="174">
        <v>81.400000000000006</v>
      </c>
      <c r="J98" s="166">
        <v>4</v>
      </c>
      <c r="L98" s="175">
        <v>11958</v>
      </c>
      <c r="M98" s="174">
        <v>132</v>
      </c>
      <c r="N98" s="174">
        <f t="shared" si="0"/>
        <v>251.20135135135138</v>
      </c>
      <c r="V98" s="168" t="s">
        <v>186</v>
      </c>
      <c r="W98" s="169"/>
      <c r="X98" s="169"/>
      <c r="Y98" s="169"/>
    </row>
    <row r="99" spans="1:25" x14ac:dyDescent="0.2">
      <c r="A99" s="169">
        <v>1</v>
      </c>
      <c r="B99" s="169">
        <v>1990</v>
      </c>
      <c r="C99" s="169">
        <v>99.4</v>
      </c>
      <c r="D99" s="169">
        <v>81.3</v>
      </c>
      <c r="E99" s="169"/>
      <c r="F99" s="169"/>
      <c r="G99" s="169"/>
      <c r="I99" s="174">
        <v>82.3</v>
      </c>
      <c r="J99" s="166">
        <v>1</v>
      </c>
      <c r="K99" s="166">
        <v>1990</v>
      </c>
      <c r="L99" s="175">
        <v>13741</v>
      </c>
      <c r="M99" s="174">
        <v>142.9</v>
      </c>
      <c r="N99" s="174">
        <f t="shared" si="0"/>
        <v>268.97061664641564</v>
      </c>
      <c r="V99" s="169"/>
      <c r="X99" s="169"/>
      <c r="Y99" s="169"/>
    </row>
    <row r="100" spans="1:25" x14ac:dyDescent="0.2">
      <c r="A100" s="169">
        <v>2</v>
      </c>
      <c r="B100" s="169"/>
      <c r="C100" s="169">
        <v>88.6</v>
      </c>
      <c r="D100" s="169">
        <v>73.099999999999994</v>
      </c>
      <c r="E100" s="169"/>
      <c r="F100" s="169"/>
      <c r="G100" s="169"/>
      <c r="I100" s="174">
        <v>83.4</v>
      </c>
      <c r="J100" s="166">
        <v>2</v>
      </c>
      <c r="L100" s="175">
        <v>10045</v>
      </c>
      <c r="M100" s="174">
        <v>116.5</v>
      </c>
      <c r="N100" s="174">
        <f t="shared" si="0"/>
        <v>216.38757494004798</v>
      </c>
      <c r="V100" s="169"/>
      <c r="W100" s="173" t="str">
        <f>+W82</f>
        <v>2018</v>
      </c>
      <c r="X100" s="173" t="str">
        <f>+X82</f>
        <v>2019</v>
      </c>
      <c r="Y100" s="173" t="str">
        <f>+Y82</f>
        <v>2020</v>
      </c>
    </row>
    <row r="101" spans="1:25" x14ac:dyDescent="0.2">
      <c r="A101" s="169">
        <v>3</v>
      </c>
      <c r="B101" s="169"/>
      <c r="C101" s="169">
        <v>88.2</v>
      </c>
      <c r="D101" s="169">
        <v>72.5</v>
      </c>
      <c r="E101" s="169"/>
      <c r="F101" s="169"/>
      <c r="G101" s="169"/>
      <c r="I101" s="174">
        <v>83.7</v>
      </c>
      <c r="J101" s="166">
        <v>3</v>
      </c>
      <c r="L101" s="175">
        <v>10870</v>
      </c>
      <c r="M101" s="174">
        <v>101.4</v>
      </c>
      <c r="N101" s="174">
        <f t="shared" si="0"/>
        <v>187.66571684587819</v>
      </c>
      <c r="V101" s="169" t="s">
        <v>18</v>
      </c>
      <c r="W101" s="179">
        <f>IF('Tab7'!C10="",+'Tab7'!C9+'Tab11'!C9,+'Tab7'!C10+'Tab11'!C10)</f>
        <v>22519.979302173913</v>
      </c>
      <c r="X101" s="179">
        <f>IF('Tab7'!D10="",+'Tab7'!D9+'Tab11'!D9,+'Tab7'!D10+'Tab11'!D10)</f>
        <v>28972.99261304348</v>
      </c>
      <c r="Y101" s="179">
        <f>IF('Tab7'!E10="",+'Tab7'!E9+'Tab11'!E9,+'Tab7'!E10+'Tab11'!E10)</f>
        <v>23897.272434782608</v>
      </c>
    </row>
    <row r="102" spans="1:25" x14ac:dyDescent="0.2">
      <c r="A102" s="169">
        <v>4</v>
      </c>
      <c r="B102" s="169"/>
      <c r="C102" s="169">
        <v>84.8</v>
      </c>
      <c r="D102" s="169">
        <v>70.2</v>
      </c>
      <c r="E102" s="169"/>
      <c r="F102" s="169"/>
      <c r="G102" s="169"/>
      <c r="I102" s="174">
        <v>85.1</v>
      </c>
      <c r="J102" s="166">
        <v>4</v>
      </c>
      <c r="L102" s="175">
        <v>11076</v>
      </c>
      <c r="M102" s="174">
        <v>120</v>
      </c>
      <c r="N102" s="174">
        <f t="shared" si="0"/>
        <v>218.43595769682733</v>
      </c>
      <c r="V102" s="169" t="s">
        <v>86</v>
      </c>
      <c r="W102" s="179">
        <f>IF('Tab7'!C12="",+'Tab7'!C11+'Tab11'!C11,+'Tab7'!C12+'Tab11'!C12)</f>
        <v>68720.092901185766</v>
      </c>
      <c r="X102" s="179">
        <f>IF('Tab7'!D12="",+'Tab7'!D11+'Tab11'!D11,+'Tab7'!D12+'Tab11'!D12)</f>
        <v>69652.36959288537</v>
      </c>
      <c r="Y102" s="179">
        <f>IF('Tab7'!E12="",+'Tab7'!E11+'Tab11'!E11,+'Tab7'!E12+'Tab11'!E12)</f>
        <v>65851.136363636368</v>
      </c>
    </row>
    <row r="103" spans="1:25" x14ac:dyDescent="0.2">
      <c r="A103" s="169">
        <v>1</v>
      </c>
      <c r="B103" s="169">
        <v>1991</v>
      </c>
      <c r="C103" s="169">
        <v>97.5</v>
      </c>
      <c r="D103" s="169">
        <v>82.4</v>
      </c>
      <c r="E103" s="169"/>
      <c r="F103" s="169"/>
      <c r="G103" s="169"/>
      <c r="I103" s="174">
        <v>85.5</v>
      </c>
      <c r="J103" s="166">
        <v>1</v>
      </c>
      <c r="K103" s="166">
        <v>1991</v>
      </c>
      <c r="L103" s="175">
        <v>10172</v>
      </c>
      <c r="M103" s="174">
        <v>130.10000000000002</v>
      </c>
      <c r="N103" s="174">
        <f t="shared" ref="N103:N106" si="1">M103/I103*$I$69</f>
        <v>235.71304970760241</v>
      </c>
      <c r="O103" s="175">
        <v>6727</v>
      </c>
      <c r="P103" s="174">
        <v>376.9</v>
      </c>
      <c r="Q103" s="174">
        <f>P103/I103*$I$69</f>
        <v>682.86124853801175</v>
      </c>
      <c r="R103" s="175">
        <v>9077</v>
      </c>
      <c r="S103" s="174">
        <v>139.9</v>
      </c>
      <c r="T103" s="174">
        <f>S103/I103*$I$69</f>
        <v>253.46852923976613</v>
      </c>
      <c r="V103" s="169" t="s">
        <v>63</v>
      </c>
      <c r="W103" s="179">
        <f>IF('Tab7'!C14="",+'Tab7'!C13+'Tab11'!C13,+'Tab7'!C14+'Tab11'!C14)</f>
        <v>24478.980666149069</v>
      </c>
      <c r="X103" s="179">
        <f>IF('Tab7'!D14="",+'Tab7'!D13+'Tab11'!D13,+'Tab7'!D14+'Tab11'!D14)</f>
        <v>28235.610242236024</v>
      </c>
      <c r="Y103" s="179">
        <f>IF('Tab7'!E14="",+'Tab7'!E13+'Tab11'!E13,+'Tab7'!E14+'Tab11'!E14)</f>
        <v>30032.01736645963</v>
      </c>
    </row>
    <row r="104" spans="1:25" x14ac:dyDescent="0.2">
      <c r="A104" s="169">
        <v>2</v>
      </c>
      <c r="B104" s="169"/>
      <c r="C104" s="169">
        <v>93.9</v>
      </c>
      <c r="D104" s="169">
        <v>78</v>
      </c>
      <c r="E104" s="169"/>
      <c r="F104" s="169"/>
      <c r="G104" s="169"/>
      <c r="I104" s="174">
        <v>86.6</v>
      </c>
      <c r="J104" s="166">
        <v>2</v>
      </c>
      <c r="L104" s="175">
        <v>10188</v>
      </c>
      <c r="M104" s="174">
        <v>126.69999999999993</v>
      </c>
      <c r="N104" s="174">
        <f t="shared" si="1"/>
        <v>226.63718533487292</v>
      </c>
      <c r="O104" s="175">
        <v>5864</v>
      </c>
      <c r="P104" s="174">
        <v>369.29999999999995</v>
      </c>
      <c r="Q104" s="174">
        <f t="shared" ref="Q104:Q167" si="2">P104/I104*$I$69</f>
        <v>660.59283775981532</v>
      </c>
      <c r="R104" s="175">
        <v>12525</v>
      </c>
      <c r="S104" s="174">
        <v>176.29999999999998</v>
      </c>
      <c r="T104" s="174">
        <f t="shared" ref="T104:T167" si="3">S104/I104*$I$69</f>
        <v>315.36018764434186</v>
      </c>
      <c r="V104" s="169" t="s">
        <v>14</v>
      </c>
      <c r="W104" s="180">
        <f>+W106-SUM(W101:W103)</f>
        <v>220900.12578111916</v>
      </c>
      <c r="X104" s="180">
        <f>+X106-SUM(X101:X103)</f>
        <v>238829.96703379403</v>
      </c>
      <c r="Y104" s="180">
        <f>+Y106-SUM(Y101:Y103)</f>
        <v>270870.85555580741</v>
      </c>
    </row>
    <row r="105" spans="1:25" x14ac:dyDescent="0.2">
      <c r="A105" s="169">
        <v>3</v>
      </c>
      <c r="B105" s="169"/>
      <c r="C105" s="169">
        <v>90.2</v>
      </c>
      <c r="D105" s="169">
        <v>76.099999999999994</v>
      </c>
      <c r="E105" s="169"/>
      <c r="F105" s="169"/>
      <c r="G105" s="169"/>
      <c r="I105" s="174">
        <v>86.6</v>
      </c>
      <c r="J105" s="166">
        <v>3</v>
      </c>
      <c r="L105" s="175">
        <v>10621</v>
      </c>
      <c r="M105" s="174">
        <v>132.60000000000002</v>
      </c>
      <c r="N105" s="174">
        <f t="shared" si="1"/>
        <v>237.19092956120102</v>
      </c>
      <c r="O105" s="175">
        <v>7951</v>
      </c>
      <c r="P105" s="174">
        <v>430.9</v>
      </c>
      <c r="Q105" s="174">
        <f t="shared" si="2"/>
        <v>770.78108256351049</v>
      </c>
      <c r="R105" s="175">
        <v>14126</v>
      </c>
      <c r="S105" s="174">
        <v>204.90000000000003</v>
      </c>
      <c r="T105" s="174">
        <f t="shared" si="3"/>
        <v>366.51901558891467</v>
      </c>
      <c r="V105" s="169"/>
      <c r="W105" s="169"/>
      <c r="X105" s="169"/>
      <c r="Y105" s="169"/>
    </row>
    <row r="106" spans="1:25" x14ac:dyDescent="0.2">
      <c r="A106" s="169">
        <v>4</v>
      </c>
      <c r="B106" s="169"/>
      <c r="C106" s="169">
        <v>92.6</v>
      </c>
      <c r="D106" s="169">
        <v>78.099999999999994</v>
      </c>
      <c r="E106" s="169"/>
      <c r="F106" s="169"/>
      <c r="G106" s="169"/>
      <c r="I106" s="174">
        <v>87.3</v>
      </c>
      <c r="J106" s="166">
        <v>4</v>
      </c>
      <c r="L106" s="175">
        <v>11640</v>
      </c>
      <c r="M106" s="174">
        <v>138.20000000000005</v>
      </c>
      <c r="N106" s="174">
        <f t="shared" si="1"/>
        <v>245.22584765177561</v>
      </c>
      <c r="O106" s="175">
        <v>13048</v>
      </c>
      <c r="P106" s="174">
        <v>427.00000000000023</v>
      </c>
      <c r="Q106" s="174">
        <f t="shared" si="2"/>
        <v>757.68044100801899</v>
      </c>
      <c r="R106" s="175">
        <v>13048</v>
      </c>
      <c r="S106" s="174">
        <v>185</v>
      </c>
      <c r="T106" s="174">
        <f t="shared" si="3"/>
        <v>328.26904352806423</v>
      </c>
      <c r="V106" s="169" t="s">
        <v>87</v>
      </c>
      <c r="W106" s="179">
        <f>IF('Tab7'!C8="",+'Tab7'!C7+'Tab11'!C7,+'Tab7'!C8+'Tab11'!C8)</f>
        <v>336619.1786506279</v>
      </c>
      <c r="X106" s="179">
        <f>IF('Tab7'!D8="",+'Tab7'!D7+'Tab11'!D7,+'Tab7'!D8+'Tab11'!D8)</f>
        <v>365690.93948195892</v>
      </c>
      <c r="Y106" s="179">
        <f>IF('Tab7'!E8="",+'Tab7'!E7+'Tab11'!E7,+'Tab7'!E8+'Tab11'!E8)</f>
        <v>390651.28172068601</v>
      </c>
    </row>
    <row r="107" spans="1:25" x14ac:dyDescent="0.2">
      <c r="A107" s="169">
        <v>1</v>
      </c>
      <c r="B107" s="169">
        <v>1992</v>
      </c>
      <c r="C107" s="169">
        <v>102</v>
      </c>
      <c r="D107" s="169">
        <v>87.1</v>
      </c>
      <c r="E107" s="169"/>
      <c r="F107" s="169"/>
      <c r="G107" s="169"/>
      <c r="I107" s="174">
        <v>87.5</v>
      </c>
      <c r="J107" s="166">
        <v>1</v>
      </c>
      <c r="K107" s="166">
        <v>1992</v>
      </c>
      <c r="L107" s="175">
        <v>10520</v>
      </c>
      <c r="M107" s="174">
        <v>129.4</v>
      </c>
      <c r="N107" s="174">
        <f>M107/I107*$I$69</f>
        <v>229.08606285714291</v>
      </c>
      <c r="O107" s="175">
        <v>6509</v>
      </c>
      <c r="P107" s="174">
        <v>409.5</v>
      </c>
      <c r="Q107" s="174">
        <f t="shared" si="2"/>
        <v>724.96710000000007</v>
      </c>
      <c r="R107" s="175">
        <v>11030</v>
      </c>
      <c r="S107" s="174">
        <v>180.5</v>
      </c>
      <c r="T107" s="174">
        <f t="shared" si="3"/>
        <v>319.55204285714291</v>
      </c>
    </row>
    <row r="108" spans="1:25" x14ac:dyDescent="0.2">
      <c r="A108" s="169">
        <v>2</v>
      </c>
      <c r="B108" s="169"/>
      <c r="C108" s="169">
        <v>92.2</v>
      </c>
      <c r="D108" s="169">
        <v>78.900000000000006</v>
      </c>
      <c r="E108" s="169"/>
      <c r="F108" s="169"/>
      <c r="G108" s="169"/>
      <c r="I108" s="174">
        <v>88.6</v>
      </c>
      <c r="J108" s="166">
        <v>2</v>
      </c>
      <c r="L108" s="175">
        <v>10661</v>
      </c>
      <c r="M108" s="174">
        <v>112.9</v>
      </c>
      <c r="N108" s="174">
        <f t="shared" ref="N108:N171" si="4">M108/I108*$I$69</f>
        <v>197.39341704288947</v>
      </c>
      <c r="O108" s="175">
        <v>5632</v>
      </c>
      <c r="P108" s="174">
        <v>412</v>
      </c>
      <c r="Q108" s="174">
        <f t="shared" si="2"/>
        <v>720.33735891647871</v>
      </c>
      <c r="R108" s="175">
        <v>13252</v>
      </c>
      <c r="S108" s="174">
        <v>167</v>
      </c>
      <c r="T108" s="174">
        <f t="shared" si="3"/>
        <v>291.98140519187365</v>
      </c>
    </row>
    <row r="109" spans="1:25" x14ac:dyDescent="0.2">
      <c r="A109" s="169">
        <v>3</v>
      </c>
      <c r="B109" s="169"/>
      <c r="C109" s="169">
        <v>93.3</v>
      </c>
      <c r="D109" s="169">
        <v>79.900000000000006</v>
      </c>
      <c r="E109" s="169"/>
      <c r="F109" s="169"/>
      <c r="G109" s="169"/>
      <c r="I109" s="174">
        <v>88.7</v>
      </c>
      <c r="J109" s="166">
        <v>3</v>
      </c>
      <c r="L109" s="175">
        <v>11590</v>
      </c>
      <c r="M109" s="174">
        <v>130.59999999999997</v>
      </c>
      <c r="N109" s="174">
        <f t="shared" si="4"/>
        <v>228.082519729425</v>
      </c>
      <c r="O109" s="175">
        <v>8642</v>
      </c>
      <c r="P109" s="174">
        <v>440.40000000000009</v>
      </c>
      <c r="Q109" s="174">
        <f t="shared" si="2"/>
        <v>769.12359639233398</v>
      </c>
      <c r="R109" s="175">
        <v>15450</v>
      </c>
      <c r="S109" s="174">
        <v>219.10000000000002</v>
      </c>
      <c r="T109" s="174">
        <f t="shared" si="3"/>
        <v>382.64073562570468</v>
      </c>
      <c r="V109" s="168" t="s">
        <v>187</v>
      </c>
      <c r="W109" s="169"/>
      <c r="X109" s="169"/>
      <c r="Y109" s="169"/>
    </row>
    <row r="110" spans="1:25" x14ac:dyDescent="0.2">
      <c r="A110" s="169">
        <v>4</v>
      </c>
      <c r="B110" s="169"/>
      <c r="C110" s="169">
        <v>90.8</v>
      </c>
      <c r="D110" s="169">
        <v>77.599999999999994</v>
      </c>
      <c r="E110" s="169"/>
      <c r="F110" s="169"/>
      <c r="G110" s="169"/>
      <c r="I110" s="174">
        <v>89.3</v>
      </c>
      <c r="J110" s="166">
        <v>4</v>
      </c>
      <c r="L110" s="175">
        <v>11917</v>
      </c>
      <c r="M110" s="174">
        <v>108.50000000000006</v>
      </c>
      <c r="N110" s="174">
        <f t="shared" si="4"/>
        <v>188.2134798432252</v>
      </c>
      <c r="O110" s="175">
        <v>7139</v>
      </c>
      <c r="P110" s="174">
        <v>425.59999999999991</v>
      </c>
      <c r="Q110" s="174">
        <f t="shared" si="2"/>
        <v>738.28255319148934</v>
      </c>
      <c r="R110" s="175">
        <v>12309</v>
      </c>
      <c r="S110" s="174">
        <v>109.39999999999998</v>
      </c>
      <c r="T110" s="174">
        <f t="shared" si="3"/>
        <v>189.77469764837628</v>
      </c>
      <c r="V110" s="169"/>
      <c r="W110" s="169"/>
      <c r="X110" s="169"/>
      <c r="Y110" s="169"/>
    </row>
    <row r="111" spans="1:25" x14ac:dyDescent="0.2">
      <c r="A111" s="169">
        <v>1</v>
      </c>
      <c r="B111" s="169">
        <v>1993</v>
      </c>
      <c r="C111" s="169">
        <v>112.6</v>
      </c>
      <c r="D111" s="169">
        <v>96.5</v>
      </c>
      <c r="E111" s="169"/>
      <c r="F111" s="169"/>
      <c r="G111" s="169"/>
      <c r="I111" s="174">
        <v>89.8</v>
      </c>
      <c r="J111" s="166">
        <v>1</v>
      </c>
      <c r="K111" s="166">
        <v>1993</v>
      </c>
      <c r="L111" s="175">
        <v>11275</v>
      </c>
      <c r="M111" s="174">
        <v>136.89999999999998</v>
      </c>
      <c r="N111" s="174">
        <f t="shared" si="4"/>
        <v>236.15631124721605</v>
      </c>
      <c r="O111" s="175">
        <v>6982</v>
      </c>
      <c r="P111" s="174">
        <v>449.4</v>
      </c>
      <c r="Q111" s="174">
        <f t="shared" si="2"/>
        <v>775.22751113585764</v>
      </c>
      <c r="R111" s="175">
        <v>10571</v>
      </c>
      <c r="S111" s="174">
        <v>175.5</v>
      </c>
      <c r="T111" s="174">
        <f t="shared" si="3"/>
        <v>302.7423858574611</v>
      </c>
      <c r="V111" s="169"/>
      <c r="W111" s="173" t="str">
        <f>+W100</f>
        <v>2018</v>
      </c>
      <c r="X111" s="173" t="str">
        <f>+X100</f>
        <v>2019</v>
      </c>
      <c r="Y111" s="173" t="str">
        <f>+Y100</f>
        <v>2020</v>
      </c>
    </row>
    <row r="112" spans="1:25" x14ac:dyDescent="0.2">
      <c r="A112" s="169">
        <v>2</v>
      </c>
      <c r="B112" s="169"/>
      <c r="C112" s="169">
        <f>205.6-C111</f>
        <v>93</v>
      </c>
      <c r="D112" s="169">
        <f>176.6-D111</f>
        <v>80.099999999999994</v>
      </c>
      <c r="E112" s="169"/>
      <c r="F112" s="169"/>
      <c r="G112" s="169"/>
      <c r="I112" s="174">
        <v>90.8</v>
      </c>
      <c r="J112" s="166">
        <v>2</v>
      </c>
      <c r="L112" s="175">
        <v>10076</v>
      </c>
      <c r="M112" s="174">
        <v>115.20000000000002</v>
      </c>
      <c r="N112" s="174">
        <f t="shared" si="4"/>
        <v>196.53462555066088</v>
      </c>
      <c r="O112" s="175">
        <v>6332</v>
      </c>
      <c r="P112" s="174">
        <v>352.9</v>
      </c>
      <c r="Q112" s="174">
        <f t="shared" si="2"/>
        <v>602.05789372246704</v>
      </c>
      <c r="R112" s="175">
        <v>12919</v>
      </c>
      <c r="S112" s="174">
        <v>191.20000000000005</v>
      </c>
      <c r="T112" s="174">
        <f t="shared" si="3"/>
        <v>326.19288546255518</v>
      </c>
      <c r="V112" s="169" t="s">
        <v>172</v>
      </c>
      <c r="W112" s="178">
        <f>IF('Tab7'!C38="",+'Tab7'!C37+'Tab11'!C37,+'Tab7'!C38+'Tab11'!C38)</f>
        <v>4556.4177878598057</v>
      </c>
      <c r="X112" s="178">
        <f>IF('Tab7'!D38="",+'Tab7'!D37+'Tab11'!D37,+'Tab7'!D38+'Tab11'!D38)</f>
        <v>4258.1897042762521</v>
      </c>
      <c r="Y112" s="178">
        <f>IF('Tab7'!E38="",+'Tab7'!E37+'Tab11'!E37,+'Tab7'!E38+'Tab11'!E38)</f>
        <v>4013.5679997518241</v>
      </c>
    </row>
    <row r="113" spans="1:25" x14ac:dyDescent="0.2">
      <c r="A113" s="169">
        <v>3</v>
      </c>
      <c r="B113" s="169"/>
      <c r="C113" s="169">
        <f>293.1-C112-C111</f>
        <v>87.500000000000028</v>
      </c>
      <c r="D113" s="169">
        <f>250.2-D112-D111</f>
        <v>73.599999999999994</v>
      </c>
      <c r="E113" s="169"/>
      <c r="F113" s="169"/>
      <c r="G113" s="169"/>
      <c r="I113" s="174">
        <v>90.6</v>
      </c>
      <c r="J113" s="166">
        <v>3</v>
      </c>
      <c r="L113" s="175">
        <v>11766</v>
      </c>
      <c r="M113" s="174">
        <v>132.79999999999998</v>
      </c>
      <c r="N113" s="174">
        <f t="shared" si="4"/>
        <v>227.06088300220753</v>
      </c>
      <c r="O113" s="175">
        <v>6675</v>
      </c>
      <c r="P113" s="174">
        <v>388.50000000000023</v>
      </c>
      <c r="Q113" s="174">
        <f t="shared" si="2"/>
        <v>664.25567052980182</v>
      </c>
      <c r="R113" s="175">
        <v>14800</v>
      </c>
      <c r="S113" s="174">
        <v>216.89999999999998</v>
      </c>
      <c r="T113" s="174">
        <f t="shared" si="3"/>
        <v>370.85471026490069</v>
      </c>
      <c r="V113" s="169" t="s">
        <v>86</v>
      </c>
      <c r="W113" s="178">
        <f>IF('Tab7'!C40="",+'Tab7'!C39+'Tab11'!C39,+'Tab7'!C40+'Tab11'!C40)</f>
        <v>3463.9799601503</v>
      </c>
      <c r="X113" s="178">
        <f>IF('Tab7'!D40="",+'Tab7'!D39+'Tab11'!D39,+'Tab7'!D40+'Tab11'!D40)</f>
        <v>3602.198749331425</v>
      </c>
      <c r="Y113" s="178">
        <f>IF('Tab7'!E40="",+'Tab7'!E39+'Tab11'!E39,+'Tab7'!E40+'Tab11'!E40)</f>
        <v>3380.6634540400155</v>
      </c>
    </row>
    <row r="114" spans="1:25" x14ac:dyDescent="0.2">
      <c r="A114" s="169">
        <v>4</v>
      </c>
      <c r="B114" s="169"/>
      <c r="C114" s="169">
        <f>413.2-C113-C112-C111</f>
        <v>120.09999999999994</v>
      </c>
      <c r="D114" s="169">
        <f>356.8-D113-D112-D111</f>
        <v>106.60000000000005</v>
      </c>
      <c r="E114" s="169"/>
      <c r="F114" s="169"/>
      <c r="G114" s="169"/>
      <c r="I114" s="174">
        <v>91</v>
      </c>
      <c r="J114" s="166">
        <v>4</v>
      </c>
      <c r="L114" s="175">
        <v>12707</v>
      </c>
      <c r="M114" s="174">
        <v>157.79999999999995</v>
      </c>
      <c r="N114" s="174">
        <f t="shared" si="4"/>
        <v>268.61981868131863</v>
      </c>
      <c r="O114" s="175">
        <v>6319</v>
      </c>
      <c r="P114" s="174">
        <v>466.99999999999977</v>
      </c>
      <c r="Q114" s="174">
        <f t="shared" si="2"/>
        <v>794.96486263736244</v>
      </c>
      <c r="R114" s="175">
        <v>11391</v>
      </c>
      <c r="S114" s="174">
        <v>164.5</v>
      </c>
      <c r="T114" s="174">
        <f t="shared" si="3"/>
        <v>280.02509615384622</v>
      </c>
      <c r="V114" s="169" t="s">
        <v>63</v>
      </c>
      <c r="W114" s="178">
        <f>IF('Tab7'!C42="",+'Tab7'!C41+'Tab11'!C41,+'Tab7'!C42+'Tab11'!C42)</f>
        <v>401.88905571880633</v>
      </c>
      <c r="X114" s="178">
        <f>IF('Tab7'!D42="",+'Tab7'!D41+'Tab11'!D41,+'Tab7'!D42+'Tab11'!D42)</f>
        <v>418.02544216273844</v>
      </c>
      <c r="Y114" s="178">
        <f>IF('Tab7'!E42="",+'Tab7'!E41+'Tab11'!E41,+'Tab7'!E42+'Tab11'!E42)</f>
        <v>430.4654792735609</v>
      </c>
    </row>
    <row r="115" spans="1:25" x14ac:dyDescent="0.2">
      <c r="A115" s="169">
        <v>1</v>
      </c>
      <c r="B115" s="169">
        <v>1994</v>
      </c>
      <c r="C115" s="169">
        <v>138.4</v>
      </c>
      <c r="D115" s="169">
        <v>120</v>
      </c>
      <c r="E115" s="169"/>
      <c r="F115" s="169"/>
      <c r="G115" s="169"/>
      <c r="I115" s="174">
        <v>91</v>
      </c>
      <c r="J115" s="166">
        <v>1</v>
      </c>
      <c r="K115" s="166">
        <v>1994</v>
      </c>
      <c r="L115" s="175">
        <v>15224</v>
      </c>
      <c r="M115" s="174">
        <v>189</v>
      </c>
      <c r="N115" s="174">
        <f t="shared" si="4"/>
        <v>321.7309615384616</v>
      </c>
      <c r="O115" s="175">
        <v>6291</v>
      </c>
      <c r="P115" s="174">
        <v>427.6</v>
      </c>
      <c r="Q115" s="174">
        <f t="shared" si="2"/>
        <v>727.8950219780221</v>
      </c>
      <c r="R115" s="175">
        <v>8795</v>
      </c>
      <c r="S115" s="174">
        <v>161.69999999999999</v>
      </c>
      <c r="T115" s="174">
        <f t="shared" si="3"/>
        <v>275.25871153846157</v>
      </c>
      <c r="V115" s="169" t="s">
        <v>14</v>
      </c>
      <c r="W115" s="181">
        <f>+W117-SUM(W112:W114)</f>
        <v>3613.9770857707081</v>
      </c>
      <c r="X115" s="181">
        <f>+X117-SUM(X112:X114)</f>
        <v>3029.6493734685337</v>
      </c>
      <c r="Y115" s="181">
        <f>+Y117-SUM(Y112:Y114)</f>
        <v>3104.2042469300713</v>
      </c>
    </row>
    <row r="116" spans="1:25" x14ac:dyDescent="0.2">
      <c r="A116" s="169">
        <v>2</v>
      </c>
      <c r="B116" s="169"/>
      <c r="C116" s="169">
        <f>252.9-C115</f>
        <v>114.5</v>
      </c>
      <c r="D116" s="169">
        <f>218.1-D115</f>
        <v>98.1</v>
      </c>
      <c r="E116" s="169"/>
      <c r="F116" s="169"/>
      <c r="G116" s="169"/>
      <c r="I116" s="174">
        <v>91.7</v>
      </c>
      <c r="J116" s="166">
        <v>2</v>
      </c>
      <c r="L116" s="175">
        <v>13585</v>
      </c>
      <c r="M116" s="174">
        <v>166.5</v>
      </c>
      <c r="N116" s="174">
        <f t="shared" si="4"/>
        <v>281.26607142857148</v>
      </c>
      <c r="O116" s="175">
        <v>5517</v>
      </c>
      <c r="P116" s="174">
        <v>494.30000000000007</v>
      </c>
      <c r="Q116" s="174">
        <f t="shared" si="2"/>
        <v>835.01392857142878</v>
      </c>
      <c r="R116" s="175">
        <v>13449</v>
      </c>
      <c r="S116" s="174">
        <v>196.2</v>
      </c>
      <c r="T116" s="174">
        <f t="shared" si="3"/>
        <v>331.43785714285718</v>
      </c>
      <c r="V116" s="169"/>
      <c r="W116" s="178"/>
      <c r="X116" s="178"/>
      <c r="Y116" s="178"/>
    </row>
    <row r="117" spans="1:25" x14ac:dyDescent="0.2">
      <c r="A117" s="169">
        <v>3</v>
      </c>
      <c r="B117" s="169"/>
      <c r="C117" s="169">
        <f>365.7-C115-C116</f>
        <v>112.79999999999998</v>
      </c>
      <c r="D117" s="169">
        <f>316.9-D115-D116</f>
        <v>98.799999999999983</v>
      </c>
      <c r="E117" s="169"/>
      <c r="F117" s="169"/>
      <c r="G117" s="169"/>
      <c r="I117" s="174">
        <v>92.1</v>
      </c>
      <c r="J117" s="166">
        <v>3</v>
      </c>
      <c r="L117" s="175">
        <v>13956</v>
      </c>
      <c r="M117" s="174">
        <v>169.89999999999998</v>
      </c>
      <c r="N117" s="174">
        <f t="shared" si="4"/>
        <v>285.7631297502715</v>
      </c>
      <c r="O117" s="175">
        <v>8952</v>
      </c>
      <c r="P117" s="174">
        <v>425.5</v>
      </c>
      <c r="Q117" s="174">
        <f t="shared" si="2"/>
        <v>715.66928610206321</v>
      </c>
      <c r="R117" s="175">
        <v>15669</v>
      </c>
      <c r="S117" s="174">
        <v>219.80000000000007</v>
      </c>
      <c r="T117" s="174">
        <f t="shared" si="3"/>
        <v>369.69238327904475</v>
      </c>
      <c r="V117" s="169" t="s">
        <v>87</v>
      </c>
      <c r="W117" s="178">
        <f>IF('Tab7'!C36="",+'Tab7'!C35+'Tab11'!C35,+'Tab7'!C36+'Tab11'!C36)</f>
        <v>12036.26388949962</v>
      </c>
      <c r="X117" s="178">
        <f>IF('Tab7'!D36="",+'Tab7'!D35+'Tab11'!D35,+'Tab7'!D36+'Tab11'!D36)</f>
        <v>11308.063269238948</v>
      </c>
      <c r="Y117" s="178">
        <f>IF('Tab7'!E36="",+'Tab7'!E35+'Tab11'!E35,+'Tab7'!E36+'Tab11'!E36)</f>
        <v>10928.901179995471</v>
      </c>
    </row>
    <row r="118" spans="1:25" x14ac:dyDescent="0.2">
      <c r="A118" s="169">
        <v>4</v>
      </c>
      <c r="B118" s="169"/>
      <c r="C118" s="169">
        <f>480.2-C115-C116-C117</f>
        <v>114.49999999999997</v>
      </c>
      <c r="D118" s="169">
        <f>417.1-D115-D116-D117</f>
        <v>100.20000000000005</v>
      </c>
      <c r="E118" s="169"/>
      <c r="F118" s="169"/>
      <c r="G118" s="169"/>
      <c r="I118" s="174">
        <v>92.6</v>
      </c>
      <c r="J118" s="166">
        <v>4</v>
      </c>
      <c r="L118" s="175">
        <v>14006</v>
      </c>
      <c r="M118" s="174">
        <v>140.80000000000007</v>
      </c>
      <c r="N118" s="174">
        <f t="shared" si="4"/>
        <v>235.53969762419021</v>
      </c>
      <c r="O118" s="175">
        <v>8189</v>
      </c>
      <c r="P118" s="174">
        <v>390.59999999999991</v>
      </c>
      <c r="Q118" s="174">
        <f t="shared" si="2"/>
        <v>653.42191684665238</v>
      </c>
      <c r="R118" s="175">
        <v>14139</v>
      </c>
      <c r="S118" s="174">
        <v>214.39999999999998</v>
      </c>
      <c r="T118" s="174">
        <f t="shared" si="3"/>
        <v>358.66272138228948</v>
      </c>
      <c r="V118" s="169"/>
      <c r="X118" s="169"/>
    </row>
    <row r="119" spans="1:25" x14ac:dyDescent="0.2">
      <c r="A119" s="169">
        <v>1</v>
      </c>
      <c r="B119" s="169">
        <v>1995</v>
      </c>
      <c r="C119" s="169">
        <v>137.19999999999999</v>
      </c>
      <c r="D119" s="169">
        <v>119.3</v>
      </c>
      <c r="E119" s="169"/>
      <c r="F119" s="169"/>
      <c r="G119" s="169"/>
      <c r="I119" s="174">
        <v>93.4</v>
      </c>
      <c r="J119" s="166">
        <v>1</v>
      </c>
      <c r="K119" s="166">
        <v>1995</v>
      </c>
      <c r="L119" s="175">
        <v>13188</v>
      </c>
      <c r="M119" s="174">
        <v>171.1</v>
      </c>
      <c r="N119" s="174">
        <f t="shared" si="4"/>
        <v>283.77594486081375</v>
      </c>
      <c r="O119" s="175">
        <v>7699</v>
      </c>
      <c r="P119" s="174">
        <v>543</v>
      </c>
      <c r="Q119" s="174">
        <f t="shared" si="2"/>
        <v>900.58642933618853</v>
      </c>
      <c r="R119" s="175">
        <v>11007</v>
      </c>
      <c r="S119" s="174">
        <v>183.1</v>
      </c>
      <c r="T119" s="174">
        <f t="shared" si="3"/>
        <v>303.67840738758036</v>
      </c>
      <c r="V119" s="168" t="s">
        <v>181</v>
      </c>
    </row>
    <row r="120" spans="1:25" x14ac:dyDescent="0.2">
      <c r="A120" s="169">
        <v>2</v>
      </c>
      <c r="B120" s="169"/>
      <c r="C120" s="169">
        <f>248.2-C119</f>
        <v>111</v>
      </c>
      <c r="D120" s="169">
        <f>214.7-D119</f>
        <v>95.399999999999991</v>
      </c>
      <c r="E120" s="169"/>
      <c r="F120" s="169"/>
      <c r="G120" s="169"/>
      <c r="I120" s="174">
        <v>94.1</v>
      </c>
      <c r="J120" s="166">
        <v>2</v>
      </c>
      <c r="L120" s="175">
        <v>11077</v>
      </c>
      <c r="M120" s="174">
        <v>148.30000000000004</v>
      </c>
      <c r="N120" s="174">
        <f t="shared" si="4"/>
        <v>244.13158607863988</v>
      </c>
      <c r="O120" s="175">
        <v>5465</v>
      </c>
      <c r="P120" s="174">
        <v>462.40000000000009</v>
      </c>
      <c r="Q120" s="174">
        <f t="shared" si="2"/>
        <v>761.2032731137092</v>
      </c>
      <c r="R120" s="175">
        <v>13915</v>
      </c>
      <c r="S120" s="174">
        <v>213.4</v>
      </c>
      <c r="T120" s="174">
        <f t="shared" si="3"/>
        <v>351.29926142401706</v>
      </c>
    </row>
    <row r="121" spans="1:25" x14ac:dyDescent="0.2">
      <c r="A121" s="169">
        <v>3</v>
      </c>
      <c r="B121" s="169"/>
      <c r="C121" s="169">
        <f>364.1-C119-C120</f>
        <v>115.90000000000003</v>
      </c>
      <c r="D121" s="169">
        <f>315.7-D119-D120</f>
        <v>100.99999999999999</v>
      </c>
      <c r="E121" s="169"/>
      <c r="F121" s="169"/>
      <c r="G121" s="169"/>
      <c r="I121" s="174">
        <v>94.1</v>
      </c>
      <c r="J121" s="166">
        <v>3</v>
      </c>
      <c r="L121" s="175">
        <v>13937</v>
      </c>
      <c r="M121" s="174">
        <v>180.19999999999993</v>
      </c>
      <c r="N121" s="174">
        <f t="shared" si="4"/>
        <v>296.64539319872472</v>
      </c>
      <c r="O121" s="175">
        <v>9139</v>
      </c>
      <c r="P121" s="174">
        <v>487.89999999999986</v>
      </c>
      <c r="Q121" s="174">
        <f t="shared" si="2"/>
        <v>803.18139479277352</v>
      </c>
      <c r="R121" s="175">
        <v>17436</v>
      </c>
      <c r="S121" s="174">
        <v>224.09999999999991</v>
      </c>
      <c r="T121" s="174">
        <f t="shared" si="3"/>
        <v>368.91361052072256</v>
      </c>
      <c r="V121" s="169"/>
      <c r="W121" s="173" t="str">
        <f>+'Tab3'!C6</f>
        <v>2018</v>
      </c>
      <c r="X121" s="173" t="str">
        <f>+'Tab3'!D6</f>
        <v>2019</v>
      </c>
      <c r="Y121" s="173" t="str">
        <f>+'Tab3'!E6</f>
        <v>2020</v>
      </c>
    </row>
    <row r="122" spans="1:25" x14ac:dyDescent="0.2">
      <c r="A122" s="169">
        <v>4</v>
      </c>
      <c r="B122" s="169"/>
      <c r="C122" s="169">
        <f>482.9-C119-C120-C121</f>
        <v>118.79999999999995</v>
      </c>
      <c r="D122" s="169">
        <f>420.1-D119-D120-D121</f>
        <v>104.40000000000005</v>
      </c>
      <c r="E122" s="169"/>
      <c r="F122" s="169"/>
      <c r="G122" s="169"/>
      <c r="I122" s="174">
        <v>94.6</v>
      </c>
      <c r="J122" s="166">
        <v>4</v>
      </c>
      <c r="L122" s="175">
        <v>13920</v>
      </c>
      <c r="M122" s="174">
        <v>172.00000000000006</v>
      </c>
      <c r="N122" s="174">
        <f t="shared" si="4"/>
        <v>281.65000000000015</v>
      </c>
      <c r="O122" s="175">
        <v>7500</v>
      </c>
      <c r="P122" s="174">
        <v>369.89999999999986</v>
      </c>
      <c r="Q122" s="174">
        <f t="shared" si="2"/>
        <v>605.71124999999995</v>
      </c>
      <c r="R122" s="175">
        <v>15130</v>
      </c>
      <c r="S122" s="174">
        <v>206.30000000000018</v>
      </c>
      <c r="T122" s="174">
        <f t="shared" si="3"/>
        <v>337.81625000000037</v>
      </c>
      <c r="V122" s="169" t="s">
        <v>10</v>
      </c>
      <c r="W122" s="173">
        <f>IF('Tab3'!C22="",'Tab3'!C29,'Tab3'!C30)</f>
        <v>261928</v>
      </c>
      <c r="X122" s="173">
        <f>IF('Tab3'!D22="",'Tab3'!D29,'Tab3'!D30)</f>
        <v>271454.89423076925</v>
      </c>
      <c r="Y122" s="173">
        <f>IF('Tab3'!E22="",'Tab3'!E29,'Tab3'!E30)</f>
        <v>389077</v>
      </c>
    </row>
    <row r="123" spans="1:25" x14ac:dyDescent="0.2">
      <c r="A123" s="169">
        <v>1</v>
      </c>
      <c r="B123" s="169">
        <v>1996</v>
      </c>
      <c r="C123" s="169">
        <v>143.9</v>
      </c>
      <c r="D123" s="169">
        <v>126.9</v>
      </c>
      <c r="E123" s="169"/>
      <c r="F123" s="169"/>
      <c r="G123" s="169"/>
      <c r="I123" s="174">
        <v>94.2</v>
      </c>
      <c r="J123" s="166">
        <v>1</v>
      </c>
      <c r="K123" s="166">
        <v>1996</v>
      </c>
      <c r="L123" s="175">
        <v>29850</v>
      </c>
      <c r="M123" s="174">
        <v>375.59999999999997</v>
      </c>
      <c r="N123" s="174">
        <f t="shared" si="4"/>
        <v>617.65665605095546</v>
      </c>
      <c r="O123" s="175">
        <v>7239</v>
      </c>
      <c r="P123" s="174">
        <v>479.9</v>
      </c>
      <c r="Q123" s="174">
        <f t="shared" si="2"/>
        <v>789.17313428874752</v>
      </c>
      <c r="R123" s="175">
        <v>11785</v>
      </c>
      <c r="S123" s="174">
        <v>198.60000000000002</v>
      </c>
      <c r="T123" s="174">
        <f t="shared" si="3"/>
        <v>326.58842356687904</v>
      </c>
      <c r="V123" s="166" t="s">
        <v>112</v>
      </c>
      <c r="W123" s="173">
        <f>IF('Tab9'!C8="",'Tab9'!C7,'Tab9'!C8)</f>
        <v>99193.467430544653</v>
      </c>
      <c r="X123" s="173">
        <f>IF('Tab9'!D8="",'Tab9'!D7,'Tab9'!D8)</f>
        <v>100639.43441636582</v>
      </c>
      <c r="Y123" s="173">
        <f>IF('Tab9'!E8="",'Tab9'!E7,'Tab9'!E8)</f>
        <v>102401.97556636843</v>
      </c>
    </row>
    <row r="124" spans="1:25" x14ac:dyDescent="0.2">
      <c r="A124" s="169">
        <v>2</v>
      </c>
      <c r="B124" s="169"/>
      <c r="C124" s="169">
        <f>275.5-C123</f>
        <v>131.6</v>
      </c>
      <c r="D124" s="169">
        <f>242.6-D123</f>
        <v>115.69999999999999</v>
      </c>
      <c r="E124" s="169"/>
      <c r="F124" s="169"/>
      <c r="G124" s="169"/>
      <c r="I124" s="174">
        <v>95.1</v>
      </c>
      <c r="J124" s="166">
        <v>2</v>
      </c>
      <c r="L124" s="175">
        <v>17799</v>
      </c>
      <c r="M124" s="174">
        <v>234.8</v>
      </c>
      <c r="N124" s="174">
        <f t="shared" si="4"/>
        <v>382.46352260778139</v>
      </c>
      <c r="O124" s="175">
        <v>6503</v>
      </c>
      <c r="P124" s="174">
        <v>585.30000000000007</v>
      </c>
      <c r="Q124" s="174">
        <f t="shared" si="2"/>
        <v>953.38969242902238</v>
      </c>
      <c r="R124" s="175">
        <v>14642</v>
      </c>
      <c r="S124" s="174">
        <v>220.09999999999997</v>
      </c>
      <c r="T124" s="174">
        <f t="shared" si="3"/>
        <v>358.51883017875923</v>
      </c>
      <c r="V124" s="166" t="s">
        <v>111</v>
      </c>
      <c r="W124" s="173">
        <f>IF('Tab8'!C8="",'Tab8'!C7,'Tab8'!C8)</f>
        <v>131214.51582692406</v>
      </c>
      <c r="X124" s="173">
        <f>IF('Tab8'!D8="",'Tab8'!D7,'Tab8'!D8)</f>
        <v>163732.57076335477</v>
      </c>
      <c r="Y124" s="173">
        <f>IF('Tab8'!E8="",'Tab8'!E7,'Tab8'!E8)</f>
        <v>173987.3295662638</v>
      </c>
    </row>
    <row r="125" spans="1:25" x14ac:dyDescent="0.2">
      <c r="A125" s="169">
        <v>3</v>
      </c>
      <c r="B125" s="169"/>
      <c r="C125" s="169">
        <f>387.5-C123-C124</f>
        <v>112</v>
      </c>
      <c r="D125" s="169">
        <f>339.3-D123-D124</f>
        <v>96.700000000000017</v>
      </c>
      <c r="E125" s="169"/>
      <c r="F125" s="169"/>
      <c r="G125" s="169"/>
      <c r="I125" s="174">
        <v>95.5</v>
      </c>
      <c r="J125" s="166">
        <v>3</v>
      </c>
      <c r="L125" s="175">
        <v>16263</v>
      </c>
      <c r="M125" s="174">
        <v>240.00000000000011</v>
      </c>
      <c r="N125" s="174">
        <f t="shared" si="4"/>
        <v>389.2963350785343</v>
      </c>
      <c r="O125" s="175">
        <v>8934</v>
      </c>
      <c r="P125" s="174">
        <v>581.89999999999986</v>
      </c>
      <c r="Q125" s="174">
        <f t="shared" si="2"/>
        <v>943.88140575916225</v>
      </c>
      <c r="R125" s="175">
        <v>17198</v>
      </c>
      <c r="S125" s="174">
        <v>233.2</v>
      </c>
      <c r="T125" s="174">
        <f t="shared" si="3"/>
        <v>378.26627225130898</v>
      </c>
      <c r="V125" s="169" t="s">
        <v>170</v>
      </c>
      <c r="W125" s="173">
        <f>IF('Tab3'!C16="",'Tab3'!C15,'Tab3'!C16)</f>
        <v>35114.516483516483</v>
      </c>
      <c r="X125" s="173">
        <f>IF('Tab3'!D16="",'Tab3'!D15,'Tab3'!D16)</f>
        <v>35803.787386526514</v>
      </c>
      <c r="Y125" s="173">
        <f>IF('Tab3'!E16="",'Tab3'!E15,'Tab3'!E16)</f>
        <v>33616.30625895843</v>
      </c>
    </row>
    <row r="126" spans="1:25" x14ac:dyDescent="0.2">
      <c r="A126" s="169">
        <v>4</v>
      </c>
      <c r="B126" s="169"/>
      <c r="C126" s="169">
        <f>520-C123-C124-C125</f>
        <v>132.50000000000003</v>
      </c>
      <c r="D126" s="169">
        <f>452.4-D123-D124-D125</f>
        <v>113.1</v>
      </c>
      <c r="E126" s="169"/>
      <c r="F126" s="169"/>
      <c r="G126" s="169"/>
      <c r="I126" s="174">
        <v>96.3</v>
      </c>
      <c r="J126" s="166">
        <v>4</v>
      </c>
      <c r="L126" s="175">
        <v>16638</v>
      </c>
      <c r="M126" s="174">
        <v>233.40000000000009</v>
      </c>
      <c r="N126" s="174">
        <f t="shared" si="4"/>
        <v>375.44559190031174</v>
      </c>
      <c r="O126" s="175">
        <v>7966</v>
      </c>
      <c r="P126" s="174">
        <v>665.80000000000018</v>
      </c>
      <c r="Q126" s="174">
        <f t="shared" si="2"/>
        <v>1071.0011786085156</v>
      </c>
      <c r="R126" s="175">
        <v>13841</v>
      </c>
      <c r="S126" s="174">
        <v>188.00000000000011</v>
      </c>
      <c r="T126" s="174">
        <f t="shared" si="3"/>
        <v>302.41547248182786</v>
      </c>
    </row>
    <row r="127" spans="1:25" x14ac:dyDescent="0.2">
      <c r="A127" s="169">
        <v>1</v>
      </c>
      <c r="B127" s="169">
        <v>1997</v>
      </c>
      <c r="C127" s="169">
        <v>142.6</v>
      </c>
      <c r="D127" s="169">
        <v>124.8</v>
      </c>
      <c r="E127" s="169"/>
      <c r="F127" s="169"/>
      <c r="G127" s="169"/>
      <c r="I127" s="174">
        <v>97.3</v>
      </c>
      <c r="J127" s="166">
        <v>1</v>
      </c>
      <c r="K127" s="166">
        <v>1997</v>
      </c>
      <c r="L127" s="175">
        <v>17837</v>
      </c>
      <c r="M127" s="174">
        <v>255.29999999999998</v>
      </c>
      <c r="N127" s="174">
        <f t="shared" si="4"/>
        <v>406.45308067831456</v>
      </c>
      <c r="O127" s="175">
        <v>7574</v>
      </c>
      <c r="P127" s="174">
        <v>625.70000000000005</v>
      </c>
      <c r="Q127" s="174">
        <f t="shared" si="2"/>
        <v>996.15234069886969</v>
      </c>
      <c r="R127" s="175">
        <v>10571</v>
      </c>
      <c r="S127" s="174">
        <v>187.8</v>
      </c>
      <c r="T127" s="174">
        <f t="shared" si="3"/>
        <v>298.98898766700933</v>
      </c>
      <c r="V127" s="168" t="s">
        <v>182</v>
      </c>
    </row>
    <row r="128" spans="1:25" x14ac:dyDescent="0.2">
      <c r="A128" s="169">
        <v>2</v>
      </c>
      <c r="B128" s="169"/>
      <c r="C128" s="169">
        <f>284.4-C127</f>
        <v>141.79999999999998</v>
      </c>
      <c r="D128" s="169">
        <f>247.3-D127</f>
        <v>122.50000000000001</v>
      </c>
      <c r="E128" s="169"/>
      <c r="F128" s="169"/>
      <c r="G128" s="169"/>
      <c r="I128" s="174">
        <v>97.7</v>
      </c>
      <c r="J128" s="166">
        <v>2</v>
      </c>
      <c r="L128" s="175">
        <v>16872</v>
      </c>
      <c r="M128" s="174">
        <v>281.30000000000007</v>
      </c>
      <c r="N128" s="174">
        <f t="shared" si="4"/>
        <v>446.01309877175044</v>
      </c>
      <c r="O128" s="175">
        <v>7284</v>
      </c>
      <c r="P128" s="174">
        <v>664.39999999999986</v>
      </c>
      <c r="Q128" s="174">
        <f t="shared" si="2"/>
        <v>1053.4344216990787</v>
      </c>
      <c r="R128" s="175">
        <v>14837</v>
      </c>
      <c r="S128" s="174">
        <v>224.59999999999997</v>
      </c>
      <c r="T128" s="174">
        <f t="shared" si="3"/>
        <v>356.11284032753326</v>
      </c>
      <c r="W128" s="173" t="str">
        <f>+'Tab3'!C6</f>
        <v>2018</v>
      </c>
      <c r="X128" s="173" t="str">
        <f>+'Tab3'!D6</f>
        <v>2019</v>
      </c>
      <c r="Y128" s="173" t="str">
        <f>+'Tab3'!E6</f>
        <v>2020</v>
      </c>
    </row>
    <row r="129" spans="1:25" x14ac:dyDescent="0.2">
      <c r="A129" s="169">
        <v>3</v>
      </c>
      <c r="B129" s="169"/>
      <c r="C129" s="169">
        <f>419.8-C127-C128</f>
        <v>135.40000000000006</v>
      </c>
      <c r="D129" s="169">
        <f>364.6-D127-D128</f>
        <v>117.3</v>
      </c>
      <c r="E129" s="169"/>
      <c r="F129" s="169" t="s">
        <v>74</v>
      </c>
      <c r="G129" s="169"/>
      <c r="I129" s="174">
        <v>97.7</v>
      </c>
      <c r="J129" s="166">
        <v>3</v>
      </c>
      <c r="L129" s="175">
        <v>17873</v>
      </c>
      <c r="M129" s="174">
        <v>297.89999999999998</v>
      </c>
      <c r="N129" s="174">
        <f t="shared" si="4"/>
        <v>472.33310388945756</v>
      </c>
      <c r="O129" s="175">
        <v>14581</v>
      </c>
      <c r="P129" s="174">
        <v>720.30000000000018</v>
      </c>
      <c r="Q129" s="174">
        <f t="shared" si="2"/>
        <v>1142.0662461617201</v>
      </c>
      <c r="R129" s="175">
        <v>15670</v>
      </c>
      <c r="S129" s="174">
        <v>198.80000000000007</v>
      </c>
      <c r="T129" s="174">
        <f t="shared" si="3"/>
        <v>315.20584442169923</v>
      </c>
      <c r="V129" s="169" t="s">
        <v>11</v>
      </c>
      <c r="W129" s="173">
        <f>IF('Tab3'!C30="",'Tab3'!C31,'Tab3'!C32)</f>
        <v>9968.6290523690768</v>
      </c>
      <c r="X129" s="173">
        <f>IF('Tab3'!D30="",'Tab3'!D31,'Tab3'!D32)</f>
        <v>8920.4557356608475</v>
      </c>
      <c r="Y129" s="173">
        <f>IF('Tab3'!E30="",'Tab3'!E31,'Tab3'!E32)</f>
        <v>11333.992503086034</v>
      </c>
    </row>
    <row r="130" spans="1:25" x14ac:dyDescent="0.2">
      <c r="A130" s="169">
        <v>4</v>
      </c>
      <c r="B130" s="169"/>
      <c r="C130" s="169">
        <f>550.4-C127-C128-C129</f>
        <v>130.59999999999994</v>
      </c>
      <c r="D130" s="169">
        <f>478.3-D127-D128-D129</f>
        <v>113.7</v>
      </c>
      <c r="E130" s="169"/>
      <c r="F130" s="169"/>
      <c r="G130" s="169"/>
      <c r="I130" s="174">
        <v>98.4</v>
      </c>
      <c r="J130" s="166">
        <v>4</v>
      </c>
      <c r="L130" s="175">
        <v>15493</v>
      </c>
      <c r="M130" s="174">
        <v>267.70000000000005</v>
      </c>
      <c r="N130" s="174">
        <f t="shared" si="4"/>
        <v>421.43026168699197</v>
      </c>
      <c r="O130" s="175">
        <v>9445</v>
      </c>
      <c r="P130" s="174">
        <v>564</v>
      </c>
      <c r="Q130" s="174">
        <f t="shared" si="2"/>
        <v>887.88445121951236</v>
      </c>
      <c r="R130" s="175">
        <v>13087</v>
      </c>
      <c r="S130" s="174">
        <v>185.09999999999991</v>
      </c>
      <c r="T130" s="174">
        <f t="shared" si="3"/>
        <v>291.39612042682916</v>
      </c>
      <c r="V130" s="169" t="s">
        <v>12</v>
      </c>
      <c r="W130" s="173">
        <f>IF('Tab3'!C32="",'Tab3'!C33,'Tab3'!C34)</f>
        <v>7980.5069999999996</v>
      </c>
      <c r="X130" s="173">
        <f>IF('Tab3'!D32="",'Tab3'!D33,'Tab3'!D34)</f>
        <v>7645.16</v>
      </c>
      <c r="Y130" s="173">
        <f>IF('Tab3'!E32="",'Tab3'!E33,'Tab3'!E34)</f>
        <v>8406.9601644300001</v>
      </c>
    </row>
    <row r="131" spans="1:25" x14ac:dyDescent="0.2">
      <c r="A131" s="169">
        <v>1</v>
      </c>
      <c r="B131" s="169">
        <v>1998</v>
      </c>
      <c r="C131" s="169">
        <v>150</v>
      </c>
      <c r="D131" s="169">
        <v>131.9</v>
      </c>
      <c r="E131" s="169"/>
      <c r="F131" s="169" t="s">
        <v>78</v>
      </c>
      <c r="G131" s="169"/>
      <c r="I131" s="174">
        <v>99.3</v>
      </c>
      <c r="J131" s="166">
        <v>1</v>
      </c>
      <c r="K131" s="166">
        <v>1998</v>
      </c>
      <c r="L131" s="175">
        <v>17629</v>
      </c>
      <c r="M131" s="174">
        <v>285</v>
      </c>
      <c r="N131" s="174">
        <f t="shared" si="4"/>
        <v>444.59856495468284</v>
      </c>
      <c r="O131" s="175">
        <v>7614</v>
      </c>
      <c r="P131" s="174">
        <v>599.6</v>
      </c>
      <c r="Q131" s="174">
        <f t="shared" si="2"/>
        <v>935.37298086606268</v>
      </c>
      <c r="R131" s="175">
        <v>11958</v>
      </c>
      <c r="S131" s="174">
        <v>185.4</v>
      </c>
      <c r="T131" s="174">
        <f t="shared" si="3"/>
        <v>289.22306646525686</v>
      </c>
      <c r="V131" s="169" t="s">
        <v>7</v>
      </c>
      <c r="W131" s="173">
        <f>IF('Tab3'!C18="",'Tab3'!C17,'Tab3'!C18)</f>
        <v>8017.5373224489795</v>
      </c>
      <c r="X131" s="173">
        <f>IF('Tab3'!D18="",'Tab3'!D17,'Tab3'!D18)</f>
        <v>7040.4526530612247</v>
      </c>
      <c r="Y131" s="173">
        <f>IF('Tab3'!E18="",'Tab3'!E17,'Tab3'!E18)</f>
        <v>6161.3536816326532</v>
      </c>
    </row>
    <row r="132" spans="1:25" x14ac:dyDescent="0.2">
      <c r="A132" s="169">
        <v>2</v>
      </c>
      <c r="B132" s="169"/>
      <c r="C132" s="169">
        <f>289.8-C131</f>
        <v>139.80000000000001</v>
      </c>
      <c r="D132" s="169">
        <f>253.9-D131</f>
        <v>122</v>
      </c>
      <c r="E132" s="169"/>
      <c r="F132" s="169" t="s">
        <v>79</v>
      </c>
      <c r="G132" s="169" t="s">
        <v>80</v>
      </c>
      <c r="I132" s="174">
        <v>99.7</v>
      </c>
      <c r="J132" s="166">
        <v>2</v>
      </c>
      <c r="L132" s="175">
        <v>14484</v>
      </c>
      <c r="M132" s="174">
        <v>253.5</v>
      </c>
      <c r="N132" s="174">
        <f t="shared" si="4"/>
        <v>393.87212888666005</v>
      </c>
      <c r="O132" s="175">
        <v>6009</v>
      </c>
      <c r="P132" s="174">
        <v>576.9</v>
      </c>
      <c r="Q132" s="174">
        <f t="shared" si="2"/>
        <v>896.35041875626894</v>
      </c>
      <c r="R132" s="175">
        <v>15060</v>
      </c>
      <c r="S132" s="174">
        <v>204.20000000000002</v>
      </c>
      <c r="T132" s="174">
        <f t="shared" si="3"/>
        <v>317.27293380140429</v>
      </c>
      <c r="V132" s="166" t="s">
        <v>113</v>
      </c>
      <c r="W132" s="173">
        <f>IF('Tab10'!C8="",'Tab10'!C7,'Tab10'!C8)</f>
        <v>15222.903625804425</v>
      </c>
      <c r="X132" s="173">
        <f>IF('Tab10'!D8="",'Tab10'!D7,'Tab10'!D8)</f>
        <v>13638.057761732853</v>
      </c>
      <c r="Y132" s="173">
        <f>IF('Tab10'!E8="",'Tab10'!E7,'Tab10'!E8)</f>
        <v>15370.772092293204</v>
      </c>
    </row>
    <row r="133" spans="1:25" x14ac:dyDescent="0.2">
      <c r="A133" s="169">
        <v>3</v>
      </c>
      <c r="B133" s="169"/>
      <c r="C133" s="169">
        <f>+E133-C131-C132</f>
        <v>128.09999999999997</v>
      </c>
      <c r="D133" s="169">
        <f>+G133-D131-D132</f>
        <v>112.1</v>
      </c>
      <c r="E133" s="169">
        <v>417.9</v>
      </c>
      <c r="G133" s="169">
        <v>366</v>
      </c>
      <c r="I133" s="178">
        <v>99.8</v>
      </c>
      <c r="J133" s="166">
        <v>3</v>
      </c>
      <c r="L133" s="175">
        <v>15693</v>
      </c>
      <c r="M133" s="174">
        <v>257.89999999999998</v>
      </c>
      <c r="N133" s="174">
        <f t="shared" si="4"/>
        <v>400.30705661322651</v>
      </c>
      <c r="O133" s="175">
        <v>8328</v>
      </c>
      <c r="P133" s="174">
        <v>432.80000000000018</v>
      </c>
      <c r="Q133" s="174">
        <f t="shared" si="2"/>
        <v>671.78322645290621</v>
      </c>
      <c r="R133" s="175">
        <v>17098</v>
      </c>
      <c r="S133" s="174">
        <v>209.60000000000002</v>
      </c>
      <c r="T133" s="174">
        <f t="shared" si="3"/>
        <v>325.33679358717444</v>
      </c>
      <c r="V133" s="169" t="s">
        <v>9</v>
      </c>
      <c r="W133" s="173">
        <f>IF('Tab3'!C22="",'Tab3'!C21,'Tab3'!C22)</f>
        <v>17128.16</v>
      </c>
      <c r="X133" s="173">
        <f>IF('Tab3'!D22="",'Tab3'!D21,'Tab3'!D22)</f>
        <v>19854.9175</v>
      </c>
      <c r="Y133" s="173">
        <f>IF('Tab3'!E22="",'Tab3'!E21,'Tab3'!E22)</f>
        <v>19871.1175</v>
      </c>
    </row>
    <row r="134" spans="1:25" x14ac:dyDescent="0.2">
      <c r="A134" s="169">
        <v>4</v>
      </c>
      <c r="B134" s="169"/>
      <c r="C134" s="169">
        <f>+E134-E133</f>
        <v>141.80000000000007</v>
      </c>
      <c r="D134" s="169">
        <f>+G134-G133</f>
        <v>125.60000000000002</v>
      </c>
      <c r="E134" s="169">
        <v>559.70000000000005</v>
      </c>
      <c r="G134" s="169">
        <v>491.6</v>
      </c>
      <c r="I134" s="178">
        <v>100.7</v>
      </c>
      <c r="J134" s="166">
        <v>4</v>
      </c>
      <c r="L134" s="175">
        <v>16502</v>
      </c>
      <c r="M134" s="174">
        <v>299.10000000000002</v>
      </c>
      <c r="N134" s="174">
        <f t="shared" si="4"/>
        <v>460.10757944389286</v>
      </c>
      <c r="O134" s="175">
        <v>7526</v>
      </c>
      <c r="P134" s="174">
        <v>738.59999999999945</v>
      </c>
      <c r="Q134" s="174">
        <f t="shared" si="2"/>
        <v>1136.193440913604</v>
      </c>
      <c r="R134" s="175">
        <v>14647</v>
      </c>
      <c r="S134" s="174">
        <v>205.79999999999995</v>
      </c>
      <c r="T134" s="174">
        <f t="shared" si="3"/>
        <v>316.58355014895727</v>
      </c>
    </row>
    <row r="135" spans="1:25" x14ac:dyDescent="0.2">
      <c r="A135" s="169">
        <v>1</v>
      </c>
      <c r="B135" s="169">
        <v>1999</v>
      </c>
      <c r="C135" s="169">
        <f>+E135</f>
        <v>154.19999999999999</v>
      </c>
      <c r="D135" s="169">
        <f>+G135</f>
        <v>137.1</v>
      </c>
      <c r="E135" s="169">
        <v>154.19999999999999</v>
      </c>
      <c r="G135" s="169">
        <v>137.1</v>
      </c>
      <c r="I135" s="178">
        <v>101.4</v>
      </c>
      <c r="J135" s="166">
        <v>1</v>
      </c>
      <c r="K135" s="166">
        <v>1999</v>
      </c>
      <c r="L135" s="175">
        <v>18095</v>
      </c>
      <c r="M135" s="174">
        <v>328.50000000000006</v>
      </c>
      <c r="N135" s="174">
        <f t="shared" si="4"/>
        <v>501.84530325443802</v>
      </c>
      <c r="O135" s="175">
        <v>8863</v>
      </c>
      <c r="P135" s="174">
        <v>689.1</v>
      </c>
      <c r="Q135" s="174">
        <f t="shared" si="2"/>
        <v>1052.7293713017755</v>
      </c>
      <c r="R135" s="175">
        <v>11175</v>
      </c>
      <c r="S135" s="174">
        <v>162.80000000000001</v>
      </c>
      <c r="T135" s="174">
        <f t="shared" si="3"/>
        <v>248.70750493096651</v>
      </c>
    </row>
    <row r="136" spans="1:25" x14ac:dyDescent="0.2">
      <c r="A136" s="169">
        <v>2</v>
      </c>
      <c r="B136" s="169"/>
      <c r="C136" s="169">
        <f>+E136-E135</f>
        <v>159.30000000000001</v>
      </c>
      <c r="D136" s="169">
        <f>+G136-G135</f>
        <v>140.70000000000002</v>
      </c>
      <c r="E136" s="169">
        <v>313.5</v>
      </c>
      <c r="G136" s="169">
        <v>277.8</v>
      </c>
      <c r="I136" s="178">
        <v>102.2</v>
      </c>
      <c r="J136" s="166">
        <v>2</v>
      </c>
      <c r="L136" s="175">
        <v>12899</v>
      </c>
      <c r="M136" s="174">
        <v>332.7</v>
      </c>
      <c r="N136" s="174">
        <f t="shared" si="4"/>
        <v>504.28302592954998</v>
      </c>
      <c r="O136" s="175">
        <v>5920</v>
      </c>
      <c r="P136" s="174">
        <v>874.6</v>
      </c>
      <c r="Q136" s="174">
        <f t="shared" si="2"/>
        <v>1325.6565508806266</v>
      </c>
      <c r="R136" s="175">
        <v>12451</v>
      </c>
      <c r="S136" s="174">
        <v>199.09999999999997</v>
      </c>
      <c r="T136" s="174">
        <f t="shared" si="3"/>
        <v>301.7816364970646</v>
      </c>
    </row>
    <row r="137" spans="1:25" x14ac:dyDescent="0.2">
      <c r="A137" s="169">
        <v>3</v>
      </c>
      <c r="B137" s="169"/>
      <c r="C137" s="169">
        <f>+E137-E136</f>
        <v>146.30000000000001</v>
      </c>
      <c r="D137" s="169">
        <f>+G137-G136</f>
        <v>128.69999999999999</v>
      </c>
      <c r="E137" s="169">
        <v>459.8</v>
      </c>
      <c r="G137" s="169">
        <v>406.5</v>
      </c>
      <c r="I137" s="178">
        <v>101.7</v>
      </c>
      <c r="J137" s="166">
        <v>3</v>
      </c>
      <c r="L137" s="175">
        <v>23305</v>
      </c>
      <c r="M137" s="174">
        <v>445.5</v>
      </c>
      <c r="N137" s="174">
        <f t="shared" si="4"/>
        <v>678.57710176991156</v>
      </c>
      <c r="O137" s="175">
        <v>11181</v>
      </c>
      <c r="P137" s="174">
        <v>566.99999999999977</v>
      </c>
      <c r="Q137" s="174">
        <f t="shared" si="2"/>
        <v>863.64358407079624</v>
      </c>
      <c r="R137" s="175">
        <v>18817</v>
      </c>
      <c r="S137" s="174">
        <v>227.70000000000005</v>
      </c>
      <c r="T137" s="174">
        <f t="shared" si="3"/>
        <v>346.82829646017717</v>
      </c>
    </row>
    <row r="138" spans="1:25" x14ac:dyDescent="0.2">
      <c r="A138" s="169">
        <v>4</v>
      </c>
      <c r="B138" s="169"/>
      <c r="C138" s="169">
        <f>+E138-E137</f>
        <v>141.90000000000003</v>
      </c>
      <c r="D138" s="169">
        <f>+G138-G137</f>
        <v>126.39999999999998</v>
      </c>
      <c r="E138" s="169">
        <v>601.70000000000005</v>
      </c>
      <c r="G138" s="169">
        <v>532.9</v>
      </c>
      <c r="I138" s="174">
        <v>103.5</v>
      </c>
      <c r="J138" s="166">
        <v>4</v>
      </c>
      <c r="L138" s="175">
        <v>18359</v>
      </c>
      <c r="M138" s="174">
        <v>410.59999999999968</v>
      </c>
      <c r="N138" s="174">
        <f t="shared" si="4"/>
        <v>614.54125120772903</v>
      </c>
      <c r="O138" s="175">
        <v>9544</v>
      </c>
      <c r="P138" s="174">
        <v>935.5</v>
      </c>
      <c r="Q138" s="174">
        <f t="shared" si="2"/>
        <v>1400.1542632850244</v>
      </c>
      <c r="R138" s="175">
        <v>13692</v>
      </c>
      <c r="S138" s="174">
        <v>192.19999999999993</v>
      </c>
      <c r="T138" s="174">
        <f t="shared" si="3"/>
        <v>287.66397584541056</v>
      </c>
    </row>
    <row r="139" spans="1:25" x14ac:dyDescent="0.2">
      <c r="A139" s="169">
        <v>1</v>
      </c>
      <c r="B139" s="169">
        <v>2000</v>
      </c>
      <c r="C139" s="169">
        <f>+E139</f>
        <v>169.1</v>
      </c>
      <c r="D139" s="169">
        <f>+G139</f>
        <v>150.9</v>
      </c>
      <c r="E139" s="169">
        <v>169.1</v>
      </c>
      <c r="G139" s="169">
        <v>150.9</v>
      </c>
      <c r="I139" s="174">
        <v>104.6</v>
      </c>
      <c r="J139" s="166">
        <v>1</v>
      </c>
      <c r="K139" s="166">
        <v>2000</v>
      </c>
      <c r="L139" s="175">
        <v>17570</v>
      </c>
      <c r="M139" s="174">
        <v>345.9</v>
      </c>
      <c r="N139" s="174">
        <f t="shared" si="4"/>
        <v>512.26103489483751</v>
      </c>
      <c r="O139" s="175">
        <v>9154</v>
      </c>
      <c r="P139" s="174">
        <v>819.9</v>
      </c>
      <c r="Q139" s="174">
        <f t="shared" si="2"/>
        <v>1214.2319239961762</v>
      </c>
      <c r="R139" s="175">
        <v>12421</v>
      </c>
      <c r="S139" s="174">
        <v>198</v>
      </c>
      <c r="T139" s="174">
        <f t="shared" si="3"/>
        <v>293.22834608030598</v>
      </c>
    </row>
    <row r="140" spans="1:25" x14ac:dyDescent="0.2">
      <c r="A140" s="169">
        <v>2</v>
      </c>
      <c r="B140" s="169"/>
      <c r="C140" s="169">
        <f>+E140-E139</f>
        <v>151.50000000000003</v>
      </c>
      <c r="D140" s="169">
        <f>+G140-G139</f>
        <v>133.4</v>
      </c>
      <c r="E140" s="169">
        <v>320.60000000000002</v>
      </c>
      <c r="G140" s="169">
        <v>284.3</v>
      </c>
      <c r="I140" s="174">
        <v>105.1</v>
      </c>
      <c r="J140" s="166">
        <v>2</v>
      </c>
      <c r="L140" s="175">
        <v>14069</v>
      </c>
      <c r="M140" s="174">
        <v>252.39999999999998</v>
      </c>
      <c r="N140" s="174">
        <f t="shared" si="4"/>
        <v>372.01382492863945</v>
      </c>
      <c r="O140" s="175">
        <v>10238</v>
      </c>
      <c r="P140" s="174">
        <v>674.19999999999993</v>
      </c>
      <c r="Q140" s="174">
        <f t="shared" si="2"/>
        <v>993.70729305423424</v>
      </c>
      <c r="R140" s="175">
        <v>13950</v>
      </c>
      <c r="S140" s="174">
        <v>184.5</v>
      </c>
      <c r="T140" s="174">
        <f t="shared" si="3"/>
        <v>271.93562083729785</v>
      </c>
    </row>
    <row r="141" spans="1:25" x14ac:dyDescent="0.2">
      <c r="A141" s="169">
        <v>3</v>
      </c>
      <c r="B141" s="169"/>
      <c r="C141" s="169">
        <f>+E141-E140</f>
        <v>139</v>
      </c>
      <c r="D141" s="169">
        <f>+G141-G140</f>
        <v>123.5</v>
      </c>
      <c r="E141" s="169">
        <v>459.6</v>
      </c>
      <c r="G141" s="169">
        <v>407.8</v>
      </c>
      <c r="I141" s="174">
        <v>105.3</v>
      </c>
      <c r="J141" s="166">
        <v>3</v>
      </c>
      <c r="L141" s="175">
        <v>16329</v>
      </c>
      <c r="M141" s="174">
        <v>313.5</v>
      </c>
      <c r="N141" s="174">
        <f t="shared" si="4"/>
        <v>461.19184472934478</v>
      </c>
      <c r="O141" s="175">
        <v>13877</v>
      </c>
      <c r="P141" s="174">
        <v>706.20000000000027</v>
      </c>
      <c r="Q141" s="174">
        <f t="shared" si="2"/>
        <v>1038.895313390314</v>
      </c>
      <c r="R141" s="175">
        <v>14850</v>
      </c>
      <c r="S141" s="174">
        <v>193.89999999999998</v>
      </c>
      <c r="T141" s="174">
        <f t="shared" si="3"/>
        <v>285.24752374169043</v>
      </c>
    </row>
    <row r="142" spans="1:25" x14ac:dyDescent="0.2">
      <c r="A142" s="169">
        <v>4</v>
      </c>
      <c r="B142" s="169"/>
      <c r="C142" s="169">
        <f>+E142-E141</f>
        <v>135.10000000000002</v>
      </c>
      <c r="D142" s="169">
        <f>+G142-G141</f>
        <v>121.40000000000003</v>
      </c>
      <c r="E142" s="169">
        <v>594.70000000000005</v>
      </c>
      <c r="G142" s="169">
        <v>529.20000000000005</v>
      </c>
      <c r="I142" s="174">
        <v>106.8</v>
      </c>
      <c r="J142" s="166">
        <v>4</v>
      </c>
      <c r="L142" s="175">
        <v>21735</v>
      </c>
      <c r="M142" s="174">
        <v>484.79999999999995</v>
      </c>
      <c r="N142" s="174">
        <f t="shared" si="4"/>
        <v>703.17561797752819</v>
      </c>
      <c r="O142" s="175">
        <v>9978</v>
      </c>
      <c r="P142" s="174">
        <v>739.19999999999982</v>
      </c>
      <c r="Q142" s="174">
        <f t="shared" si="2"/>
        <v>1072.1687640449438</v>
      </c>
      <c r="R142" s="175">
        <v>13212</v>
      </c>
      <c r="S142" s="174">
        <v>215</v>
      </c>
      <c r="T142" s="174">
        <f t="shared" si="3"/>
        <v>311.84562265917612</v>
      </c>
    </row>
    <row r="143" spans="1:25" x14ac:dyDescent="0.2">
      <c r="A143" s="169">
        <v>1</v>
      </c>
      <c r="B143" s="169">
        <v>2001</v>
      </c>
      <c r="C143" s="169">
        <f>+E143</f>
        <v>158.5</v>
      </c>
      <c r="D143" s="169">
        <f>+G143</f>
        <v>143.1</v>
      </c>
      <c r="E143" s="169">
        <v>158.5</v>
      </c>
      <c r="G143" s="169">
        <v>143.1</v>
      </c>
      <c r="I143" s="174">
        <v>108.4</v>
      </c>
      <c r="J143" s="166">
        <v>1</v>
      </c>
      <c r="K143" s="166">
        <v>2001</v>
      </c>
      <c r="L143" s="175">
        <v>27280</v>
      </c>
      <c r="M143" s="174">
        <v>675.3</v>
      </c>
      <c r="N143" s="174">
        <f t="shared" si="4"/>
        <v>965.02799584870854</v>
      </c>
      <c r="O143" s="175">
        <v>7776</v>
      </c>
      <c r="P143" s="174">
        <v>877</v>
      </c>
      <c r="Q143" s="174">
        <f t="shared" si="2"/>
        <v>1253.264552583026</v>
      </c>
      <c r="R143" s="175">
        <v>10538</v>
      </c>
      <c r="S143" s="174">
        <v>164.1</v>
      </c>
      <c r="T143" s="174">
        <f t="shared" si="3"/>
        <v>234.50480396678969</v>
      </c>
    </row>
    <row r="144" spans="1:25" x14ac:dyDescent="0.2">
      <c r="A144" s="169">
        <v>2</v>
      </c>
      <c r="B144" s="169"/>
      <c r="C144" s="169">
        <f>+E144-E143</f>
        <v>140.45999999999998</v>
      </c>
      <c r="D144" s="169">
        <f>+G144-G143</f>
        <v>125.70000000000002</v>
      </c>
      <c r="E144" s="169">
        <v>298.95999999999998</v>
      </c>
      <c r="G144" s="169">
        <v>268.8</v>
      </c>
      <c r="I144" s="174">
        <v>109.6</v>
      </c>
      <c r="J144" s="166">
        <v>2</v>
      </c>
      <c r="L144" s="175">
        <v>17111</v>
      </c>
      <c r="M144" s="174">
        <v>452</v>
      </c>
      <c r="N144" s="174">
        <f t="shared" si="4"/>
        <v>638.85209854014613</v>
      </c>
      <c r="O144" s="175">
        <v>5711</v>
      </c>
      <c r="P144" s="174">
        <v>923</v>
      </c>
      <c r="Q144" s="174">
        <f t="shared" si="2"/>
        <v>1304.558599452555</v>
      </c>
      <c r="R144" s="175">
        <v>11841</v>
      </c>
      <c r="S144" s="174">
        <v>190.29999999999998</v>
      </c>
      <c r="T144" s="174">
        <f t="shared" si="3"/>
        <v>268.96804060218983</v>
      </c>
    </row>
    <row r="145" spans="1:20" x14ac:dyDescent="0.2">
      <c r="A145" s="169">
        <v>3</v>
      </c>
      <c r="C145" s="169">
        <f>+E145-E144</f>
        <v>134.24</v>
      </c>
      <c r="D145" s="169">
        <f>+G145-G144</f>
        <v>119.19999999999999</v>
      </c>
      <c r="E145" s="169">
        <v>433.2</v>
      </c>
      <c r="G145" s="169">
        <v>388</v>
      </c>
      <c r="I145" s="174">
        <v>108.1</v>
      </c>
      <c r="J145" s="166">
        <v>3</v>
      </c>
      <c r="L145" s="175">
        <v>16407</v>
      </c>
      <c r="M145" s="174">
        <v>400.40000000000009</v>
      </c>
      <c r="N145" s="174">
        <f t="shared" si="4"/>
        <v>573.77394079555995</v>
      </c>
      <c r="O145" s="175">
        <v>15359</v>
      </c>
      <c r="P145" s="174">
        <v>1172.1999999999998</v>
      </c>
      <c r="Q145" s="174">
        <f t="shared" si="2"/>
        <v>1679.7647687326551</v>
      </c>
      <c r="R145" s="175">
        <v>13534</v>
      </c>
      <c r="S145" s="174">
        <v>158.5</v>
      </c>
      <c r="T145" s="174">
        <f t="shared" si="3"/>
        <v>227.13079324699356</v>
      </c>
    </row>
    <row r="146" spans="1:20" x14ac:dyDescent="0.2">
      <c r="A146" s="169">
        <v>4</v>
      </c>
      <c r="C146" s="169">
        <f>+E146-E145</f>
        <v>137.49520000000001</v>
      </c>
      <c r="D146" s="169">
        <f>+G146-G145</f>
        <v>124.07220000000007</v>
      </c>
      <c r="E146" s="177">
        <v>570.6952</v>
      </c>
      <c r="F146" s="182"/>
      <c r="G146" s="177">
        <v>512.07220000000007</v>
      </c>
      <c r="I146" s="174">
        <v>108.7</v>
      </c>
      <c r="J146" s="166">
        <v>4</v>
      </c>
      <c r="L146" s="175">
        <v>16945</v>
      </c>
      <c r="M146" s="174">
        <v>509.39999999999986</v>
      </c>
      <c r="N146" s="174">
        <f t="shared" si="4"/>
        <v>725.94186292548284</v>
      </c>
      <c r="O146" s="175">
        <v>9601</v>
      </c>
      <c r="P146" s="174">
        <v>803.30000000000018</v>
      </c>
      <c r="Q146" s="174">
        <f t="shared" si="2"/>
        <v>1144.7764006439747</v>
      </c>
      <c r="R146" s="175">
        <v>12341</v>
      </c>
      <c r="S146" s="174">
        <v>258.5</v>
      </c>
      <c r="T146" s="174">
        <f t="shared" si="3"/>
        <v>368.38628104875806</v>
      </c>
    </row>
    <row r="147" spans="1:20" x14ac:dyDescent="0.2">
      <c r="A147" s="169">
        <v>1</v>
      </c>
      <c r="B147" s="169">
        <v>2002</v>
      </c>
      <c r="C147" s="169">
        <f>+E147</f>
        <v>155.81399999999999</v>
      </c>
      <c r="D147" s="169">
        <f>+G147</f>
        <v>141.72399999999999</v>
      </c>
      <c r="E147" s="177">
        <v>155.81399999999999</v>
      </c>
      <c r="F147" s="182"/>
      <c r="G147" s="177">
        <v>141.72399999999999</v>
      </c>
      <c r="I147" s="174">
        <v>109.3</v>
      </c>
      <c r="J147" s="166">
        <v>1</v>
      </c>
      <c r="K147" s="166">
        <v>2002</v>
      </c>
      <c r="L147" s="175">
        <v>17523</v>
      </c>
      <c r="M147" s="174">
        <v>466.5</v>
      </c>
      <c r="N147" s="174">
        <f t="shared" si="4"/>
        <v>661.15598124428186</v>
      </c>
      <c r="O147" s="175">
        <v>6856</v>
      </c>
      <c r="P147" s="174">
        <v>820.40000000000009</v>
      </c>
      <c r="Q147" s="174">
        <f t="shared" si="2"/>
        <v>1162.7274748398906</v>
      </c>
      <c r="R147" s="175">
        <v>9371</v>
      </c>
      <c r="S147" s="174">
        <v>197.9</v>
      </c>
      <c r="T147" s="174">
        <f t="shared" si="3"/>
        <v>280.47753202195798</v>
      </c>
    </row>
    <row r="148" spans="1:20" x14ac:dyDescent="0.2">
      <c r="A148" s="169">
        <v>2</v>
      </c>
      <c r="B148" s="169"/>
      <c r="C148" s="169">
        <f>+E148-E147</f>
        <v>146.54300000000003</v>
      </c>
      <c r="D148" s="169">
        <f>+G148-G147</f>
        <v>133.19</v>
      </c>
      <c r="E148" s="169">
        <v>302.35700000000003</v>
      </c>
      <c r="G148" s="169">
        <v>274.91399999999999</v>
      </c>
      <c r="I148" s="174">
        <v>110</v>
      </c>
      <c r="J148" s="166">
        <v>2</v>
      </c>
      <c r="L148" s="175">
        <v>17469</v>
      </c>
      <c r="M148" s="174">
        <v>408.5</v>
      </c>
      <c r="N148" s="174">
        <f t="shared" si="4"/>
        <v>575.27012500000012</v>
      </c>
      <c r="O148" s="175">
        <v>9323</v>
      </c>
      <c r="P148" s="174">
        <v>689.09999999999991</v>
      </c>
      <c r="Q148" s="174">
        <f t="shared" si="2"/>
        <v>970.42507499999999</v>
      </c>
      <c r="R148" s="175">
        <v>14749</v>
      </c>
      <c r="S148" s="174">
        <v>233.49999999999997</v>
      </c>
      <c r="T148" s="174">
        <f t="shared" si="3"/>
        <v>328.82637500000004</v>
      </c>
    </row>
    <row r="149" spans="1:20" x14ac:dyDescent="0.2">
      <c r="A149" s="169">
        <v>3</v>
      </c>
      <c r="C149" s="169">
        <f>+E149-E148</f>
        <v>146.23099999999999</v>
      </c>
      <c r="D149" s="169">
        <f>+G149-G148</f>
        <v>127.14100000000002</v>
      </c>
      <c r="E149" s="169">
        <v>448.58800000000002</v>
      </c>
      <c r="G149" s="169">
        <v>402.05500000000001</v>
      </c>
      <c r="I149" s="174">
        <v>109.6</v>
      </c>
      <c r="J149" s="166">
        <v>3</v>
      </c>
      <c r="L149" s="175">
        <v>19641</v>
      </c>
      <c r="M149" s="174">
        <v>503</v>
      </c>
      <c r="N149" s="174">
        <f t="shared" si="4"/>
        <v>710.93496806569351</v>
      </c>
      <c r="O149" s="175">
        <v>17422</v>
      </c>
      <c r="P149" s="174">
        <v>895.90000000000009</v>
      </c>
      <c r="Q149" s="174">
        <f t="shared" si="2"/>
        <v>1266.2557413321172</v>
      </c>
      <c r="R149" s="175">
        <v>14722</v>
      </c>
      <c r="S149" s="174">
        <v>184.5</v>
      </c>
      <c r="T149" s="174">
        <f t="shared" si="3"/>
        <v>260.77038093065698</v>
      </c>
    </row>
    <row r="150" spans="1:20" x14ac:dyDescent="0.2">
      <c r="A150" s="169">
        <v>4</v>
      </c>
      <c r="C150" s="169">
        <f>+E150-E149</f>
        <v>137.96699999999993</v>
      </c>
      <c r="D150" s="169">
        <f>+G150-G149</f>
        <v>124.64100000000002</v>
      </c>
      <c r="E150" s="177">
        <v>586.55499999999995</v>
      </c>
      <c r="F150" s="182"/>
      <c r="G150" s="177">
        <v>526.69600000000003</v>
      </c>
      <c r="I150" s="174">
        <v>111</v>
      </c>
      <c r="J150" s="166">
        <v>4</v>
      </c>
      <c r="L150" s="175">
        <v>17442</v>
      </c>
      <c r="M150" s="174">
        <v>464.20000000000005</v>
      </c>
      <c r="N150" s="174">
        <f t="shared" si="4"/>
        <v>647.82037387387402</v>
      </c>
      <c r="O150" s="175">
        <v>8123</v>
      </c>
      <c r="P150" s="174">
        <v>938.5</v>
      </c>
      <c r="Q150" s="174">
        <f t="shared" si="2"/>
        <v>1309.7359346846849</v>
      </c>
      <c r="R150" s="175">
        <v>14689</v>
      </c>
      <c r="S150" s="174">
        <v>194.00000000000011</v>
      </c>
      <c r="T150" s="174">
        <f t="shared" si="3"/>
        <v>270.73923423423446</v>
      </c>
    </row>
    <row r="151" spans="1:20" x14ac:dyDescent="0.2">
      <c r="A151" s="169">
        <v>1</v>
      </c>
      <c r="B151" s="169">
        <v>2003</v>
      </c>
      <c r="C151" s="177">
        <f>+E151</f>
        <v>165.679</v>
      </c>
      <c r="D151" s="169">
        <f>+G151</f>
        <v>150.81100000000001</v>
      </c>
      <c r="E151" s="177">
        <v>165.679</v>
      </c>
      <c r="F151" s="182"/>
      <c r="G151" s="177">
        <v>150.81100000000001</v>
      </c>
      <c r="I151" s="174">
        <v>114.6</v>
      </c>
      <c r="J151" s="166">
        <v>1</v>
      </c>
      <c r="K151" s="166">
        <v>2003</v>
      </c>
      <c r="L151" s="175">
        <v>22781</v>
      </c>
      <c r="M151" s="174">
        <v>626.79999999999995</v>
      </c>
      <c r="N151" s="174">
        <f t="shared" si="4"/>
        <v>847.26021815008733</v>
      </c>
      <c r="O151" s="175">
        <v>6823</v>
      </c>
      <c r="P151" s="174">
        <v>1087.2</v>
      </c>
      <c r="Q151" s="174">
        <f t="shared" si="2"/>
        <v>1469.5936649214664</v>
      </c>
      <c r="R151" s="175">
        <v>10626</v>
      </c>
      <c r="S151" s="174">
        <v>183</v>
      </c>
      <c r="T151" s="174">
        <f t="shared" si="3"/>
        <v>247.3653795811519</v>
      </c>
    </row>
    <row r="152" spans="1:20" x14ac:dyDescent="0.2">
      <c r="A152" s="169">
        <v>2</v>
      </c>
      <c r="B152" s="169"/>
      <c r="C152" s="177">
        <f>+E152-E151</f>
        <v>135.02099999999999</v>
      </c>
      <c r="D152" s="169">
        <f>+G152-G151</f>
        <v>121.10099999999997</v>
      </c>
      <c r="E152" s="169">
        <v>300.7</v>
      </c>
      <c r="G152" s="169">
        <v>271.91199999999998</v>
      </c>
      <c r="I152" s="174">
        <v>112.3</v>
      </c>
      <c r="J152" s="166">
        <v>2</v>
      </c>
      <c r="L152" s="175">
        <v>15417</v>
      </c>
      <c r="M152" s="174">
        <v>406.10000000000014</v>
      </c>
      <c r="N152" s="174">
        <f t="shared" si="4"/>
        <v>560.17752226179903</v>
      </c>
      <c r="O152" s="175">
        <v>5618</v>
      </c>
      <c r="P152" s="174">
        <v>817.8</v>
      </c>
      <c r="Q152" s="174">
        <f t="shared" si="2"/>
        <v>1128.0797284060554</v>
      </c>
      <c r="R152" s="175">
        <v>12719</v>
      </c>
      <c r="S152" s="174">
        <v>203.2</v>
      </c>
      <c r="T152" s="174">
        <f t="shared" si="3"/>
        <v>280.29567230632239</v>
      </c>
    </row>
    <row r="153" spans="1:20" x14ac:dyDescent="0.2">
      <c r="A153" s="169">
        <v>3</v>
      </c>
      <c r="B153" s="169"/>
      <c r="C153" s="177">
        <f>+E153-E152</f>
        <v>134.11099999999999</v>
      </c>
      <c r="D153" s="169">
        <f>+G153-G152</f>
        <v>119.49100000000004</v>
      </c>
      <c r="E153" s="169">
        <v>434.81099999999998</v>
      </c>
      <c r="G153" s="169">
        <v>391.40300000000002</v>
      </c>
      <c r="I153" s="174">
        <v>111.9</v>
      </c>
      <c r="J153" s="166">
        <v>3</v>
      </c>
      <c r="L153" s="175">
        <v>18848</v>
      </c>
      <c r="M153" s="174">
        <v>430.5</v>
      </c>
      <c r="N153" s="174">
        <f t="shared" si="4"/>
        <v>595.95780831099205</v>
      </c>
      <c r="O153" s="175">
        <v>16056</v>
      </c>
      <c r="P153" s="174">
        <v>860.19999999999982</v>
      </c>
      <c r="Q153" s="174">
        <f t="shared" si="2"/>
        <v>1190.8081456657728</v>
      </c>
      <c r="R153" s="175">
        <v>13690</v>
      </c>
      <c r="S153" s="174">
        <v>188.8</v>
      </c>
      <c r="T153" s="174">
        <f t="shared" si="3"/>
        <v>261.36314566577306</v>
      </c>
    </row>
    <row r="154" spans="1:20" x14ac:dyDescent="0.2">
      <c r="A154" s="169">
        <v>4</v>
      </c>
      <c r="B154" s="169"/>
      <c r="C154" s="177">
        <f>+E154-E153</f>
        <v>142.01299999999998</v>
      </c>
      <c r="D154" s="169">
        <f>+G154-G153</f>
        <v>125.95899999999995</v>
      </c>
      <c r="E154" s="169">
        <v>576.82399999999996</v>
      </c>
      <c r="G154" s="169">
        <v>517.36199999999997</v>
      </c>
      <c r="I154" s="174">
        <v>112.6</v>
      </c>
      <c r="J154" s="166">
        <v>4</v>
      </c>
      <c r="L154" s="175">
        <v>16096</v>
      </c>
      <c r="M154" s="174">
        <v>471.89999999999986</v>
      </c>
      <c r="N154" s="174">
        <f t="shared" si="4"/>
        <v>649.20825266429836</v>
      </c>
      <c r="O154" s="175">
        <v>7652</v>
      </c>
      <c r="P154" s="174">
        <v>762.30000000000018</v>
      </c>
      <c r="Q154" s="174">
        <f t="shared" si="2"/>
        <v>1048.7210235346363</v>
      </c>
      <c r="R154" s="175">
        <v>11607</v>
      </c>
      <c r="S154" s="174">
        <v>220.90000000000009</v>
      </c>
      <c r="T154" s="174">
        <f t="shared" si="3"/>
        <v>303.89934946714055</v>
      </c>
    </row>
    <row r="155" spans="1:20" x14ac:dyDescent="0.2">
      <c r="A155" s="169">
        <v>1</v>
      </c>
      <c r="B155" s="169">
        <v>2004</v>
      </c>
      <c r="C155" s="177">
        <f>+E155</f>
        <v>168.309</v>
      </c>
      <c r="D155" s="169">
        <f>+G155</f>
        <v>153.04300000000001</v>
      </c>
      <c r="E155" s="169">
        <v>168.309</v>
      </c>
      <c r="G155" s="169">
        <v>153.04300000000001</v>
      </c>
      <c r="I155" s="174">
        <v>112.6</v>
      </c>
      <c r="J155" s="166">
        <v>1</v>
      </c>
      <c r="K155" s="166">
        <v>2004</v>
      </c>
      <c r="L155" s="175">
        <v>17805</v>
      </c>
      <c r="M155" s="174">
        <v>517.69999999999993</v>
      </c>
      <c r="N155" s="174">
        <f t="shared" si="4"/>
        <v>712.21680950266432</v>
      </c>
      <c r="O155" s="175">
        <v>7033</v>
      </c>
      <c r="P155" s="174">
        <v>735.2</v>
      </c>
      <c r="Q155" s="174">
        <f t="shared" si="2"/>
        <v>1011.4386678507996</v>
      </c>
      <c r="R155" s="175">
        <v>8913</v>
      </c>
      <c r="S155" s="174">
        <v>178.89999999999998</v>
      </c>
      <c r="T155" s="174">
        <f t="shared" si="3"/>
        <v>246.11857682060392</v>
      </c>
    </row>
    <row r="156" spans="1:20" x14ac:dyDescent="0.2">
      <c r="A156" s="169">
        <v>2</v>
      </c>
      <c r="B156" s="169"/>
      <c r="C156" s="177">
        <f>+E156-E155</f>
        <v>140.26700000000002</v>
      </c>
      <c r="D156" s="169">
        <f>+G156-G155</f>
        <v>125.56799999999998</v>
      </c>
      <c r="E156" s="169">
        <v>308.57600000000002</v>
      </c>
      <c r="G156" s="169">
        <v>278.61099999999999</v>
      </c>
      <c r="I156" s="174">
        <v>113.4</v>
      </c>
      <c r="J156" s="166">
        <v>2</v>
      </c>
      <c r="L156" s="175">
        <v>13855</v>
      </c>
      <c r="M156" s="174">
        <v>344.69999999999993</v>
      </c>
      <c r="N156" s="174">
        <f t="shared" si="4"/>
        <v>470.869623015873</v>
      </c>
      <c r="O156" s="175">
        <v>6436</v>
      </c>
      <c r="P156" s="174">
        <v>708.3</v>
      </c>
      <c r="Q156" s="174">
        <f t="shared" si="2"/>
        <v>967.55716269841275</v>
      </c>
      <c r="R156" s="175">
        <v>10802</v>
      </c>
      <c r="S156" s="174">
        <v>228.40000000000003</v>
      </c>
      <c r="T156" s="174">
        <f t="shared" si="3"/>
        <v>312.00064373897715</v>
      </c>
    </row>
    <row r="157" spans="1:20" x14ac:dyDescent="0.2">
      <c r="A157" s="169">
        <v>3</v>
      </c>
      <c r="B157" s="169"/>
      <c r="C157" s="177">
        <f>+E157-E156</f>
        <v>137.76999999999998</v>
      </c>
      <c r="D157" s="169">
        <f>+G157-G156</f>
        <v>123.12100000000004</v>
      </c>
      <c r="E157" s="169">
        <v>446.346</v>
      </c>
      <c r="G157" s="169">
        <v>401.73200000000003</v>
      </c>
      <c r="I157" s="174">
        <v>113</v>
      </c>
      <c r="J157" s="166">
        <v>3</v>
      </c>
      <c r="L157" s="175">
        <v>17630</v>
      </c>
      <c r="M157" s="174">
        <v>454.09999999999991</v>
      </c>
      <c r="N157" s="174">
        <f t="shared" si="4"/>
        <v>622.5088119469026</v>
      </c>
      <c r="O157" s="175">
        <v>11805</v>
      </c>
      <c r="P157" s="174">
        <v>652.69999999999982</v>
      </c>
      <c r="Q157" s="174">
        <f t="shared" si="2"/>
        <v>894.76217035398224</v>
      </c>
      <c r="R157" s="175">
        <v>11365</v>
      </c>
      <c r="S157" s="174">
        <v>160.7999999999999</v>
      </c>
      <c r="T157" s="174">
        <f t="shared" si="3"/>
        <v>220.43474336283177</v>
      </c>
    </row>
    <row r="158" spans="1:20" x14ac:dyDescent="0.2">
      <c r="A158" s="169">
        <v>4</v>
      </c>
      <c r="B158" s="169"/>
      <c r="C158" s="177">
        <f>+E158-E157</f>
        <v>137.68499999999995</v>
      </c>
      <c r="D158" s="169">
        <f>+G158-G157</f>
        <v>124.50600000000003</v>
      </c>
      <c r="E158" s="169">
        <v>584.03099999999995</v>
      </c>
      <c r="G158" s="169">
        <v>526.23800000000006</v>
      </c>
      <c r="I158" s="174">
        <v>114</v>
      </c>
      <c r="J158" s="166">
        <v>4</v>
      </c>
      <c r="L158" s="175">
        <v>16674</v>
      </c>
      <c r="M158" s="174">
        <v>428.20000000000027</v>
      </c>
      <c r="N158" s="174">
        <f t="shared" si="4"/>
        <v>581.85431140350931</v>
      </c>
      <c r="O158" s="175">
        <v>10088</v>
      </c>
      <c r="P158" s="174">
        <v>709.40000000000055</v>
      </c>
      <c r="Q158" s="174">
        <f t="shared" si="2"/>
        <v>963.95947807017637</v>
      </c>
      <c r="R158" s="175">
        <v>9276</v>
      </c>
      <c r="S158" s="174">
        <v>162.90000000000009</v>
      </c>
      <c r="T158" s="174">
        <f t="shared" si="3"/>
        <v>221.35466447368438</v>
      </c>
    </row>
    <row r="159" spans="1:20" x14ac:dyDescent="0.2">
      <c r="A159" s="169">
        <v>1</v>
      </c>
      <c r="B159" s="169">
        <v>2005</v>
      </c>
      <c r="C159" s="177">
        <f>+E159</f>
        <v>147.31100000000001</v>
      </c>
      <c r="D159" s="169">
        <f>+G159</f>
        <v>133.756</v>
      </c>
      <c r="E159" s="169">
        <v>147.31100000000001</v>
      </c>
      <c r="G159" s="169">
        <v>133.756</v>
      </c>
      <c r="I159" s="174">
        <v>113.7</v>
      </c>
      <c r="J159" s="166">
        <v>1</v>
      </c>
      <c r="K159" s="166">
        <v>2005</v>
      </c>
      <c r="L159" s="175">
        <v>15151</v>
      </c>
      <c r="M159" s="174">
        <v>418</v>
      </c>
      <c r="N159" s="174">
        <f t="shared" si="4"/>
        <v>569.49283201407218</v>
      </c>
      <c r="O159" s="175">
        <v>7287</v>
      </c>
      <c r="P159" s="174">
        <v>715.2</v>
      </c>
      <c r="Q159" s="174">
        <f t="shared" si="2"/>
        <v>974.40496042216375</v>
      </c>
      <c r="R159" s="175">
        <v>7498</v>
      </c>
      <c r="S159" s="174">
        <v>159.69999999999999</v>
      </c>
      <c r="T159" s="174">
        <f t="shared" si="3"/>
        <v>217.57895998240988</v>
      </c>
    </row>
    <row r="160" spans="1:20" x14ac:dyDescent="0.2">
      <c r="A160" s="169">
        <v>2</v>
      </c>
      <c r="B160" s="169"/>
      <c r="C160" s="177">
        <f>+E160-E159</f>
        <v>143.51699999999997</v>
      </c>
      <c r="D160" s="169">
        <f>+G160-G159</f>
        <v>128.79</v>
      </c>
      <c r="E160" s="169">
        <v>290.82799999999997</v>
      </c>
      <c r="G160" s="169">
        <v>262.54599999999999</v>
      </c>
      <c r="I160" s="174">
        <v>115.2</v>
      </c>
      <c r="J160" s="166">
        <v>2</v>
      </c>
      <c r="L160" s="175">
        <v>14855</v>
      </c>
      <c r="M160" s="174">
        <v>323.20000000000005</v>
      </c>
      <c r="N160" s="174">
        <f t="shared" si="4"/>
        <v>434.60159722222232</v>
      </c>
      <c r="O160" s="175">
        <v>6172</v>
      </c>
      <c r="P160" s="174">
        <v>745.5</v>
      </c>
      <c r="Q160" s="174">
        <f t="shared" si="2"/>
        <v>1002.4612955729167</v>
      </c>
      <c r="R160" s="175">
        <v>11610</v>
      </c>
      <c r="S160" s="174">
        <v>152.50000000000006</v>
      </c>
      <c r="T160" s="174">
        <f t="shared" si="3"/>
        <v>205.064181857639</v>
      </c>
    </row>
    <row r="161" spans="1:20" x14ac:dyDescent="0.2">
      <c r="A161" s="169">
        <v>3</v>
      </c>
      <c r="B161" s="169"/>
      <c r="C161" s="177">
        <f>+E161-E160</f>
        <v>134.78300000000002</v>
      </c>
      <c r="D161" s="169">
        <f>+G161-G160</f>
        <v>120.57100000000003</v>
      </c>
      <c r="E161" s="169">
        <v>425.61099999999999</v>
      </c>
      <c r="G161" s="169">
        <v>383.11700000000002</v>
      </c>
      <c r="I161" s="174">
        <v>115.1</v>
      </c>
      <c r="J161" s="166">
        <v>3</v>
      </c>
      <c r="L161" s="175">
        <v>13014</v>
      </c>
      <c r="M161" s="174">
        <v>448.29999999999995</v>
      </c>
      <c r="N161" s="174">
        <f t="shared" si="4"/>
        <v>603.34519765421373</v>
      </c>
      <c r="O161" s="175">
        <v>6734</v>
      </c>
      <c r="P161" s="174">
        <v>832.10000000000014</v>
      </c>
      <c r="Q161" s="174">
        <f t="shared" si="2"/>
        <v>1119.8829778453523</v>
      </c>
      <c r="R161" s="175">
        <v>8742</v>
      </c>
      <c r="S161" s="174">
        <v>152.99999999999994</v>
      </c>
      <c r="T161" s="174">
        <f t="shared" si="3"/>
        <v>205.91526933101645</v>
      </c>
    </row>
    <row r="162" spans="1:20" x14ac:dyDescent="0.2">
      <c r="A162" s="169">
        <v>4</v>
      </c>
      <c r="B162" s="169"/>
      <c r="C162" s="177">
        <f>+E162-E161</f>
        <v>137.37</v>
      </c>
      <c r="D162" s="169">
        <f>+G162-G161</f>
        <v>124.38200000000001</v>
      </c>
      <c r="E162" s="169">
        <v>562.98099999999999</v>
      </c>
      <c r="G162" s="169">
        <v>507.49900000000002</v>
      </c>
      <c r="I162" s="174">
        <v>116</v>
      </c>
      <c r="J162" s="166">
        <v>4</v>
      </c>
      <c r="L162" s="175">
        <v>22745</v>
      </c>
      <c r="M162" s="174">
        <v>478.79999999999995</v>
      </c>
      <c r="N162" s="174">
        <f t="shared" si="4"/>
        <v>639.39406034482761</v>
      </c>
      <c r="O162" s="175">
        <v>8144</v>
      </c>
      <c r="P162" s="174">
        <v>795.79999999999973</v>
      </c>
      <c r="Q162" s="174">
        <f t="shared" si="2"/>
        <v>1062.7188663793102</v>
      </c>
      <c r="R162" s="175">
        <v>11407</v>
      </c>
      <c r="S162" s="174">
        <v>142.00000000000006</v>
      </c>
      <c r="T162" s="174">
        <f t="shared" si="3"/>
        <v>189.62814655172426</v>
      </c>
    </row>
    <row r="163" spans="1:20" x14ac:dyDescent="0.2">
      <c r="A163" s="169">
        <v>1</v>
      </c>
      <c r="B163" s="169">
        <v>2006</v>
      </c>
      <c r="C163" s="177">
        <f>+E163</f>
        <v>155.21299999999999</v>
      </c>
      <c r="D163" s="169">
        <f>+G163</f>
        <v>139.72800000000001</v>
      </c>
      <c r="E163" s="169">
        <v>155.21299999999999</v>
      </c>
      <c r="G163" s="169">
        <v>139.72800000000001</v>
      </c>
      <c r="I163" s="174">
        <v>116.6</v>
      </c>
      <c r="J163" s="166">
        <v>1</v>
      </c>
      <c r="K163" s="166">
        <v>2006</v>
      </c>
      <c r="L163" s="175">
        <v>18196</v>
      </c>
      <c r="M163" s="174">
        <v>585</v>
      </c>
      <c r="N163" s="174">
        <f t="shared" si="4"/>
        <v>777.19457547169839</v>
      </c>
      <c r="O163" s="175">
        <v>6106</v>
      </c>
      <c r="P163" s="174">
        <v>947.2</v>
      </c>
      <c r="Q163" s="174">
        <f t="shared" si="2"/>
        <v>1258.3909433962269</v>
      </c>
      <c r="R163" s="175">
        <v>7106</v>
      </c>
      <c r="S163" s="174">
        <v>150.6</v>
      </c>
      <c r="T163" s="174">
        <f t="shared" si="3"/>
        <v>200.07778301886796</v>
      </c>
    </row>
    <row r="164" spans="1:20" x14ac:dyDescent="0.2">
      <c r="A164" s="169">
        <v>2</v>
      </c>
      <c r="B164" s="169"/>
      <c r="C164" s="177">
        <f>+E164-E163</f>
        <v>147.44399999999999</v>
      </c>
      <c r="D164" s="169">
        <f>+G164-G163</f>
        <v>129.572</v>
      </c>
      <c r="E164" s="169">
        <v>302.65699999999998</v>
      </c>
      <c r="G164" s="169">
        <v>269.3</v>
      </c>
      <c r="I164" s="174">
        <v>117.9</v>
      </c>
      <c r="J164" s="166">
        <v>2</v>
      </c>
      <c r="L164" s="175">
        <v>13943</v>
      </c>
      <c r="M164" s="174">
        <v>433.79999999999995</v>
      </c>
      <c r="N164" s="174">
        <f t="shared" si="4"/>
        <v>569.96500000000003</v>
      </c>
      <c r="O164" s="175">
        <v>5246</v>
      </c>
      <c r="P164" s="174">
        <v>811.2</v>
      </c>
      <c r="Q164" s="174">
        <f t="shared" si="2"/>
        <v>1065.8266666666668</v>
      </c>
      <c r="R164" s="175">
        <v>9193</v>
      </c>
      <c r="S164" s="174">
        <v>176.1</v>
      </c>
      <c r="T164" s="174">
        <f t="shared" si="3"/>
        <v>231.37583333333336</v>
      </c>
    </row>
    <row r="165" spans="1:20" x14ac:dyDescent="0.2">
      <c r="A165" s="169">
        <v>3</v>
      </c>
      <c r="B165" s="169"/>
      <c r="C165" s="177">
        <f>+E165-E164</f>
        <v>143.45100000000002</v>
      </c>
      <c r="D165" s="169">
        <f>+G165-G164</f>
        <v>126.00599999999997</v>
      </c>
      <c r="E165" s="169">
        <v>446.108</v>
      </c>
      <c r="G165" s="169">
        <v>395.30599999999998</v>
      </c>
      <c r="I165" s="178">
        <v>117.3</v>
      </c>
      <c r="J165" s="166">
        <v>3</v>
      </c>
      <c r="L165" s="175">
        <v>13690</v>
      </c>
      <c r="M165" s="174">
        <v>496.59999999999991</v>
      </c>
      <c r="N165" s="174">
        <f t="shared" si="4"/>
        <v>655.81470161977836</v>
      </c>
      <c r="O165" s="175">
        <v>9450</v>
      </c>
      <c r="P165" s="174">
        <v>855.90000000000009</v>
      </c>
      <c r="Q165" s="174">
        <f t="shared" si="2"/>
        <v>1130.3097122762151</v>
      </c>
      <c r="R165" s="175">
        <v>10840</v>
      </c>
      <c r="S165" s="174">
        <v>167.10000000000002</v>
      </c>
      <c r="T165" s="174">
        <f t="shared" si="3"/>
        <v>220.67385549872131</v>
      </c>
    </row>
    <row r="166" spans="1:20" x14ac:dyDescent="0.2">
      <c r="A166" s="169">
        <v>4</v>
      </c>
      <c r="B166" s="169"/>
      <c r="C166" s="177">
        <f>+E166-E165</f>
        <v>148.56090999999998</v>
      </c>
      <c r="D166" s="169">
        <f>+G166-G165</f>
        <v>131.19532799999996</v>
      </c>
      <c r="E166" s="169">
        <v>594.66890999999998</v>
      </c>
      <c r="G166" s="169">
        <v>526.50132799999994</v>
      </c>
      <c r="I166" s="178">
        <v>119</v>
      </c>
      <c r="J166" s="166">
        <v>4</v>
      </c>
      <c r="L166" s="175">
        <v>16682</v>
      </c>
      <c r="M166" s="174">
        <v>525.60000000000014</v>
      </c>
      <c r="N166" s="174">
        <f t="shared" si="4"/>
        <v>684.19648739495824</v>
      </c>
      <c r="O166" s="175">
        <v>10233</v>
      </c>
      <c r="P166" s="174">
        <v>826</v>
      </c>
      <c r="Q166" s="174">
        <f t="shared" si="2"/>
        <v>1075.2402941176472</v>
      </c>
      <c r="R166" s="175">
        <v>9520</v>
      </c>
      <c r="S166" s="174">
        <v>144.09999999999997</v>
      </c>
      <c r="T166" s="174">
        <f t="shared" si="3"/>
        <v>187.58126680672268</v>
      </c>
    </row>
    <row r="167" spans="1:20" x14ac:dyDescent="0.2">
      <c r="A167" s="169">
        <v>1</v>
      </c>
      <c r="B167" s="169">
        <v>2007</v>
      </c>
      <c r="C167" s="177">
        <f>+E167</f>
        <v>158.09976</v>
      </c>
      <c r="D167" s="169">
        <f>+G167</f>
        <v>141.08400800000001</v>
      </c>
      <c r="E167" s="169">
        <v>158.09976</v>
      </c>
      <c r="G167" s="169">
        <v>141.08400800000001</v>
      </c>
      <c r="I167" s="178">
        <v>117.5</v>
      </c>
      <c r="J167" s="166">
        <v>1</v>
      </c>
      <c r="K167" s="166">
        <v>2007</v>
      </c>
      <c r="L167" s="175">
        <v>18623</v>
      </c>
      <c r="M167" s="174">
        <v>649.6</v>
      </c>
      <c r="N167" s="174">
        <f t="shared" si="4"/>
        <v>856.4077617021278</v>
      </c>
      <c r="O167" s="175">
        <v>7737</v>
      </c>
      <c r="P167" s="174">
        <v>1092.1999999999998</v>
      </c>
      <c r="Q167" s="174">
        <f t="shared" si="2"/>
        <v>1439.91465106383</v>
      </c>
      <c r="R167" s="175">
        <v>8112</v>
      </c>
      <c r="S167" s="174">
        <v>167.4</v>
      </c>
      <c r="T167" s="174">
        <f t="shared" si="3"/>
        <v>220.69374893617027</v>
      </c>
    </row>
    <row r="168" spans="1:20" x14ac:dyDescent="0.2">
      <c r="A168" s="169">
        <v>2</v>
      </c>
      <c r="B168" s="169"/>
      <c r="C168" s="177">
        <f>+E168-E167</f>
        <v>161.61276000000004</v>
      </c>
      <c r="D168" s="169">
        <f>+G168-G167</f>
        <v>142.897008</v>
      </c>
      <c r="E168" s="169">
        <v>319.71252000000004</v>
      </c>
      <c r="G168" s="169">
        <v>283.98101600000001</v>
      </c>
      <c r="I168" s="178">
        <v>118.3</v>
      </c>
      <c r="J168" s="166">
        <v>2</v>
      </c>
      <c r="L168" s="175">
        <v>15831</v>
      </c>
      <c r="M168" s="174">
        <v>514.19999999999993</v>
      </c>
      <c r="N168" s="174">
        <f t="shared" si="4"/>
        <v>673.31729923922239</v>
      </c>
      <c r="O168" s="175">
        <v>5067</v>
      </c>
      <c r="P168" s="174">
        <v>1041.6999999999998</v>
      </c>
      <c r="Q168" s="174">
        <f t="shared" ref="Q168:Q189" si="5">P168/I168*$I$69</f>
        <v>1364.0502345731193</v>
      </c>
      <c r="R168" s="175">
        <v>10608</v>
      </c>
      <c r="S168" s="174">
        <v>160.99999999999997</v>
      </c>
      <c r="T168" s="174">
        <f t="shared" ref="T168:T189" si="6">S168/I168*$I$69</f>
        <v>210.8208579881657</v>
      </c>
    </row>
    <row r="169" spans="1:20" x14ac:dyDescent="0.2">
      <c r="A169" s="169">
        <v>3</v>
      </c>
      <c r="B169" s="169"/>
      <c r="C169" s="177">
        <f>+E169-E168</f>
        <v>135.82058024999998</v>
      </c>
      <c r="D169" s="169">
        <f>+G169-G168</f>
        <v>119.75308425000003</v>
      </c>
      <c r="E169" s="169">
        <v>455.53310025000002</v>
      </c>
      <c r="G169" s="169">
        <v>403.73410025000004</v>
      </c>
      <c r="I169" s="178">
        <v>117.8</v>
      </c>
      <c r="J169" s="166">
        <v>3</v>
      </c>
      <c r="L169" s="175">
        <v>18428</v>
      </c>
      <c r="M169" s="174">
        <v>654.20000000000027</v>
      </c>
      <c r="N169" s="174">
        <f t="shared" si="4"/>
        <v>860.27577674023826</v>
      </c>
      <c r="O169" s="175">
        <v>6417</v>
      </c>
      <c r="P169" s="174">
        <v>679.60000000000036</v>
      </c>
      <c r="Q169" s="174">
        <f t="shared" si="5"/>
        <v>893.67688455008556</v>
      </c>
      <c r="R169" s="175">
        <v>10319</v>
      </c>
      <c r="S169" s="174">
        <v>152.89999999999998</v>
      </c>
      <c r="T169" s="174">
        <f t="shared" si="6"/>
        <v>201.06414898132428</v>
      </c>
    </row>
    <row r="170" spans="1:20" x14ac:dyDescent="0.2">
      <c r="A170" s="169">
        <v>4</v>
      </c>
      <c r="B170" s="169"/>
      <c r="C170" s="177">
        <f>+E170-E169</f>
        <v>149.79139924999998</v>
      </c>
      <c r="D170" s="169">
        <f>+G170-G169</f>
        <v>133.49839924999998</v>
      </c>
      <c r="E170" s="169">
        <v>605.3244995</v>
      </c>
      <c r="G170" s="169">
        <v>537.23249950000002</v>
      </c>
      <c r="I170" s="178">
        <v>120.8</v>
      </c>
      <c r="J170" s="166">
        <v>4</v>
      </c>
      <c r="L170" s="175">
        <v>15870</v>
      </c>
      <c r="M170" s="174">
        <v>567.19999999999959</v>
      </c>
      <c r="N170" s="174">
        <f t="shared" si="4"/>
        <v>727.34713576158913</v>
      </c>
      <c r="O170" s="175">
        <v>5114</v>
      </c>
      <c r="P170" s="174">
        <v>911.69999999999982</v>
      </c>
      <c r="Q170" s="174">
        <f t="shared" si="5"/>
        <v>1169.1156270695365</v>
      </c>
      <c r="R170" s="175">
        <v>8645</v>
      </c>
      <c r="S170" s="174">
        <v>142.80000000000007</v>
      </c>
      <c r="T170" s="174">
        <f t="shared" si="6"/>
        <v>183.1191307947021</v>
      </c>
    </row>
    <row r="171" spans="1:20" x14ac:dyDescent="0.2">
      <c r="A171" s="169">
        <v>1</v>
      </c>
      <c r="B171" s="169">
        <v>2008</v>
      </c>
      <c r="C171" s="177">
        <f>+E171</f>
        <v>164.64169099999998</v>
      </c>
      <c r="D171" s="169">
        <f>+G171</f>
        <v>148.61369099999999</v>
      </c>
      <c r="E171" s="169">
        <v>164.64169099999998</v>
      </c>
      <c r="G171" s="169">
        <v>148.61369099999999</v>
      </c>
      <c r="I171" s="178">
        <v>121.9</v>
      </c>
      <c r="J171" s="166">
        <v>1</v>
      </c>
      <c r="K171" s="166">
        <v>2008</v>
      </c>
      <c r="L171" s="175">
        <v>17004</v>
      </c>
      <c r="M171" s="174">
        <v>591.9</v>
      </c>
      <c r="N171" s="174">
        <f t="shared" si="4"/>
        <v>752.17185602953248</v>
      </c>
      <c r="O171" s="175">
        <v>6274</v>
      </c>
      <c r="P171" s="174">
        <v>963.6</v>
      </c>
      <c r="Q171" s="174">
        <f t="shared" si="5"/>
        <v>1224.5190073831011</v>
      </c>
      <c r="R171" s="175">
        <v>7939</v>
      </c>
      <c r="S171" s="174">
        <v>160.1</v>
      </c>
      <c r="T171" s="174">
        <f t="shared" si="6"/>
        <v>203.45111361771947</v>
      </c>
    </row>
    <row r="172" spans="1:20" x14ac:dyDescent="0.2">
      <c r="A172" s="169">
        <v>2</v>
      </c>
      <c r="B172" s="169"/>
      <c r="C172" s="177">
        <f>+E172-E171</f>
        <v>197.28657850000002</v>
      </c>
      <c r="D172" s="169">
        <f>+G172-G171</f>
        <v>175.71357850000001</v>
      </c>
      <c r="E172" s="169">
        <v>361.9282695</v>
      </c>
      <c r="G172" s="169">
        <v>324.3272695</v>
      </c>
      <c r="I172" s="178">
        <v>122</v>
      </c>
      <c r="J172" s="166">
        <v>2</v>
      </c>
      <c r="L172" s="175">
        <v>14987</v>
      </c>
      <c r="M172" s="174">
        <v>548.4</v>
      </c>
      <c r="N172" s="174">
        <f t="shared" ref="N172:N181" si="7">M172/I172*$I$69</f>
        <v>696.32190983606574</v>
      </c>
      <c r="O172" s="175">
        <v>5831</v>
      </c>
      <c r="P172" s="174">
        <v>1153.8000000000002</v>
      </c>
      <c r="Q172" s="174">
        <f t="shared" si="5"/>
        <v>1465.0186352459023</v>
      </c>
      <c r="R172" s="175">
        <v>10207</v>
      </c>
      <c r="S172" s="174">
        <v>188.4</v>
      </c>
      <c r="T172" s="174">
        <f t="shared" si="6"/>
        <v>239.21781147540989</v>
      </c>
    </row>
    <row r="173" spans="1:20" x14ac:dyDescent="0.2">
      <c r="A173" s="169">
        <v>3</v>
      </c>
      <c r="B173" s="169"/>
      <c r="C173" s="177">
        <f>+E173-E172</f>
        <v>159.71767174999997</v>
      </c>
      <c r="D173" s="169">
        <f>+G173-G172</f>
        <v>141.40667174999999</v>
      </c>
      <c r="E173" s="169">
        <v>521.64594124999996</v>
      </c>
      <c r="G173" s="169">
        <v>465.73394124999999</v>
      </c>
      <c r="I173" s="178">
        <v>123.1</v>
      </c>
      <c r="J173" s="166">
        <v>3</v>
      </c>
      <c r="L173" s="175">
        <v>19290</v>
      </c>
      <c r="M173" s="174">
        <v>722.70000000000027</v>
      </c>
      <c r="N173" s="174">
        <f t="shared" si="7"/>
        <v>909.43663891145468</v>
      </c>
      <c r="O173" s="175">
        <v>12252</v>
      </c>
      <c r="P173" s="174">
        <v>1486.4999999999995</v>
      </c>
      <c r="Q173" s="174">
        <f t="shared" si="5"/>
        <v>1870.5930036555644</v>
      </c>
      <c r="R173" s="175">
        <v>11007</v>
      </c>
      <c r="S173" s="174">
        <v>186.29999999999995</v>
      </c>
      <c r="T173" s="174">
        <f t="shared" si="6"/>
        <v>234.43758935824533</v>
      </c>
    </row>
    <row r="174" spans="1:20" x14ac:dyDescent="0.2">
      <c r="A174" s="169">
        <v>4</v>
      </c>
      <c r="B174" s="169"/>
      <c r="C174" s="177">
        <f>+E174-E173</f>
        <v>170.05706974999998</v>
      </c>
      <c r="D174" s="169">
        <f>+G174-G173</f>
        <v>152.54014889999991</v>
      </c>
      <c r="E174" s="169">
        <v>691.70301099999995</v>
      </c>
      <c r="G174" s="169">
        <v>618.27409014999989</v>
      </c>
      <c r="I174" s="174">
        <v>124.7</v>
      </c>
      <c r="J174" s="166">
        <v>4</v>
      </c>
      <c r="L174" s="175">
        <v>16976</v>
      </c>
      <c r="M174" s="174">
        <v>703.10000000000014</v>
      </c>
      <c r="N174" s="174">
        <f t="shared" si="7"/>
        <v>873.41991379310377</v>
      </c>
      <c r="O174" s="175">
        <v>7247</v>
      </c>
      <c r="P174" s="174">
        <v>1160</v>
      </c>
      <c r="Q174" s="174">
        <f t="shared" si="5"/>
        <v>1441.0000000000002</v>
      </c>
      <c r="R174" s="175">
        <v>10145</v>
      </c>
      <c r="S174" s="174">
        <v>269.60000000000014</v>
      </c>
      <c r="T174" s="174">
        <f t="shared" si="6"/>
        <v>334.90827586206922</v>
      </c>
    </row>
    <row r="175" spans="1:20" x14ac:dyDescent="0.2">
      <c r="A175" s="169">
        <v>1</v>
      </c>
      <c r="B175" s="169">
        <v>2009</v>
      </c>
      <c r="C175" s="177">
        <f>+E175</f>
        <v>191.37959499999999</v>
      </c>
      <c r="D175" s="169">
        <f>+G175</f>
        <v>172.55938714999999</v>
      </c>
      <c r="E175" s="169">
        <v>191.37959499999999</v>
      </c>
      <c r="G175" s="169">
        <v>172.55938714999999</v>
      </c>
      <c r="I175" s="174">
        <v>125</v>
      </c>
      <c r="J175" s="166">
        <v>1</v>
      </c>
      <c r="K175" s="166">
        <v>2009</v>
      </c>
      <c r="L175" s="175">
        <v>18865</v>
      </c>
      <c r="M175" s="174">
        <v>739.59999999999991</v>
      </c>
      <c r="N175" s="174">
        <f t="shared" si="7"/>
        <v>916.5566960000001</v>
      </c>
      <c r="O175" s="175">
        <v>6194</v>
      </c>
      <c r="P175" s="174">
        <v>1049.9000000000001</v>
      </c>
      <c r="Q175" s="174">
        <f t="shared" si="5"/>
        <v>1301.0990740000002</v>
      </c>
      <c r="R175" s="175">
        <v>8619</v>
      </c>
      <c r="S175" s="174">
        <v>213.2</v>
      </c>
      <c r="T175" s="174">
        <f t="shared" si="6"/>
        <v>264.21023200000002</v>
      </c>
    </row>
    <row r="176" spans="1:20" x14ac:dyDescent="0.2">
      <c r="A176" s="169">
        <v>2</v>
      </c>
      <c r="B176" s="169"/>
      <c r="C176" s="177">
        <f>+E176-E175</f>
        <v>178.90604250000001</v>
      </c>
      <c r="D176" s="169">
        <f>+G176-G175</f>
        <v>160.765232725</v>
      </c>
      <c r="E176" s="169">
        <v>370.28563750000001</v>
      </c>
      <c r="G176" s="169">
        <v>333.324619875</v>
      </c>
      <c r="I176" s="174">
        <v>125.7</v>
      </c>
      <c r="J176" s="166">
        <v>2</v>
      </c>
      <c r="L176" s="175">
        <v>14610</v>
      </c>
      <c r="M176" s="174">
        <v>603.80000000000018</v>
      </c>
      <c r="N176" s="174">
        <f t="shared" si="7"/>
        <v>744.09823786793982</v>
      </c>
      <c r="O176" s="175">
        <v>5486</v>
      </c>
      <c r="P176" s="174">
        <v>1077.9000000000001</v>
      </c>
      <c r="Q176" s="174">
        <f t="shared" si="5"/>
        <v>1328.3595405727926</v>
      </c>
      <c r="R176" s="175">
        <v>11296</v>
      </c>
      <c r="S176" s="174">
        <v>235.3</v>
      </c>
      <c r="T176" s="174">
        <f t="shared" si="6"/>
        <v>289.97402346857604</v>
      </c>
    </row>
    <row r="177" spans="1:20" x14ac:dyDescent="0.2">
      <c r="A177" s="169">
        <v>3</v>
      </c>
      <c r="B177" s="169"/>
      <c r="C177" s="177">
        <f>+E177-E176</f>
        <v>160.23377500000004</v>
      </c>
      <c r="D177" s="169">
        <f>+G177-G176</f>
        <v>142.31202375000004</v>
      </c>
      <c r="E177" s="169">
        <v>530.51941250000004</v>
      </c>
      <c r="G177" s="169">
        <v>475.63664362500003</v>
      </c>
      <c r="I177" s="174">
        <v>125.4</v>
      </c>
      <c r="J177" s="166">
        <v>3</v>
      </c>
      <c r="L177" s="175">
        <v>19220</v>
      </c>
      <c r="M177" s="174">
        <v>795.69999999999982</v>
      </c>
      <c r="N177" s="174">
        <f t="shared" si="7"/>
        <v>982.93379385964897</v>
      </c>
      <c r="O177" s="175">
        <v>13278</v>
      </c>
      <c r="P177" s="174">
        <v>1278.0999999999999</v>
      </c>
      <c r="Q177" s="174">
        <f t="shared" si="5"/>
        <v>1578.8458991228069</v>
      </c>
      <c r="R177" s="175">
        <v>11383</v>
      </c>
      <c r="S177" s="174">
        <v>231.79999999999995</v>
      </c>
      <c r="T177" s="174">
        <f t="shared" si="6"/>
        <v>286.34416666666664</v>
      </c>
    </row>
    <row r="178" spans="1:20" x14ac:dyDescent="0.2">
      <c r="A178" s="169">
        <v>4</v>
      </c>
      <c r="B178" s="169"/>
      <c r="C178" s="177">
        <f>+E178-E177</f>
        <v>179.8571388695641</v>
      </c>
      <c r="D178" s="169">
        <f>+G178-G177</f>
        <v>163.53199924456408</v>
      </c>
      <c r="E178" s="169">
        <v>710.37655136956414</v>
      </c>
      <c r="G178" s="169">
        <v>639.16864286956411</v>
      </c>
      <c r="I178" s="174">
        <v>126.6</v>
      </c>
      <c r="J178" s="166">
        <v>4</v>
      </c>
      <c r="L178" s="175">
        <v>16838</v>
      </c>
      <c r="M178" s="174">
        <v>759.30000000000018</v>
      </c>
      <c r="N178" s="174">
        <f t="shared" si="7"/>
        <v>929.07792061611417</v>
      </c>
      <c r="O178" s="175">
        <v>6227</v>
      </c>
      <c r="P178" s="174">
        <v>1192.2000000000003</v>
      </c>
      <c r="Q178" s="174">
        <f t="shared" si="5"/>
        <v>1458.7734715639817</v>
      </c>
      <c r="R178" s="175">
        <v>10409</v>
      </c>
      <c r="S178" s="174">
        <v>276.40000000000009</v>
      </c>
      <c r="T178" s="174">
        <f t="shared" si="6"/>
        <v>338.20247235387063</v>
      </c>
    </row>
    <row r="179" spans="1:20" x14ac:dyDescent="0.2">
      <c r="A179" s="169">
        <v>1</v>
      </c>
      <c r="B179" s="169">
        <v>2010</v>
      </c>
      <c r="C179" s="177">
        <f>+E179</f>
        <v>204.63648875000001</v>
      </c>
      <c r="D179" s="169">
        <f>+G179</f>
        <v>186.506571025</v>
      </c>
      <c r="E179" s="169">
        <v>204.63648875000001</v>
      </c>
      <c r="G179" s="169">
        <v>186.506571025</v>
      </c>
      <c r="I179" s="174">
        <v>128.69999999999999</v>
      </c>
      <c r="J179" s="166">
        <v>1</v>
      </c>
      <c r="K179" s="166">
        <v>2010</v>
      </c>
      <c r="L179" s="175">
        <v>40484.70904761905</v>
      </c>
      <c r="M179" s="174">
        <v>1693.2251146266974</v>
      </c>
      <c r="N179" s="174">
        <f t="shared" si="7"/>
        <v>2038.020741600895</v>
      </c>
      <c r="O179" s="175">
        <v>6690</v>
      </c>
      <c r="P179" s="174">
        <v>1648.5</v>
      </c>
      <c r="Q179" s="174">
        <f t="shared" si="5"/>
        <v>1984.1881410256417</v>
      </c>
      <c r="R179" s="175">
        <v>7227</v>
      </c>
      <c r="S179" s="174">
        <v>243.10000000000002</v>
      </c>
      <c r="T179" s="174">
        <f t="shared" si="6"/>
        <v>292.60305555555567</v>
      </c>
    </row>
    <row r="180" spans="1:20" x14ac:dyDescent="0.2">
      <c r="A180" s="169">
        <v>2</v>
      </c>
      <c r="B180" s="169"/>
      <c r="C180" s="177">
        <f>+E180-E179</f>
        <v>188.95691625000001</v>
      </c>
      <c r="D180" s="169">
        <f>+G180-G179</f>
        <v>170.46253197500002</v>
      </c>
      <c r="E180" s="169">
        <v>393.59340500000002</v>
      </c>
      <c r="G180" s="169">
        <v>356.96910300000002</v>
      </c>
      <c r="I180" s="174">
        <v>128.9</v>
      </c>
      <c r="J180" s="166">
        <v>2</v>
      </c>
      <c r="L180" s="175">
        <v>20633.79583333333</v>
      </c>
      <c r="M180" s="174">
        <v>864.97098885712671</v>
      </c>
      <c r="N180" s="174">
        <f t="shared" si="7"/>
        <v>1039.4918033854567</v>
      </c>
      <c r="O180" s="175">
        <v>5716</v>
      </c>
      <c r="P180" s="174">
        <v>1381.6999999999998</v>
      </c>
      <c r="Q180" s="174">
        <f t="shared" si="5"/>
        <v>1660.4786093871217</v>
      </c>
      <c r="R180" s="175">
        <v>10696</v>
      </c>
      <c r="S180" s="174">
        <v>201.60000000000002</v>
      </c>
      <c r="T180" s="174">
        <f t="shared" si="6"/>
        <v>242.2758107059737</v>
      </c>
    </row>
    <row r="181" spans="1:20" x14ac:dyDescent="0.2">
      <c r="A181" s="169">
        <v>3</v>
      </c>
      <c r="B181" s="169"/>
      <c r="C181" s="177">
        <f>+E181-E180</f>
        <v>172.07737875000004</v>
      </c>
      <c r="D181" s="169">
        <f>+G181-G180</f>
        <v>154.15607493749997</v>
      </c>
      <c r="E181" s="169">
        <v>565.67078375000006</v>
      </c>
      <c r="G181" s="169">
        <v>511.12517793749998</v>
      </c>
      <c r="I181" s="174">
        <v>127.8</v>
      </c>
      <c r="J181" s="166">
        <v>3</v>
      </c>
      <c r="L181" s="175">
        <v>19149.335833333338</v>
      </c>
      <c r="M181" s="174">
        <v>861.71516601647909</v>
      </c>
      <c r="N181" s="174">
        <f t="shared" si="7"/>
        <v>1044.4925045359762</v>
      </c>
      <c r="O181" s="175">
        <v>9089</v>
      </c>
      <c r="P181" s="174">
        <v>1286.1999999999998</v>
      </c>
      <c r="Q181" s="174">
        <f t="shared" si="5"/>
        <v>1559.0142918622851</v>
      </c>
      <c r="R181" s="175">
        <v>11532</v>
      </c>
      <c r="S181" s="174">
        <v>200.69999999999993</v>
      </c>
      <c r="T181" s="174">
        <f t="shared" si="6"/>
        <v>243.2702288732394</v>
      </c>
    </row>
    <row r="182" spans="1:20" x14ac:dyDescent="0.2">
      <c r="A182" s="169">
        <v>4</v>
      </c>
      <c r="B182" s="169"/>
      <c r="C182" s="177">
        <f>+E182-E181</f>
        <v>192.96143124999992</v>
      </c>
      <c r="D182" s="169">
        <f>+G182-G181</f>
        <v>174.39946771249993</v>
      </c>
      <c r="E182" s="169">
        <v>758.63221499999997</v>
      </c>
      <c r="G182" s="169">
        <v>685.52464564999991</v>
      </c>
      <c r="I182" s="174">
        <v>129</v>
      </c>
      <c r="J182" s="166">
        <v>4</v>
      </c>
      <c r="L182" s="175">
        <v>22322.361666666664</v>
      </c>
      <c r="M182" s="174">
        <v>889.84894905372039</v>
      </c>
      <c r="N182" s="174">
        <f t="shared" ref="N182" si="8">M182/I182*$I$69</f>
        <v>1068.5602796553428</v>
      </c>
      <c r="O182" s="175">
        <v>5858</v>
      </c>
      <c r="P182" s="174">
        <v>1310.8000000000011</v>
      </c>
      <c r="Q182" s="174">
        <f t="shared" si="5"/>
        <v>1574.0523333333349</v>
      </c>
      <c r="R182" s="175">
        <v>9548</v>
      </c>
      <c r="S182" s="174">
        <v>205</v>
      </c>
      <c r="T182" s="174">
        <f t="shared" si="6"/>
        <v>246.17083333333338</v>
      </c>
    </row>
    <row r="183" spans="1:20" x14ac:dyDescent="0.2">
      <c r="A183" s="169">
        <v>1</v>
      </c>
      <c r="B183" s="169">
        <v>2011</v>
      </c>
      <c r="C183" s="177">
        <f>+E183</f>
        <v>204.00503875000001</v>
      </c>
      <c r="D183" s="169">
        <f>+G183</f>
        <v>184.8599929625</v>
      </c>
      <c r="E183" s="169">
        <v>204.00503875000001</v>
      </c>
      <c r="G183" s="169">
        <v>184.8599929625</v>
      </c>
      <c r="I183" s="174">
        <v>130.19999999999999</v>
      </c>
      <c r="J183" s="166">
        <v>1</v>
      </c>
      <c r="K183" s="166">
        <v>2011</v>
      </c>
      <c r="L183" s="175">
        <v>26141.662648809524</v>
      </c>
      <c r="M183" s="174">
        <v>1061.4209517567813</v>
      </c>
      <c r="N183" s="174">
        <f t="shared" ref="N183:N186" si="9">M183/I183*$I$69</f>
        <v>1262.8422894336686</v>
      </c>
      <c r="O183" s="175">
        <v>5959</v>
      </c>
      <c r="P183" s="174">
        <v>1698.7</v>
      </c>
      <c r="Q183" s="174">
        <f t="shared" si="5"/>
        <v>2021.0550710445473</v>
      </c>
      <c r="R183" s="175">
        <v>6732</v>
      </c>
      <c r="S183" s="174">
        <v>156.5</v>
      </c>
      <c r="T183" s="174">
        <f t="shared" si="6"/>
        <v>186.19833909370206</v>
      </c>
    </row>
    <row r="184" spans="1:20" x14ac:dyDescent="0.2">
      <c r="A184" s="169">
        <v>2</v>
      </c>
      <c r="B184" s="169"/>
      <c r="C184" s="177">
        <f>+E184-E183</f>
        <v>188.74104374999999</v>
      </c>
      <c r="D184" s="169">
        <f>+G184-G183</f>
        <v>171.33320521249996</v>
      </c>
      <c r="E184" s="166">
        <v>392.7460825</v>
      </c>
      <c r="G184" s="166">
        <v>356.19319817499996</v>
      </c>
      <c r="I184" s="174">
        <v>131</v>
      </c>
      <c r="J184" s="166">
        <v>2</v>
      </c>
      <c r="L184" s="183">
        <v>18851.951101190472</v>
      </c>
      <c r="M184" s="184">
        <v>776.58308820124375</v>
      </c>
      <c r="N184" s="174">
        <f t="shared" si="9"/>
        <v>918.30950179797094</v>
      </c>
      <c r="O184" s="175">
        <v>7524</v>
      </c>
      <c r="P184" s="174">
        <v>1533.4000000000003</v>
      </c>
      <c r="Q184" s="174">
        <f t="shared" si="5"/>
        <v>1813.2455000000007</v>
      </c>
      <c r="R184" s="175">
        <v>10017</v>
      </c>
      <c r="S184" s="174">
        <v>197.79999999999995</v>
      </c>
      <c r="T184" s="174">
        <f t="shared" si="6"/>
        <v>233.89849999999998</v>
      </c>
    </row>
    <row r="185" spans="1:20" x14ac:dyDescent="0.2">
      <c r="A185" s="169">
        <v>3</v>
      </c>
      <c r="C185" s="177">
        <f>+E185-E184</f>
        <v>169.93391749999995</v>
      </c>
      <c r="D185" s="169">
        <f>+G185-G184</f>
        <v>151.69380182500004</v>
      </c>
      <c r="E185" s="166">
        <v>562.67999999999995</v>
      </c>
      <c r="G185" s="166">
        <v>507.887</v>
      </c>
      <c r="I185" s="174">
        <v>129.4</v>
      </c>
      <c r="J185" s="166">
        <v>3</v>
      </c>
      <c r="L185" s="183">
        <v>24107.386250000007</v>
      </c>
      <c r="M185" s="184">
        <v>914.64669811090494</v>
      </c>
      <c r="N185" s="174">
        <f t="shared" si="9"/>
        <v>1094.9430710016616</v>
      </c>
      <c r="O185" s="175">
        <v>10171</v>
      </c>
      <c r="P185" s="174">
        <v>1285.3999999999996</v>
      </c>
      <c r="Q185" s="174">
        <f t="shared" si="5"/>
        <v>1538.7797565687788</v>
      </c>
      <c r="R185" s="175">
        <v>10339</v>
      </c>
      <c r="S185" s="174">
        <v>167.29999999999995</v>
      </c>
      <c r="T185" s="174">
        <f t="shared" si="6"/>
        <v>200.27839837712514</v>
      </c>
    </row>
    <row r="186" spans="1:20" x14ac:dyDescent="0.2">
      <c r="A186" s="166">
        <v>4</v>
      </c>
      <c r="C186" s="177">
        <f>+E186-E185</f>
        <v>202.17554500000006</v>
      </c>
      <c r="D186" s="169">
        <f>+G186-G185</f>
        <v>178.91908595000001</v>
      </c>
      <c r="E186" s="166">
        <v>764.85554500000001</v>
      </c>
      <c r="G186" s="166">
        <v>686.80608595000001</v>
      </c>
      <c r="I186" s="166">
        <v>130.5</v>
      </c>
      <c r="J186" s="166">
        <v>4</v>
      </c>
      <c r="L186" s="183">
        <v>18022.572976190484</v>
      </c>
      <c r="M186" s="174">
        <v>777.38419736292576</v>
      </c>
      <c r="N186" s="174">
        <f t="shared" si="9"/>
        <v>922.77887013791155</v>
      </c>
      <c r="O186" s="183">
        <v>8775.7956028314002</v>
      </c>
      <c r="P186" s="174">
        <v>1286.8626975018997</v>
      </c>
      <c r="Q186" s="174">
        <f t="shared" si="5"/>
        <v>1527.5454660021117</v>
      </c>
      <c r="R186" s="183">
        <v>9645.4866500746648</v>
      </c>
      <c r="S186" s="174">
        <v>181.103452008619</v>
      </c>
      <c r="T186" s="174">
        <f t="shared" si="6"/>
        <v>214.97534859789391</v>
      </c>
    </row>
    <row r="187" spans="1:20" x14ac:dyDescent="0.2">
      <c r="A187" s="166">
        <v>1</v>
      </c>
      <c r="B187" s="166">
        <v>2012</v>
      </c>
      <c r="C187" s="177">
        <f>+E187</f>
        <v>195.82938625</v>
      </c>
      <c r="D187" s="169">
        <f>+G187</f>
        <v>177.0717714875</v>
      </c>
      <c r="E187" s="166">
        <v>195.82938625</v>
      </c>
      <c r="G187" s="166">
        <v>177.0717714875</v>
      </c>
      <c r="I187" s="166">
        <v>131.69999999999999</v>
      </c>
      <c r="J187" s="166">
        <v>1</v>
      </c>
      <c r="K187" s="166">
        <v>2012</v>
      </c>
      <c r="L187" s="183">
        <v>18517.39324404762</v>
      </c>
      <c r="M187" s="174">
        <v>869.15461769403078</v>
      </c>
      <c r="N187" s="174">
        <f t="shared" ref="N187:N193" si="10">M187/I187*$I$69</f>
        <v>1022.3125963586797</v>
      </c>
      <c r="O187" s="175">
        <v>6822.44890070785</v>
      </c>
      <c r="P187" s="174">
        <v>1150.314057295883</v>
      </c>
      <c r="Q187" s="174">
        <f t="shared" si="5"/>
        <v>1353.0165135198333</v>
      </c>
      <c r="R187" s="175">
        <v>7564.3716625186662</v>
      </c>
      <c r="S187" s="174">
        <v>175.73767321176348</v>
      </c>
      <c r="T187" s="174">
        <f t="shared" si="6"/>
        <v>206.70526661390477</v>
      </c>
    </row>
    <row r="188" spans="1:20" x14ac:dyDescent="0.2">
      <c r="A188" s="166">
        <v>2</v>
      </c>
      <c r="C188" s="177">
        <f>+E188-E187</f>
        <v>182.75061374999999</v>
      </c>
      <c r="D188" s="169">
        <f>+G188-G187</f>
        <v>165.12822851249999</v>
      </c>
      <c r="E188" s="185">
        <v>378.58</v>
      </c>
      <c r="G188" s="185">
        <v>342.2</v>
      </c>
      <c r="I188" s="166">
        <v>131.69999999999999</v>
      </c>
      <c r="J188" s="166">
        <v>2</v>
      </c>
      <c r="L188" s="183">
        <v>14087.60675595238</v>
      </c>
      <c r="M188" s="174">
        <v>635.43152402028181</v>
      </c>
      <c r="N188" s="174">
        <f t="shared" si="10"/>
        <v>747.40401524048468</v>
      </c>
      <c r="O188" s="175">
        <v>4838.55109929215</v>
      </c>
      <c r="P188" s="174">
        <v>1037.7970664905204</v>
      </c>
      <c r="Q188" s="174">
        <f t="shared" si="5"/>
        <v>1220.6723544220222</v>
      </c>
      <c r="R188" s="175">
        <v>10002.628337481334</v>
      </c>
      <c r="S188" s="174">
        <v>184.20744441885319</v>
      </c>
      <c r="T188" s="174">
        <f t="shared" si="6"/>
        <v>216.66753755742982</v>
      </c>
    </row>
    <row r="189" spans="1:20" x14ac:dyDescent="0.2">
      <c r="A189" s="169">
        <v>3</v>
      </c>
      <c r="C189" s="177">
        <f>+E189-E188</f>
        <v>165.72960875000007</v>
      </c>
      <c r="D189" s="169">
        <f>+G189-G188</f>
        <v>148.24155396250001</v>
      </c>
      <c r="E189" s="166">
        <v>544.30960875000005</v>
      </c>
      <c r="G189" s="166">
        <v>490.4415539625</v>
      </c>
      <c r="I189" s="166">
        <v>130</v>
      </c>
      <c r="J189" s="166">
        <v>3</v>
      </c>
      <c r="L189" s="186">
        <v>20999.460714285713</v>
      </c>
      <c r="M189" s="187">
        <v>864.77367174435972</v>
      </c>
      <c r="N189" s="174">
        <f t="shared" si="10"/>
        <v>1030.4609811979956</v>
      </c>
      <c r="O189" s="186">
        <v>6828.0536397386386</v>
      </c>
      <c r="P189" s="187">
        <v>1132.0609213635664</v>
      </c>
      <c r="Q189" s="174">
        <f t="shared" si="5"/>
        <v>1348.9594398163592</v>
      </c>
      <c r="R189" s="186">
        <v>10877.781177428844</v>
      </c>
      <c r="S189" s="187">
        <v>190.02859425457928</v>
      </c>
      <c r="T189" s="174">
        <f t="shared" si="6"/>
        <v>226.43734203454804</v>
      </c>
    </row>
    <row r="190" spans="1:20" x14ac:dyDescent="0.2">
      <c r="A190" s="169">
        <v>4</v>
      </c>
      <c r="C190" s="177">
        <f>+E190-E189</f>
        <v>166.80539124999996</v>
      </c>
      <c r="D190" s="169">
        <f>+G190-G189</f>
        <v>151.72844603749996</v>
      </c>
      <c r="E190" s="166">
        <v>711.11500000000001</v>
      </c>
      <c r="G190" s="166">
        <v>642.16999999999996</v>
      </c>
      <c r="I190" s="166">
        <v>132</v>
      </c>
      <c r="J190" s="166">
        <v>4</v>
      </c>
      <c r="L190" s="186">
        <v>17946.539285714287</v>
      </c>
      <c r="M190" s="187">
        <v>826.79347775776318</v>
      </c>
      <c r="N190" s="174">
        <f t="shared" si="10"/>
        <v>970.27659587697508</v>
      </c>
      <c r="O190" s="186">
        <v>5621.9463602613596</v>
      </c>
      <c r="P190" s="187">
        <v>1071.0118577206574</v>
      </c>
      <c r="Q190" s="174">
        <f t="shared" ref="Q190:Q221" si="11">P190/I190*$I$69</f>
        <v>1256.8770405292632</v>
      </c>
      <c r="R190" s="186">
        <v>8525.2188225711561</v>
      </c>
      <c r="S190" s="187">
        <v>190.41732478586363</v>
      </c>
      <c r="T190" s="174">
        <f t="shared" ref="T190:T221" si="12">S190/I190*$I$69</f>
        <v>223.4626646914104</v>
      </c>
    </row>
    <row r="191" spans="1:20" x14ac:dyDescent="0.2">
      <c r="A191" s="166">
        <v>1</v>
      </c>
      <c r="B191" s="166">
        <v>2013</v>
      </c>
      <c r="C191" s="177">
        <f>+E191</f>
        <v>199.180995</v>
      </c>
      <c r="D191" s="169">
        <f>+G191</f>
        <v>183.65288545000001</v>
      </c>
      <c r="E191" s="166">
        <v>199.180995</v>
      </c>
      <c r="G191" s="166">
        <v>183.65288545000001</v>
      </c>
      <c r="I191" s="166">
        <v>133</v>
      </c>
      <c r="J191" s="166">
        <v>1</v>
      </c>
      <c r="K191" s="166">
        <f>B191</f>
        <v>2013</v>
      </c>
      <c r="L191" s="186">
        <v>21974.571815476189</v>
      </c>
      <c r="M191" s="187">
        <v>1023.0812127444322</v>
      </c>
      <c r="N191" s="174">
        <f t="shared" si="10"/>
        <v>1191.6011500993093</v>
      </c>
      <c r="O191" s="186">
        <v>5520.4451678348678</v>
      </c>
      <c r="P191" s="187">
        <v>1148.1840804128565</v>
      </c>
      <c r="Q191" s="174">
        <f t="shared" si="11"/>
        <v>1337.3107175680798</v>
      </c>
      <c r="R191" s="186">
        <v>5958.3970505452735</v>
      </c>
      <c r="S191" s="187">
        <v>167.84779905693762</v>
      </c>
      <c r="T191" s="174">
        <f t="shared" si="12"/>
        <v>195.49536039407946</v>
      </c>
    </row>
    <row r="192" spans="1:20" x14ac:dyDescent="0.2">
      <c r="A192" s="166">
        <v>2</v>
      </c>
      <c r="C192" s="177">
        <f>+E192-E191</f>
        <v>205.01500500000003</v>
      </c>
      <c r="D192" s="169">
        <f>+G192-G191</f>
        <v>185.63411454999996</v>
      </c>
      <c r="E192" s="166">
        <v>404.19600000000003</v>
      </c>
      <c r="G192" s="166">
        <v>369.28699999999998</v>
      </c>
      <c r="I192" s="166">
        <v>134.30000000000001</v>
      </c>
      <c r="J192" s="166">
        <v>2</v>
      </c>
      <c r="L192" s="186">
        <v>23960.428184523811</v>
      </c>
      <c r="M192" s="187">
        <v>1011.581560458749</v>
      </c>
      <c r="N192" s="174">
        <f t="shared" si="10"/>
        <v>1166.8024614799976</v>
      </c>
      <c r="O192" s="186">
        <v>6388.5548321651322</v>
      </c>
      <c r="P192" s="187">
        <v>1133.7065185307133</v>
      </c>
      <c r="Q192" s="174">
        <f t="shared" si="11"/>
        <v>1307.6667350654986</v>
      </c>
      <c r="R192" s="186">
        <v>10154.602949454726</v>
      </c>
      <c r="S192" s="187">
        <v>176.1673175310234</v>
      </c>
      <c r="T192" s="174">
        <f t="shared" si="12"/>
        <v>203.19909709930758</v>
      </c>
    </row>
    <row r="193" spans="1:20" x14ac:dyDescent="0.2">
      <c r="A193" s="166">
        <v>3</v>
      </c>
      <c r="C193" s="177">
        <f>+E193-E192</f>
        <v>172.04383408071794</v>
      </c>
      <c r="D193" s="169">
        <f>+G193-G192</f>
        <v>153.21019910313902</v>
      </c>
      <c r="E193" s="166">
        <v>576.23983408071797</v>
      </c>
      <c r="G193" s="166">
        <v>522.497199103139</v>
      </c>
      <c r="I193" s="166">
        <v>134.19999999999999</v>
      </c>
      <c r="J193" s="166">
        <v>3</v>
      </c>
      <c r="L193" s="186">
        <v>18388.581422924897</v>
      </c>
      <c r="M193" s="187">
        <v>735.52528494140915</v>
      </c>
      <c r="N193" s="174">
        <f t="shared" si="10"/>
        <v>849.01924796618005</v>
      </c>
      <c r="O193" s="186">
        <v>11492.955434782609</v>
      </c>
      <c r="P193" s="187">
        <v>1323.3889549928699</v>
      </c>
      <c r="Q193" s="174">
        <f t="shared" si="11"/>
        <v>1527.5922097284504</v>
      </c>
      <c r="R193" s="186">
        <v>11786.02326086957</v>
      </c>
      <c r="S193" s="187">
        <v>172.41802435151402</v>
      </c>
      <c r="T193" s="174">
        <f t="shared" si="12"/>
        <v>199.02269081395056</v>
      </c>
    </row>
    <row r="194" spans="1:20" x14ac:dyDescent="0.2">
      <c r="A194" s="169">
        <v>4</v>
      </c>
      <c r="C194" s="177">
        <f>+E194-E193</f>
        <v>204.099832585949</v>
      </c>
      <c r="D194" s="169">
        <f>+G194-G193</f>
        <v>188.07946756352794</v>
      </c>
      <c r="E194" s="166">
        <v>780.33966666666697</v>
      </c>
      <c r="G194" s="166">
        <v>710.57666666666694</v>
      </c>
      <c r="I194" s="166">
        <v>135.30000000000001</v>
      </c>
      <c r="J194" s="166">
        <v>4</v>
      </c>
      <c r="L194" s="186">
        <v>18420.418577075106</v>
      </c>
      <c r="M194" s="186">
        <v>895.71090498583999</v>
      </c>
      <c r="N194" s="174">
        <f>M194/I194*$I$69</f>
        <v>1025.5161641839914</v>
      </c>
      <c r="O194" s="186">
        <v>7745.0445652173912</v>
      </c>
      <c r="P194" s="186">
        <v>1212.6630411771803</v>
      </c>
      <c r="Q194" s="174">
        <f t="shared" si="11"/>
        <v>1388.4005916567189</v>
      </c>
      <c r="R194" s="186">
        <v>11621.97673913043</v>
      </c>
      <c r="S194" s="186">
        <v>180.100371437175</v>
      </c>
      <c r="T194" s="174">
        <f t="shared" si="12"/>
        <v>206.20028298894448</v>
      </c>
    </row>
    <row r="195" spans="1:20" x14ac:dyDescent="0.2">
      <c r="A195" s="169">
        <v>1</v>
      </c>
      <c r="B195" s="166">
        <v>2014</v>
      </c>
      <c r="C195" s="177">
        <f>E195</f>
        <v>196.17699999999999</v>
      </c>
      <c r="D195" s="169">
        <f>G195</f>
        <v>179.55199999999999</v>
      </c>
      <c r="E195" s="166">
        <v>196.17699999999999</v>
      </c>
      <c r="G195" s="166">
        <v>179.55199999999999</v>
      </c>
      <c r="I195" s="166">
        <v>135.80000000000001</v>
      </c>
      <c r="J195" s="166">
        <f>A195</f>
        <v>1</v>
      </c>
      <c r="K195" s="166">
        <f>B195</f>
        <v>2014</v>
      </c>
      <c r="L195" s="186">
        <v>19713</v>
      </c>
      <c r="M195" s="186">
        <v>886.67647724495987</v>
      </c>
      <c r="N195" s="174">
        <f>M195/I195*$I$69</f>
        <v>1011.4347304773464</v>
      </c>
      <c r="O195" s="186">
        <v>7032</v>
      </c>
      <c r="P195" s="186">
        <v>1484.9150299297401</v>
      </c>
      <c r="Q195" s="174">
        <f t="shared" ref="Q195" si="13">P195/I195*$I$69</f>
        <v>1693.8473858530283</v>
      </c>
      <c r="R195" s="186">
        <v>8004</v>
      </c>
      <c r="S195" s="186">
        <v>165.16263465729782</v>
      </c>
      <c r="T195" s="174">
        <f t="shared" ref="T195" si="14">S195/I195*$I$69</f>
        <v>188.40155249024568</v>
      </c>
    </row>
    <row r="196" spans="1:20" x14ac:dyDescent="0.2">
      <c r="A196" s="166">
        <v>2</v>
      </c>
      <c r="C196" s="177">
        <f>+E196-E195</f>
        <v>197.965</v>
      </c>
      <c r="D196" s="169">
        <f>+G196-G195</f>
        <v>179.76700000000002</v>
      </c>
      <c r="E196" s="166">
        <v>394.142</v>
      </c>
      <c r="G196" s="166">
        <v>359.31900000000002</v>
      </c>
      <c r="I196" s="166">
        <v>136.69999999999999</v>
      </c>
      <c r="J196" s="166">
        <v>2</v>
      </c>
      <c r="L196" s="186">
        <v>16691</v>
      </c>
      <c r="M196" s="186">
        <v>732.96206934555016</v>
      </c>
      <c r="N196" s="174">
        <f t="shared" ref="N196:N221" si="15">M196/I196*$I$69</f>
        <v>830.58757686280785</v>
      </c>
      <c r="O196" s="186">
        <v>6228</v>
      </c>
      <c r="P196" s="186">
        <v>1158.7677611998799</v>
      </c>
      <c r="Q196" s="174">
        <f t="shared" si="11"/>
        <v>1313.1076588739609</v>
      </c>
      <c r="R196" s="186">
        <v>11579</v>
      </c>
      <c r="S196" s="186">
        <v>167.32102845142202</v>
      </c>
      <c r="T196" s="174">
        <f t="shared" si="12"/>
        <v>189.60703887958056</v>
      </c>
    </row>
    <row r="197" spans="1:20" x14ac:dyDescent="0.2">
      <c r="A197" s="166">
        <v>3</v>
      </c>
      <c r="C197" s="177">
        <f>+E197-E196</f>
        <v>192.10452006852</v>
      </c>
      <c r="D197" s="169">
        <f>+G197-G196</f>
        <v>173.47352006851992</v>
      </c>
      <c r="E197" s="166">
        <v>586.24652006852</v>
      </c>
      <c r="G197" s="166">
        <v>532.79252006851993</v>
      </c>
      <c r="I197" s="166">
        <v>137</v>
      </c>
      <c r="J197" s="166">
        <v>3</v>
      </c>
      <c r="L197" s="186">
        <v>21817</v>
      </c>
      <c r="M197" s="186">
        <v>1080.59231996894</v>
      </c>
      <c r="N197" s="174">
        <f t="shared" si="15"/>
        <v>1221.8383562451722</v>
      </c>
      <c r="O197" s="186">
        <v>20407</v>
      </c>
      <c r="P197" s="186">
        <v>1259.8740491119995</v>
      </c>
      <c r="Q197" s="174">
        <f t="shared" si="11"/>
        <v>1424.5543011884461</v>
      </c>
      <c r="R197" s="186">
        <v>11684</v>
      </c>
      <c r="S197" s="186">
        <v>177.03184293206914</v>
      </c>
      <c r="T197" s="174">
        <f t="shared" si="12"/>
        <v>200.17197232846354</v>
      </c>
    </row>
    <row r="198" spans="1:20" x14ac:dyDescent="0.2">
      <c r="A198" s="166">
        <v>4</v>
      </c>
      <c r="C198" s="177">
        <f>+E198-E197</f>
        <v>196.808833167682</v>
      </c>
      <c r="D198" s="169">
        <f>+G198-G197</f>
        <v>184.73883316768206</v>
      </c>
      <c r="E198" s="166">
        <v>783.055353236202</v>
      </c>
      <c r="G198" s="166">
        <v>717.53135323620199</v>
      </c>
      <c r="I198" s="166">
        <v>137.9</v>
      </c>
      <c r="J198" s="166">
        <v>4</v>
      </c>
      <c r="L198" s="186">
        <v>20183</v>
      </c>
      <c r="M198" s="186">
        <v>869.67426416194962</v>
      </c>
      <c r="N198" s="174">
        <f t="shared" si="15"/>
        <v>976.93303898235843</v>
      </c>
      <c r="O198" s="186">
        <v>12863</v>
      </c>
      <c r="P198" s="186">
        <v>1106.850761909501</v>
      </c>
      <c r="Q198" s="174">
        <f t="shared" si="11"/>
        <v>1243.3610181326762</v>
      </c>
      <c r="R198" s="186">
        <v>9690</v>
      </c>
      <c r="S198" s="186">
        <v>175.42101671448501</v>
      </c>
      <c r="T198" s="174">
        <f t="shared" si="12"/>
        <v>197.05606342783966</v>
      </c>
    </row>
    <row r="199" spans="1:20" x14ac:dyDescent="0.2">
      <c r="A199" s="166">
        <v>1</v>
      </c>
      <c r="B199" s="166">
        <v>2015</v>
      </c>
      <c r="C199" s="177">
        <f>E199</f>
        <v>219.418599054541</v>
      </c>
      <c r="D199" s="169">
        <f>G199</f>
        <v>202.59159905454101</v>
      </c>
      <c r="E199" s="166">
        <v>219.418599054541</v>
      </c>
      <c r="G199" s="166">
        <v>202.59159905454101</v>
      </c>
      <c r="I199" s="166">
        <v>138.4</v>
      </c>
      <c r="J199" s="166">
        <v>1</v>
      </c>
      <c r="K199" s="166">
        <v>2015</v>
      </c>
      <c r="L199" s="186">
        <v>19630</v>
      </c>
      <c r="M199" s="186">
        <v>957.60520650282388</v>
      </c>
      <c r="N199" s="174">
        <f t="shared" si="15"/>
        <v>1071.8224604504062</v>
      </c>
      <c r="O199" s="186">
        <v>9848</v>
      </c>
      <c r="P199" s="186">
        <v>1279.8360091262539</v>
      </c>
      <c r="Q199" s="174">
        <f t="shared" si="11"/>
        <v>1432.4869695355867</v>
      </c>
      <c r="R199" s="186">
        <v>7135</v>
      </c>
      <c r="S199" s="186">
        <v>155.36971992416409</v>
      </c>
      <c r="T199" s="174">
        <f t="shared" si="12"/>
        <v>173.90126364994546</v>
      </c>
    </row>
    <row r="200" spans="1:20" x14ac:dyDescent="0.2">
      <c r="A200" s="166">
        <v>2</v>
      </c>
      <c r="C200" s="177">
        <f>+E200-E199</f>
        <v>188.69592411436798</v>
      </c>
      <c r="D200" s="169">
        <f>+G200-G199</f>
        <v>171.45081948058601</v>
      </c>
      <c r="E200" s="166">
        <v>408.11452316890899</v>
      </c>
      <c r="G200" s="166">
        <v>374.04241853512701</v>
      </c>
      <c r="I200" s="166">
        <v>139.6</v>
      </c>
      <c r="J200" s="166">
        <v>2</v>
      </c>
      <c r="L200" s="186">
        <v>15703.949675889351</v>
      </c>
      <c r="M200" s="186">
        <v>739.71582874915612</v>
      </c>
      <c r="N200" s="174">
        <f t="shared" si="15"/>
        <v>820.82757694813699</v>
      </c>
      <c r="O200" s="186">
        <v>5422.7168724637304</v>
      </c>
      <c r="P200" s="186">
        <v>1206.7408437095464</v>
      </c>
      <c r="Q200" s="174">
        <f t="shared" si="11"/>
        <v>1339.0630891614371</v>
      </c>
      <c r="R200" s="186">
        <v>9988.3050621118018</v>
      </c>
      <c r="S200" s="186">
        <v>168.85276765034422</v>
      </c>
      <c r="T200" s="174">
        <f t="shared" si="12"/>
        <v>187.36790906014113</v>
      </c>
    </row>
    <row r="201" spans="1:20" x14ac:dyDescent="0.2">
      <c r="A201" s="166">
        <v>3</v>
      </c>
      <c r="C201" s="177">
        <f>+E201-E200</f>
        <v>180.38826158445403</v>
      </c>
      <c r="D201" s="169">
        <f>+G201-G200</f>
        <v>162.29720926756397</v>
      </c>
      <c r="E201" s="166">
        <v>588.50278475336302</v>
      </c>
      <c r="G201" s="166">
        <v>536.33962780269098</v>
      </c>
      <c r="I201" s="166">
        <v>139.69999999999999</v>
      </c>
      <c r="J201" s="166">
        <v>3</v>
      </c>
      <c r="L201" s="186">
        <v>22728.974837944646</v>
      </c>
      <c r="M201" s="186">
        <v>979.87465749478997</v>
      </c>
      <c r="N201" s="174">
        <f t="shared" si="15"/>
        <v>1086.5421152890067</v>
      </c>
      <c r="O201" s="186">
        <v>8619.8584362319707</v>
      </c>
      <c r="P201" s="186">
        <v>1341.1049733657396</v>
      </c>
      <c r="Q201" s="174">
        <f t="shared" si="11"/>
        <v>1487.0953375923648</v>
      </c>
      <c r="R201" s="186">
        <v>10649.652531055901</v>
      </c>
      <c r="S201" s="186">
        <v>131.16322330640469</v>
      </c>
      <c r="T201" s="174">
        <f t="shared" si="12"/>
        <v>145.44142458365704</v>
      </c>
    </row>
    <row r="202" spans="1:20" x14ac:dyDescent="0.2">
      <c r="A202" s="166">
        <v>4</v>
      </c>
      <c r="C202" s="177">
        <f>+E202-E201</f>
        <v>195.22963867497901</v>
      </c>
      <c r="D202" s="169">
        <f>+G202-G201</f>
        <v>179.89113138755602</v>
      </c>
      <c r="E202" s="166">
        <v>783.73242342834203</v>
      </c>
      <c r="G202" s="166">
        <v>716.230759190247</v>
      </c>
      <c r="I202" s="166">
        <v>141.69999999999999</v>
      </c>
      <c r="J202" s="166">
        <v>4</v>
      </c>
      <c r="L202" s="186">
        <v>17661.404213438705</v>
      </c>
      <c r="M202" s="186">
        <v>882.4718984768997</v>
      </c>
      <c r="N202" s="174">
        <f t="shared" si="15"/>
        <v>964.72488082787845</v>
      </c>
      <c r="O202" s="186">
        <v>7193.856491304301</v>
      </c>
      <c r="P202" s="186">
        <v>1425.3376484527203</v>
      </c>
      <c r="Q202" s="174">
        <f t="shared" si="11"/>
        <v>1558.1897796590672</v>
      </c>
      <c r="R202" s="186">
        <v>9159.825978260902</v>
      </c>
      <c r="S202" s="186">
        <v>158.55842389179503</v>
      </c>
      <c r="T202" s="174">
        <f t="shared" si="12"/>
        <v>173.33725510951479</v>
      </c>
    </row>
    <row r="203" spans="1:20" x14ac:dyDescent="0.2">
      <c r="A203" s="166">
        <v>1</v>
      </c>
      <c r="B203" s="166">
        <v>2016</v>
      </c>
      <c r="C203" s="177">
        <f>E203</f>
        <v>217.297581707322</v>
      </c>
      <c r="D203" s="169">
        <f>G203</f>
        <v>201.19677375494101</v>
      </c>
      <c r="E203" s="166">
        <v>217.297581707322</v>
      </c>
      <c r="G203" s="166">
        <v>201.19677375494101</v>
      </c>
      <c r="I203" s="166">
        <v>142.69999999999999</v>
      </c>
      <c r="J203" s="166">
        <v>1</v>
      </c>
      <c r="K203" s="166">
        <v>2016</v>
      </c>
      <c r="L203" s="186">
        <v>20668.165818181998</v>
      </c>
      <c r="M203" s="186">
        <v>1021.6300324660001</v>
      </c>
      <c r="N203" s="174">
        <f t="shared" si="15"/>
        <v>1109.0270094900277</v>
      </c>
      <c r="O203" s="186">
        <v>6682.5362000000005</v>
      </c>
      <c r="P203" s="186">
        <v>1267.176908724</v>
      </c>
      <c r="Q203" s="174">
        <f t="shared" si="11"/>
        <v>1375.5795864622501</v>
      </c>
      <c r="R203" s="186">
        <v>6340.7358571430004</v>
      </c>
      <c r="S203" s="186">
        <v>128.592957756</v>
      </c>
      <c r="T203" s="174">
        <f t="shared" si="12"/>
        <v>139.59364823817504</v>
      </c>
    </row>
    <row r="204" spans="1:20" x14ac:dyDescent="0.2">
      <c r="A204" s="166">
        <v>2</v>
      </c>
      <c r="C204" s="177">
        <f>+E204-E203</f>
        <v>210.94903078835901</v>
      </c>
      <c r="D204" s="169">
        <f>+G204-G203</f>
        <v>192.89311593057502</v>
      </c>
      <c r="E204" s="166">
        <v>428.24661249568101</v>
      </c>
      <c r="G204" s="166">
        <v>394.08988968551603</v>
      </c>
      <c r="I204" s="166">
        <v>144.30000000000001</v>
      </c>
      <c r="J204" s="166">
        <v>2</v>
      </c>
      <c r="L204" s="186">
        <v>19039.287573122998</v>
      </c>
      <c r="M204" s="186">
        <v>795.20392340999979</v>
      </c>
      <c r="N204" s="174">
        <f t="shared" si="15"/>
        <v>853.6594023952498</v>
      </c>
      <c r="O204" s="186">
        <v>5385.3991579709982</v>
      </c>
      <c r="P204" s="186">
        <v>991.5183596400002</v>
      </c>
      <c r="Q204" s="174">
        <f t="shared" si="11"/>
        <v>1064.4049223557404</v>
      </c>
      <c r="R204" s="186">
        <v>10107.700518632999</v>
      </c>
      <c r="S204" s="186">
        <v>152.61472035099999</v>
      </c>
      <c r="T204" s="174">
        <f t="shared" si="12"/>
        <v>163.83343584734951</v>
      </c>
    </row>
    <row r="205" spans="1:20" x14ac:dyDescent="0.2">
      <c r="A205" s="166">
        <v>3</v>
      </c>
      <c r="C205" s="177">
        <f>+E205-E204</f>
        <v>193.64755294266695</v>
      </c>
      <c r="D205" s="169">
        <f>+G205-G204</f>
        <v>175.641874720337</v>
      </c>
      <c r="E205" s="166">
        <v>621.89416543834795</v>
      </c>
      <c r="G205" s="166">
        <v>569.73176440585303</v>
      </c>
      <c r="I205" s="166">
        <v>145.30000000000001</v>
      </c>
      <c r="J205" s="166">
        <v>3</v>
      </c>
      <c r="L205" s="186">
        <v>25325.005330874006</v>
      </c>
      <c r="M205" s="186">
        <v>1404.3111468839998</v>
      </c>
      <c r="N205" s="174">
        <f t="shared" si="15"/>
        <v>1497.1667514517083</v>
      </c>
      <c r="O205" s="186">
        <v>9666.7747891530034</v>
      </c>
      <c r="P205" s="186">
        <v>1492.4533452979995</v>
      </c>
      <c r="Q205" s="174">
        <f t="shared" si="11"/>
        <v>1591.1370721730893</v>
      </c>
      <c r="R205" s="186">
        <v>10325.156290487997</v>
      </c>
      <c r="S205" s="186">
        <v>149.15188867200001</v>
      </c>
      <c r="T205" s="174">
        <f t="shared" si="12"/>
        <v>159.01408254960663</v>
      </c>
    </row>
    <row r="206" spans="1:20" x14ac:dyDescent="0.2">
      <c r="A206" s="166">
        <v>4</v>
      </c>
      <c r="C206" s="177">
        <f>+E206-E205</f>
        <v>194.66297676649504</v>
      </c>
      <c r="D206" s="169">
        <f>+G206-G205</f>
        <v>178.45454935802093</v>
      </c>
      <c r="E206" s="166">
        <v>816.55714220484299</v>
      </c>
      <c r="G206" s="166">
        <v>748.18631376387395</v>
      </c>
      <c r="I206" s="166">
        <v>146.69999999999999</v>
      </c>
      <c r="J206" s="166">
        <v>4</v>
      </c>
      <c r="L206" s="186">
        <v>18369.446222722992</v>
      </c>
      <c r="M206" s="186">
        <v>962.00640138500057</v>
      </c>
      <c r="N206" s="174">
        <f t="shared" si="15"/>
        <v>1015.8282660023655</v>
      </c>
      <c r="O206" s="186">
        <v>6575.4640743699983</v>
      </c>
      <c r="P206" s="186">
        <v>1222.1149542560006</v>
      </c>
      <c r="Q206" s="174">
        <f t="shared" si="11"/>
        <v>1290.4892452379786</v>
      </c>
      <c r="R206" s="186">
        <v>7957.0224983410008</v>
      </c>
      <c r="S206" s="186">
        <v>147.86469469900001</v>
      </c>
      <c r="T206" s="174">
        <f t="shared" si="12"/>
        <v>156.13735646956613</v>
      </c>
    </row>
    <row r="207" spans="1:20" x14ac:dyDescent="0.2">
      <c r="A207" s="166">
        <v>1</v>
      </c>
      <c r="B207" s="166">
        <v>2017</v>
      </c>
      <c r="C207" s="177">
        <f>E207</f>
        <v>227.02914608932699</v>
      </c>
      <c r="D207" s="169">
        <f>G207</f>
        <v>210.737716871462</v>
      </c>
      <c r="E207" s="166">
        <v>227.02914608932699</v>
      </c>
      <c r="G207" s="166">
        <v>210.737716871462</v>
      </c>
      <c r="I207" s="166">
        <v>146.4</v>
      </c>
      <c r="J207" s="166">
        <v>1</v>
      </c>
      <c r="K207" s="166">
        <v>2017</v>
      </c>
      <c r="L207" s="186">
        <v>20188.970584052</v>
      </c>
      <c r="M207" s="186">
        <v>1029.1484993670001</v>
      </c>
      <c r="N207" s="174">
        <f t="shared" si="15"/>
        <v>1088.9536964869781</v>
      </c>
      <c r="O207" s="186">
        <v>7124.2571060979999</v>
      </c>
      <c r="P207" s="186">
        <v>1296.4468783369998</v>
      </c>
      <c r="Q207" s="174">
        <f t="shared" si="11"/>
        <v>1371.78514211741</v>
      </c>
      <c r="R207" s="186">
        <v>6121.3819215860003</v>
      </c>
      <c r="S207" s="186">
        <v>141.149656131</v>
      </c>
      <c r="T207" s="174">
        <f t="shared" si="12"/>
        <v>149.35205161962352</v>
      </c>
    </row>
    <row r="208" spans="1:20" x14ac:dyDescent="0.2">
      <c r="A208" s="166">
        <v>2</v>
      </c>
      <c r="C208" s="177">
        <f>+E208-E207</f>
        <v>200.76722202181199</v>
      </c>
      <c r="D208" s="169">
        <f>+G208-G207</f>
        <v>183.70797761744905</v>
      </c>
      <c r="E208" s="166">
        <v>427.79636811113897</v>
      </c>
      <c r="G208" s="166">
        <v>394.44569448891104</v>
      </c>
      <c r="I208" s="166">
        <v>147.4</v>
      </c>
      <c r="J208" s="166">
        <v>2</v>
      </c>
      <c r="L208" s="186">
        <v>16357.538075795001</v>
      </c>
      <c r="M208" s="186">
        <v>768.50776898899994</v>
      </c>
      <c r="N208" s="174">
        <f t="shared" si="15"/>
        <v>807.65004901399948</v>
      </c>
      <c r="O208" s="186">
        <v>5007.3623026510004</v>
      </c>
      <c r="P208" s="186">
        <v>1681.8190342150001</v>
      </c>
      <c r="Q208" s="174">
        <f t="shared" si="11"/>
        <v>1767.4788469651301</v>
      </c>
      <c r="R208" s="186">
        <v>7194.9193664359991</v>
      </c>
      <c r="S208" s="186">
        <v>119.946167266</v>
      </c>
      <c r="T208" s="174">
        <f t="shared" si="12"/>
        <v>126.05536571070488</v>
      </c>
    </row>
    <row r="209" spans="1:20" x14ac:dyDescent="0.2">
      <c r="A209" s="166">
        <v>3</v>
      </c>
      <c r="C209" s="177">
        <f>+E209-E208</f>
        <v>195.05863188886104</v>
      </c>
      <c r="D209" s="169">
        <f>+G209-G208</f>
        <v>176.76630551108894</v>
      </c>
      <c r="E209" s="166">
        <v>622.85500000000002</v>
      </c>
      <c r="G209" s="166">
        <v>571.21199999999999</v>
      </c>
      <c r="I209" s="166">
        <v>147.30000000000001</v>
      </c>
      <c r="J209" s="166">
        <v>3</v>
      </c>
      <c r="L209" s="186">
        <v>19399</v>
      </c>
      <c r="M209" s="186">
        <v>907</v>
      </c>
      <c r="N209" s="174">
        <f t="shared" si="15"/>
        <v>953.84319416157507</v>
      </c>
      <c r="O209" s="186">
        <v>8892</v>
      </c>
      <c r="P209" s="186">
        <v>954</v>
      </c>
      <c r="Q209" s="174">
        <f t="shared" si="11"/>
        <v>1003.2705702647659</v>
      </c>
      <c r="R209" s="186">
        <v>8727</v>
      </c>
      <c r="S209" s="186">
        <v>128</v>
      </c>
      <c r="T209" s="174">
        <f t="shared" si="12"/>
        <v>134.61072640868974</v>
      </c>
    </row>
    <row r="210" spans="1:20" x14ac:dyDescent="0.2">
      <c r="A210" s="166">
        <v>4</v>
      </c>
      <c r="C210" s="177">
        <f>+E210-E209</f>
        <v>225.423</v>
      </c>
      <c r="D210" s="169">
        <f>+G210-G209</f>
        <v>208.21799999999996</v>
      </c>
      <c r="E210" s="166">
        <v>848.27800000000002</v>
      </c>
      <c r="G210" s="166">
        <v>779.43</v>
      </c>
      <c r="I210" s="166">
        <v>148.4</v>
      </c>
      <c r="J210" s="166">
        <v>4</v>
      </c>
      <c r="L210" s="186">
        <v>23333</v>
      </c>
      <c r="M210" s="186">
        <v>1141</v>
      </c>
      <c r="N210" s="174">
        <f t="shared" si="15"/>
        <v>1191.0340801886794</v>
      </c>
      <c r="O210" s="186">
        <v>6366</v>
      </c>
      <c r="P210" s="186">
        <v>1205</v>
      </c>
      <c r="Q210" s="174">
        <f t="shared" si="11"/>
        <v>1257.8405491913747</v>
      </c>
      <c r="R210" s="186">
        <v>7520</v>
      </c>
      <c r="S210" s="186">
        <v>124</v>
      </c>
      <c r="T210" s="174">
        <f t="shared" si="12"/>
        <v>129.43753369272241</v>
      </c>
    </row>
    <row r="211" spans="1:20" x14ac:dyDescent="0.2">
      <c r="A211" s="166">
        <v>1</v>
      </c>
      <c r="B211" s="166">
        <v>2018</v>
      </c>
      <c r="C211" s="177">
        <f>E211</f>
        <v>241.52799999999999</v>
      </c>
      <c r="D211" s="177">
        <f>G211</f>
        <v>222.678</v>
      </c>
      <c r="E211" s="166">
        <v>241.52799999999999</v>
      </c>
      <c r="G211" s="166">
        <v>222.678</v>
      </c>
      <c r="I211" s="166">
        <v>149.69999999999999</v>
      </c>
      <c r="J211" s="166">
        <v>1</v>
      </c>
      <c r="K211" s="166">
        <v>2018</v>
      </c>
      <c r="L211" s="186">
        <v>25111</v>
      </c>
      <c r="M211" s="186">
        <v>1175</v>
      </c>
      <c r="N211" s="174">
        <f t="shared" si="15"/>
        <v>1215.8738309953242</v>
      </c>
      <c r="O211" s="186">
        <v>6317</v>
      </c>
      <c r="P211" s="186">
        <v>1262</v>
      </c>
      <c r="Q211" s="174">
        <f t="shared" si="11"/>
        <v>1305.9002338009357</v>
      </c>
      <c r="R211" s="186">
        <v>5433</v>
      </c>
      <c r="S211" s="186">
        <v>116</v>
      </c>
      <c r="T211" s="174">
        <f t="shared" si="12"/>
        <v>120.03520374081499</v>
      </c>
    </row>
    <row r="212" spans="1:20" x14ac:dyDescent="0.2">
      <c r="A212" s="166">
        <v>2</v>
      </c>
      <c r="C212" s="177">
        <f>+E212-E211</f>
        <v>226.77080239162902</v>
      </c>
      <c r="D212" s="177">
        <f>+G212-G211</f>
        <v>208.83864191330298</v>
      </c>
      <c r="E212" s="166">
        <v>468.29880239162901</v>
      </c>
      <c r="G212" s="166">
        <v>431.51664191330298</v>
      </c>
      <c r="I212" s="166">
        <v>150.80000000000001</v>
      </c>
      <c r="J212" s="166">
        <v>2</v>
      </c>
      <c r="L212" s="186">
        <v>20973.437462450995</v>
      </c>
      <c r="M212" s="186">
        <v>1076.7915513600001</v>
      </c>
      <c r="N212" s="174">
        <f t="shared" si="15"/>
        <v>1106.1212681850081</v>
      </c>
      <c r="O212" s="186">
        <v>5869.5992710140017</v>
      </c>
      <c r="P212" s="186">
        <v>1471.9660798479999</v>
      </c>
      <c r="Q212" s="174">
        <f t="shared" si="11"/>
        <v>1512.0595856369632</v>
      </c>
      <c r="R212" s="186">
        <v>9319.6839472049996</v>
      </c>
      <c r="S212" s="186">
        <v>135.61776245999999</v>
      </c>
      <c r="T212" s="174">
        <f t="shared" si="12"/>
        <v>139.311727707377</v>
      </c>
    </row>
    <row r="213" spans="1:20" x14ac:dyDescent="0.2">
      <c r="A213" s="166">
        <v>3</v>
      </c>
      <c r="C213" s="177">
        <f>+E213-E212</f>
        <v>230.04425590433516</v>
      </c>
      <c r="D213" s="177">
        <f>+G213-G212</f>
        <v>207.39460472346803</v>
      </c>
      <c r="E213" s="166">
        <v>698.34305829596417</v>
      </c>
      <c r="G213" s="166">
        <v>638.91124663677101</v>
      </c>
      <c r="I213" s="166">
        <v>152.30000000000001</v>
      </c>
      <c r="J213" s="166">
        <v>3</v>
      </c>
      <c r="L213" s="186">
        <v>22635.655438734771</v>
      </c>
      <c r="M213" s="186">
        <v>1212.1884087902995</v>
      </c>
      <c r="N213" s="174">
        <f t="shared" si="15"/>
        <v>1232.9420612914205</v>
      </c>
      <c r="O213" s="186">
        <v>10333.380031159912</v>
      </c>
      <c r="P213" s="186">
        <v>1822.4517080118057</v>
      </c>
      <c r="Q213" s="174">
        <f t="shared" si="11"/>
        <v>1853.6535650613187</v>
      </c>
      <c r="R213" s="186">
        <v>9726.2967189440697</v>
      </c>
      <c r="S213" s="186">
        <v>150.27129325880639</v>
      </c>
      <c r="T213" s="174">
        <f t="shared" si="12"/>
        <v>152.84406014765958</v>
      </c>
    </row>
    <row r="214" spans="1:20" x14ac:dyDescent="0.2">
      <c r="A214" s="166">
        <v>4</v>
      </c>
      <c r="C214" s="177">
        <f>+E214-E213</f>
        <v>212.66674917787782</v>
      </c>
      <c r="D214" s="177">
        <f>+G214-G213</f>
        <v>195.66619934230232</v>
      </c>
      <c r="E214" s="166">
        <v>911.00980747384199</v>
      </c>
      <c r="G214" s="166">
        <v>834.57744597907333</v>
      </c>
      <c r="I214" s="166">
        <v>153.6</v>
      </c>
      <c r="J214" s="166">
        <v>4</v>
      </c>
      <c r="L214" s="186">
        <v>22335.438371541502</v>
      </c>
      <c r="M214" s="186">
        <v>1078.6341079945755</v>
      </c>
      <c r="N214" s="174">
        <f t="shared" si="15"/>
        <v>1087.81584039173</v>
      </c>
      <c r="O214" s="186">
        <v>7362.2217963768126</v>
      </c>
      <c r="P214" s="186">
        <v>1452.0805351783911</v>
      </c>
      <c r="Q214" s="174">
        <f t="shared" si="11"/>
        <v>1464.4411816611112</v>
      </c>
      <c r="R214" s="186">
        <v>8182.2589673913026</v>
      </c>
      <c r="S214" s="186">
        <v>116.53210966099653</v>
      </c>
      <c r="T214" s="174">
        <f t="shared" si="12"/>
        <v>117.52407407103401</v>
      </c>
    </row>
    <row r="215" spans="1:20" x14ac:dyDescent="0.2">
      <c r="A215" s="166">
        <v>1</v>
      </c>
      <c r="B215" s="166">
        <v>2019</v>
      </c>
      <c r="C215" s="177">
        <f>E215</f>
        <v>242.05576995515696</v>
      </c>
      <c r="D215" s="177">
        <f>G215</f>
        <v>223.58363596412556</v>
      </c>
      <c r="E215" s="166">
        <v>242.05576995515696</v>
      </c>
      <c r="G215" s="166">
        <v>223.58363596412556</v>
      </c>
      <c r="I215" s="166">
        <v>154.1</v>
      </c>
      <c r="J215" s="166">
        <v>1</v>
      </c>
      <c r="K215" s="166">
        <v>2019</v>
      </c>
      <c r="L215" s="186">
        <v>22394.924612648225</v>
      </c>
      <c r="M215" s="186">
        <v>1151.1138601930163</v>
      </c>
      <c r="N215" s="174">
        <f t="shared" si="15"/>
        <v>1157.1458163390637</v>
      </c>
      <c r="O215" s="186">
        <v>6179.0660115942028</v>
      </c>
      <c r="P215" s="186">
        <v>1384.5030606846908</v>
      </c>
      <c r="Q215" s="174">
        <f t="shared" si="11"/>
        <v>1391.7580004738079</v>
      </c>
      <c r="R215" s="186">
        <v>6840.1016739130437</v>
      </c>
      <c r="S215" s="186">
        <v>122.43916062391185</v>
      </c>
      <c r="T215" s="174">
        <f t="shared" si="12"/>
        <v>123.08075453827793</v>
      </c>
    </row>
    <row r="216" spans="1:20" x14ac:dyDescent="0.2">
      <c r="A216" s="166">
        <v>2</v>
      </c>
      <c r="C216" s="177">
        <f>+E216-E215</f>
        <v>221.71122705530604</v>
      </c>
      <c r="D216" s="177">
        <f>+G216-G215</f>
        <v>199.97176164424542</v>
      </c>
      <c r="E216" s="166">
        <v>463.766997010463</v>
      </c>
      <c r="G216" s="166">
        <v>423.55539760837098</v>
      </c>
      <c r="I216" s="166">
        <v>154.6</v>
      </c>
      <c r="J216" s="166">
        <v>2</v>
      </c>
      <c r="L216" s="186">
        <v>19703.243703557309</v>
      </c>
      <c r="M216" s="186">
        <v>1006.9446819648526</v>
      </c>
      <c r="N216" s="174">
        <f t="shared" si="15"/>
        <v>1008.9474988452163</v>
      </c>
      <c r="O216" s="186">
        <v>8628.701004347824</v>
      </c>
      <c r="P216" s="186">
        <v>1346.7424148398591</v>
      </c>
      <c r="Q216" s="174">
        <f t="shared" si="11"/>
        <v>1349.4210907296606</v>
      </c>
      <c r="R216" s="186">
        <v>10227.612341614906</v>
      </c>
      <c r="S216" s="186">
        <v>141.53554504088498</v>
      </c>
      <c r="T216" s="174">
        <f t="shared" si="12"/>
        <v>141.8170597892684</v>
      </c>
    </row>
    <row r="217" spans="1:20" x14ac:dyDescent="0.2">
      <c r="A217" s="166">
        <v>3</v>
      </c>
      <c r="C217" s="177">
        <f>+E217-E216</f>
        <v>200.66800298953694</v>
      </c>
      <c r="D217" s="177">
        <f>+G217-G216</f>
        <v>183.517602391629</v>
      </c>
      <c r="E217" s="166">
        <v>664.43499999999995</v>
      </c>
      <c r="G217" s="166">
        <v>607.07299999999998</v>
      </c>
      <c r="I217" s="166">
        <v>154.69999999999999</v>
      </c>
      <c r="J217" s="166">
        <v>3</v>
      </c>
      <c r="L217" s="186">
        <v>26165.077849802379</v>
      </c>
      <c r="M217" s="186">
        <v>1402.3482904344257</v>
      </c>
      <c r="N217" s="174">
        <f t="shared" si="15"/>
        <v>1404.2292682641942</v>
      </c>
      <c r="O217" s="186">
        <v>13748.462299275363</v>
      </c>
      <c r="P217" s="186">
        <v>1484.9789315777889</v>
      </c>
      <c r="Q217" s="174">
        <f t="shared" si="11"/>
        <v>1486.9707423619029</v>
      </c>
      <c r="R217" s="186">
        <v>10507.793672360251</v>
      </c>
      <c r="S217" s="186">
        <v>144.78676128055025</v>
      </c>
      <c r="T217" s="174">
        <f t="shared" si="12"/>
        <v>144.98096459642431</v>
      </c>
    </row>
    <row r="218" spans="1:20" x14ac:dyDescent="0.2">
      <c r="A218" s="166">
        <v>4</v>
      </c>
      <c r="C218" s="177">
        <f>+E218-E217</f>
        <v>216.91973572496272</v>
      </c>
      <c r="D218" s="177">
        <f>+G218-G217</f>
        <v>199.72038857997018</v>
      </c>
      <c r="E218" s="166">
        <v>881.35473572496267</v>
      </c>
      <c r="G218" s="166">
        <v>806.79338857997016</v>
      </c>
      <c r="I218" s="166">
        <v>156.1</v>
      </c>
      <c r="J218" s="166">
        <v>4</v>
      </c>
      <c r="L218" s="186">
        <v>22621.988837944664</v>
      </c>
      <c r="M218" s="186">
        <v>1317.7971704198299</v>
      </c>
      <c r="N218" s="174">
        <f t="shared" si="15"/>
        <v>1307.7300780064691</v>
      </c>
      <c r="O218" s="186">
        <v>7776.9221253623255</v>
      </c>
      <c r="P218" s="186">
        <v>1227.7391162265512</v>
      </c>
      <c r="Q218" s="174">
        <f t="shared" si="11"/>
        <v>1218.3600073469861</v>
      </c>
      <c r="R218" s="186">
        <v>9597.5708897515542</v>
      </c>
      <c r="S218" s="186">
        <v>133.20019148427383</v>
      </c>
      <c r="T218" s="174">
        <f t="shared" si="12"/>
        <v>132.18263076457498</v>
      </c>
    </row>
    <row r="219" spans="1:20" x14ac:dyDescent="0.2">
      <c r="A219" s="166">
        <v>1</v>
      </c>
      <c r="B219" s="166">
        <v>2020</v>
      </c>
      <c r="C219" s="177">
        <f>E219</f>
        <v>245.16278393124065</v>
      </c>
      <c r="D219" s="177">
        <f>G219</f>
        <v>227.94719714499254</v>
      </c>
      <c r="E219" s="166">
        <v>245.16278393124065</v>
      </c>
      <c r="G219" s="166">
        <v>227.94719714499254</v>
      </c>
      <c r="I219" s="166">
        <v>155.52000000000001</v>
      </c>
      <c r="J219" s="166">
        <v>1</v>
      </c>
      <c r="K219" s="166">
        <v>2020</v>
      </c>
      <c r="L219" s="186">
        <v>22417.308750988144</v>
      </c>
      <c r="M219" s="186">
        <v>1187.0066434405767</v>
      </c>
      <c r="N219" s="174">
        <f t="shared" si="15"/>
        <v>1182.3317362318105</v>
      </c>
      <c r="O219" s="186">
        <v>7817.2878601449283</v>
      </c>
      <c r="P219" s="186">
        <v>1773.3957103534681</v>
      </c>
      <c r="Q219" s="174">
        <f t="shared" si="11"/>
        <v>1766.4113683229159</v>
      </c>
      <c r="R219" s="186">
        <v>8173.2696444099374</v>
      </c>
      <c r="S219" s="186">
        <v>145.83786039029874</v>
      </c>
      <c r="T219" s="174">
        <f t="shared" si="12"/>
        <v>145.26349253092982</v>
      </c>
    </row>
    <row r="220" spans="1:20" x14ac:dyDescent="0.2">
      <c r="A220" s="166">
        <v>2</v>
      </c>
      <c r="C220" s="177">
        <f>+E220-E219</f>
        <v>219.4338294469357</v>
      </c>
      <c r="D220" s="177">
        <f>+G220-G219</f>
        <v>199.23928355754859</v>
      </c>
      <c r="E220" s="185">
        <v>464.59661337817636</v>
      </c>
      <c r="G220" s="166">
        <v>427.18648070254113</v>
      </c>
      <c r="I220" s="166">
        <v>156.5</v>
      </c>
      <c r="J220" s="166">
        <v>2</v>
      </c>
      <c r="L220" s="186">
        <v>20318.697663474304</v>
      </c>
      <c r="M220" s="186">
        <v>1003.3659178621033</v>
      </c>
      <c r="N220" s="174">
        <f t="shared" si="15"/>
        <v>993.15594837842684</v>
      </c>
      <c r="O220" s="186">
        <v>6698.4276256020294</v>
      </c>
      <c r="P220" s="186">
        <v>1195.3385633418739</v>
      </c>
      <c r="Q220" s="174">
        <f t="shared" si="11"/>
        <v>1183.1751341909353</v>
      </c>
      <c r="R220" s="186">
        <v>9378.7613872911825</v>
      </c>
      <c r="S220" s="186">
        <v>125.6048434375343</v>
      </c>
      <c r="T220" s="174">
        <f t="shared" si="12"/>
        <v>124.32672386453578</v>
      </c>
    </row>
    <row r="221" spans="1:20" x14ac:dyDescent="0.2">
      <c r="A221" s="166">
        <v>3</v>
      </c>
      <c r="C221" s="177">
        <f>+E221-E220</f>
        <v>230.4091689088192</v>
      </c>
      <c r="D221" s="177">
        <f>+G221-G220</f>
        <v>212.03913512705532</v>
      </c>
      <c r="E221" s="185">
        <v>695.00578228699555</v>
      </c>
      <c r="G221" s="166">
        <v>639.22561582959645</v>
      </c>
      <c r="I221" s="166">
        <v>157.30000000000001</v>
      </c>
      <c r="J221" s="166">
        <v>3</v>
      </c>
      <c r="L221" s="186">
        <v>23115.129949173919</v>
      </c>
      <c r="M221" s="186">
        <v>1190.2908927373355</v>
      </c>
      <c r="N221" s="174">
        <f t="shared" si="15"/>
        <v>1172.1868179701769</v>
      </c>
      <c r="O221" s="186">
        <v>9381.5569490356484</v>
      </c>
      <c r="P221" s="186">
        <v>1044.8337260564822</v>
      </c>
      <c r="Q221" s="174">
        <f t="shared" si="11"/>
        <v>1028.9420242790497</v>
      </c>
      <c r="R221" s="186">
        <v>12479.986334758509</v>
      </c>
      <c r="S221" s="186">
        <v>159.02277544572789</v>
      </c>
      <c r="T221" s="174">
        <f t="shared" si="12"/>
        <v>156.60407239261983</v>
      </c>
    </row>
    <row r="222" spans="1:20" x14ac:dyDescent="0.2">
      <c r="C222" s="177"/>
      <c r="D222" s="169"/>
      <c r="L222" s="186"/>
      <c r="M222" s="186"/>
      <c r="N222" s="174"/>
      <c r="O222" s="186"/>
      <c r="P222" s="186"/>
      <c r="Q222" s="174"/>
      <c r="R222" s="186"/>
      <c r="S222" s="186"/>
      <c r="T222" s="174"/>
    </row>
    <row r="223" spans="1:20" x14ac:dyDescent="0.2">
      <c r="C223" s="177"/>
      <c r="E223" s="170" t="s">
        <v>110</v>
      </c>
      <c r="J223" s="188"/>
      <c r="K223" s="189" t="s">
        <v>161</v>
      </c>
      <c r="L223" s="190">
        <f>L225-L220-L219</f>
        <v>23115.129949173919</v>
      </c>
      <c r="M223" s="190">
        <f>M225-M220-M219</f>
        <v>1190.2908927373355</v>
      </c>
      <c r="N223" s="191" t="s">
        <v>175</v>
      </c>
      <c r="O223" s="190">
        <f>O225-O220-O219</f>
        <v>9381.5569490356484</v>
      </c>
      <c r="P223" s="190">
        <f>P225-P220-P219</f>
        <v>1044.8337260564822</v>
      </c>
      <c r="Q223" s="191" t="s">
        <v>175</v>
      </c>
      <c r="R223" s="190">
        <f>R225-R220-R219</f>
        <v>12479.986334758509</v>
      </c>
      <c r="S223" s="190">
        <f>S225-S220-S219</f>
        <v>159.02277544572789</v>
      </c>
      <c r="T223" s="192" t="s">
        <v>175</v>
      </c>
    </row>
    <row r="224" spans="1:20" x14ac:dyDescent="0.2">
      <c r="E224" s="185">
        <f>IF('Tab5'!E8="",'Tab5'!E7,'Tab5'!E8)/1000</f>
        <v>695.00578228699555</v>
      </c>
      <c r="G224" s="185">
        <f>IF('Tab5'!E10="",'Tab5'!E9,'Tab5'!E10)/1000</f>
        <v>639.22561582959645</v>
      </c>
      <c r="K224" s="172" t="s">
        <v>189</v>
      </c>
      <c r="L224" s="193">
        <f>SUM('Tab7'!E11,'Tab11'!E11)</f>
        <v>86219.706648756692</v>
      </c>
      <c r="M224" s="194">
        <f>SUM('Tab7'!E39,'Tab11'!E39)</f>
        <v>4528.779075125758</v>
      </c>
      <c r="N224" s="195" t="s">
        <v>174</v>
      </c>
      <c r="O224" s="193">
        <f>SUM('Tab7'!E9,'Tab11'!E9)</f>
        <v>30540.401020084035</v>
      </c>
      <c r="P224" s="194">
        <f>SUM('Tab7'!E37,'Tab11'!E37)</f>
        <v>5173.3521842494629</v>
      </c>
      <c r="Q224" s="195" t="s">
        <v>174</v>
      </c>
      <c r="R224" s="193">
        <f>SUM('Tab7'!E13,'Tab11'!E13)</f>
        <v>39687.531171902323</v>
      </c>
      <c r="S224" s="194">
        <f>SUM('Tab7'!E41,'Tab11'!E41)</f>
        <v>557.65885102418599</v>
      </c>
      <c r="T224" s="196" t="s">
        <v>174</v>
      </c>
    </row>
    <row r="225" spans="11:20" x14ac:dyDescent="0.2">
      <c r="K225" s="172" t="s">
        <v>188</v>
      </c>
      <c r="L225" s="193">
        <f>SUM('Tab7'!E12,'Tab11'!E12)</f>
        <v>65851.136363636368</v>
      </c>
      <c r="M225" s="194">
        <f>SUM('Tab7'!E40,'Tab11'!E40)</f>
        <v>3380.6634540400155</v>
      </c>
      <c r="N225" s="195" t="s">
        <v>174</v>
      </c>
      <c r="O225" s="193">
        <f>SUM('Tab7'!E10,'Tab11'!E10)</f>
        <v>23897.272434782608</v>
      </c>
      <c r="P225" s="194">
        <f>SUM('Tab7'!E38,'Tab11'!E38)</f>
        <v>4013.5679997518241</v>
      </c>
      <c r="Q225" s="195" t="s">
        <v>174</v>
      </c>
      <c r="R225" s="193">
        <f>SUM('Tab7'!E14,'Tab11'!E14)</f>
        <v>30032.01736645963</v>
      </c>
      <c r="S225" s="194">
        <f>SUM('Tab7'!E42,'Tab11'!E42)</f>
        <v>430.4654792735609</v>
      </c>
      <c r="T225" s="196" t="s">
        <v>174</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ignoredErrors>
    <ignoredError sqref="C211:D211 C215:D215 C219:D21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1" t="s">
        <v>1</v>
      </c>
      <c r="H5" s="202"/>
    </row>
    <row r="6" spans="1:8" x14ac:dyDescent="0.2">
      <c r="A6" s="12"/>
      <c r="B6" s="13"/>
      <c r="C6" s="14" t="s">
        <v>236</v>
      </c>
      <c r="D6" s="15" t="s">
        <v>237</v>
      </c>
      <c r="E6" s="15" t="s">
        <v>238</v>
      </c>
      <c r="F6" s="16"/>
      <c r="G6" s="17" t="s">
        <v>239</v>
      </c>
      <c r="H6" s="18" t="s">
        <v>240</v>
      </c>
    </row>
    <row r="7" spans="1:8" x14ac:dyDescent="0.2">
      <c r="A7" s="203" t="s">
        <v>2</v>
      </c>
      <c r="B7" s="19" t="s">
        <v>3</v>
      </c>
      <c r="C7" s="20">
        <v>2118780.1395823145</v>
      </c>
      <c r="D7" s="20">
        <v>2227308.6919127963</v>
      </c>
      <c r="E7" s="79">
        <v>2465262.3900622935</v>
      </c>
      <c r="F7" s="22" t="s">
        <v>241</v>
      </c>
      <c r="G7" s="23">
        <v>16.352911942448301</v>
      </c>
      <c r="H7" s="24">
        <v>10.683462917084213</v>
      </c>
    </row>
    <row r="8" spans="1:8" x14ac:dyDescent="0.2">
      <c r="A8" s="204"/>
      <c r="B8" s="25" t="s">
        <v>242</v>
      </c>
      <c r="C8" s="26">
        <v>1605889.9493052743</v>
      </c>
      <c r="D8" s="26">
        <v>1669976.1112712934</v>
      </c>
      <c r="E8" s="26">
        <v>1855043.2179925563</v>
      </c>
      <c r="F8" s="27"/>
      <c r="G8" s="28">
        <v>15.514965318455893</v>
      </c>
      <c r="H8" s="29">
        <v>11.082021202110369</v>
      </c>
    </row>
    <row r="9" spans="1:8" x14ac:dyDescent="0.2">
      <c r="A9" s="30" t="s">
        <v>4</v>
      </c>
      <c r="B9" s="31" t="s">
        <v>3</v>
      </c>
      <c r="C9" s="20">
        <v>682061.20020328846</v>
      </c>
      <c r="D9" s="20">
        <v>700505.74065171904</v>
      </c>
      <c r="E9" s="20">
        <v>741071.79249321867</v>
      </c>
      <c r="F9" s="22" t="s">
        <v>241</v>
      </c>
      <c r="G9" s="32">
        <v>8.6518031332587242</v>
      </c>
      <c r="H9" s="33">
        <v>5.7909663672076164</v>
      </c>
    </row>
    <row r="10" spans="1:8" x14ac:dyDescent="0.2">
      <c r="A10" s="34"/>
      <c r="B10" s="25" t="s">
        <v>242</v>
      </c>
      <c r="C10" s="26">
        <v>526198.31838565017</v>
      </c>
      <c r="D10" s="26">
        <v>486889.16850224219</v>
      </c>
      <c r="E10" s="26">
        <v>532674.99829820625</v>
      </c>
      <c r="F10" s="27"/>
      <c r="G10" s="28">
        <v>1.2308439016730688</v>
      </c>
      <c r="H10" s="29">
        <v>9.4037478666468104</v>
      </c>
    </row>
    <row r="11" spans="1:8" x14ac:dyDescent="0.2">
      <c r="A11" s="30" t="s">
        <v>5</v>
      </c>
      <c r="B11" s="31" t="s">
        <v>3</v>
      </c>
      <c r="C11" s="20">
        <v>226601.60727055313</v>
      </c>
      <c r="D11" s="20">
        <v>180848.99507324363</v>
      </c>
      <c r="E11" s="20">
        <v>174815.30000458605</v>
      </c>
      <c r="F11" s="22" t="s">
        <v>241</v>
      </c>
      <c r="G11" s="37">
        <v>-22.853459818639465</v>
      </c>
      <c r="H11" s="33">
        <v>-3.3363166138766474</v>
      </c>
    </row>
    <row r="12" spans="1:8" x14ac:dyDescent="0.2">
      <c r="A12" s="34"/>
      <c r="B12" s="25" t="s">
        <v>242</v>
      </c>
      <c r="C12" s="26">
        <v>172144.73991031398</v>
      </c>
      <c r="D12" s="26">
        <v>188937.39113901334</v>
      </c>
      <c r="E12" s="26">
        <v>162330.78398878919</v>
      </c>
      <c r="F12" s="27"/>
      <c r="G12" s="28">
        <v>-5.7009908793250332</v>
      </c>
      <c r="H12" s="29">
        <v>-14.082234855591906</v>
      </c>
    </row>
    <row r="13" spans="1:8" x14ac:dyDescent="0.2">
      <c r="A13" s="30" t="s">
        <v>6</v>
      </c>
      <c r="B13" s="31" t="s">
        <v>3</v>
      </c>
      <c r="C13" s="20">
        <v>401911.93909904256</v>
      </c>
      <c r="D13" s="20">
        <v>436422.05680252536</v>
      </c>
      <c r="E13" s="20">
        <v>473536.39284308185</v>
      </c>
      <c r="F13" s="22" t="s">
        <v>241</v>
      </c>
      <c r="G13" s="23">
        <v>17.820932093880643</v>
      </c>
      <c r="H13" s="24">
        <v>8.5042301281647212</v>
      </c>
    </row>
    <row r="14" spans="1:8" x14ac:dyDescent="0.2">
      <c r="A14" s="34"/>
      <c r="B14" s="25" t="s">
        <v>242</v>
      </c>
      <c r="C14" s="26">
        <v>301504.66216711141</v>
      </c>
      <c r="D14" s="26">
        <v>329887.15209543239</v>
      </c>
      <c r="E14" s="26">
        <v>357034.97546172765</v>
      </c>
      <c r="F14" s="27"/>
      <c r="G14" s="38">
        <v>18.417729561952228</v>
      </c>
      <c r="H14" s="24">
        <v>8.2294273038077392</v>
      </c>
    </row>
    <row r="15" spans="1:8" x14ac:dyDescent="0.2">
      <c r="A15" s="30" t="s">
        <v>169</v>
      </c>
      <c r="B15" s="31" t="s">
        <v>3</v>
      </c>
      <c r="C15" s="20">
        <v>47104.096671444495</v>
      </c>
      <c r="D15" s="20">
        <v>46862.684981684986</v>
      </c>
      <c r="E15" s="20">
        <v>44364.475017279532</v>
      </c>
      <c r="F15" s="22" t="s">
        <v>241</v>
      </c>
      <c r="G15" s="37">
        <v>-5.816100610683776</v>
      </c>
      <c r="H15" s="33">
        <v>-5.3309151308377096</v>
      </c>
    </row>
    <row r="16" spans="1:8" x14ac:dyDescent="0.2">
      <c r="A16" s="34"/>
      <c r="B16" s="25" t="s">
        <v>242</v>
      </c>
      <c r="C16" s="26">
        <v>35114.516483516483</v>
      </c>
      <c r="D16" s="26">
        <v>35803.787386526514</v>
      </c>
      <c r="E16" s="26">
        <v>33616.30625895843</v>
      </c>
      <c r="F16" s="27"/>
      <c r="G16" s="28">
        <v>-4.2666406221522237</v>
      </c>
      <c r="H16" s="29">
        <v>-6.1096361229964913</v>
      </c>
    </row>
    <row r="17" spans="1:8" x14ac:dyDescent="0.2">
      <c r="A17" s="30" t="s">
        <v>7</v>
      </c>
      <c r="B17" s="31" t="s">
        <v>3</v>
      </c>
      <c r="C17" s="20">
        <v>10868.335804081633</v>
      </c>
      <c r="D17" s="20">
        <v>9550.4275265306132</v>
      </c>
      <c r="E17" s="20">
        <v>8355.9981650554091</v>
      </c>
      <c r="F17" s="22" t="s">
        <v>241</v>
      </c>
      <c r="G17" s="23">
        <v>-23.116120851572404</v>
      </c>
      <c r="H17" s="24">
        <v>-12.506553849627551</v>
      </c>
    </row>
    <row r="18" spans="1:8" x14ac:dyDescent="0.2">
      <c r="A18" s="30"/>
      <c r="B18" s="25" t="s">
        <v>242</v>
      </c>
      <c r="C18" s="26">
        <v>8017.5373224489795</v>
      </c>
      <c r="D18" s="26">
        <v>7040.4526530612247</v>
      </c>
      <c r="E18" s="26">
        <v>6161.3536816326532</v>
      </c>
      <c r="F18" s="27"/>
      <c r="G18" s="38">
        <v>-23.15154349976072</v>
      </c>
      <c r="H18" s="24">
        <v>-12.486398456871015</v>
      </c>
    </row>
    <row r="19" spans="1:8" x14ac:dyDescent="0.2">
      <c r="A19" s="39" t="s">
        <v>8</v>
      </c>
      <c r="B19" s="31" t="s">
        <v>3</v>
      </c>
      <c r="C19" s="20">
        <v>4525</v>
      </c>
      <c r="D19" s="20">
        <v>5250</v>
      </c>
      <c r="E19" s="20">
        <v>5350.9811510541676</v>
      </c>
      <c r="F19" s="22" t="s">
        <v>241</v>
      </c>
      <c r="G19" s="37">
        <v>18.253727095119714</v>
      </c>
      <c r="H19" s="33">
        <v>1.9234504962698509</v>
      </c>
    </row>
    <row r="20" spans="1:8" x14ac:dyDescent="0.2">
      <c r="A20" s="34"/>
      <c r="B20" s="25" t="s">
        <v>242</v>
      </c>
      <c r="C20" s="26">
        <v>3395</v>
      </c>
      <c r="D20" s="26">
        <v>3867.6905142857145</v>
      </c>
      <c r="E20" s="26">
        <v>3966</v>
      </c>
      <c r="F20" s="27"/>
      <c r="G20" s="28">
        <v>16.818851251840954</v>
      </c>
      <c r="H20" s="29">
        <v>2.5418136573019297</v>
      </c>
    </row>
    <row r="21" spans="1:8" x14ac:dyDescent="0.2">
      <c r="A21" s="39" t="s">
        <v>9</v>
      </c>
      <c r="B21" s="31" t="s">
        <v>3</v>
      </c>
      <c r="C21" s="20">
        <v>24026.283333333333</v>
      </c>
      <c r="D21" s="20">
        <v>27254.799999999999</v>
      </c>
      <c r="E21" s="20">
        <v>27476.001146915522</v>
      </c>
      <c r="F21" s="22" t="s">
        <v>241</v>
      </c>
      <c r="G21" s="37">
        <v>14.35810010945869</v>
      </c>
      <c r="H21" s="33">
        <v>0.81160436662723612</v>
      </c>
    </row>
    <row r="22" spans="1:8" x14ac:dyDescent="0.2">
      <c r="A22" s="34"/>
      <c r="B22" s="25" t="s">
        <v>242</v>
      </c>
      <c r="C22" s="26">
        <v>17128.16</v>
      </c>
      <c r="D22" s="26">
        <v>19854.9175</v>
      </c>
      <c r="E22" s="26">
        <v>19871.1175</v>
      </c>
      <c r="F22" s="27"/>
      <c r="G22" s="28">
        <v>16.014315022746175</v>
      </c>
      <c r="H22" s="29">
        <v>8.1591877679684899E-2</v>
      </c>
    </row>
    <row r="23" spans="1:8" x14ac:dyDescent="0.2">
      <c r="A23" s="39" t="s">
        <v>193</v>
      </c>
      <c r="B23" s="31" t="s">
        <v>3</v>
      </c>
      <c r="C23" s="20">
        <v>5769</v>
      </c>
      <c r="D23" s="20">
        <v>6375</v>
      </c>
      <c r="E23" s="20">
        <v>6434.6520641078814</v>
      </c>
      <c r="F23" s="22" t="s">
        <v>241</v>
      </c>
      <c r="G23" s="37">
        <v>11.538430648429213</v>
      </c>
      <c r="H23" s="33">
        <v>0.93571865267266219</v>
      </c>
    </row>
    <row r="24" spans="1:8" x14ac:dyDescent="0.2">
      <c r="A24" s="34"/>
      <c r="B24" s="25" t="s">
        <v>242</v>
      </c>
      <c r="C24" s="26">
        <v>4269</v>
      </c>
      <c r="D24" s="26">
        <v>4618.1849056603778</v>
      </c>
      <c r="E24" s="26">
        <v>4715</v>
      </c>
      <c r="F24" s="27"/>
      <c r="G24" s="28">
        <v>10.447411571796678</v>
      </c>
      <c r="H24" s="29">
        <v>2.0963884365253307</v>
      </c>
    </row>
    <row r="25" spans="1:8" x14ac:dyDescent="0.2">
      <c r="A25" s="39" t="s">
        <v>194</v>
      </c>
      <c r="B25" s="31" t="s">
        <v>3</v>
      </c>
      <c r="C25" s="20">
        <v>1154</v>
      </c>
      <c r="D25" s="20">
        <v>1628</v>
      </c>
      <c r="E25" s="20">
        <v>1609.1613022056451</v>
      </c>
      <c r="F25" s="22" t="s">
        <v>241</v>
      </c>
      <c r="G25" s="37">
        <v>39.442053917300257</v>
      </c>
      <c r="H25" s="33">
        <v>-1.15716816918642</v>
      </c>
    </row>
    <row r="26" spans="1:8" x14ac:dyDescent="0.2">
      <c r="A26" s="34"/>
      <c r="B26" s="25" t="s">
        <v>242</v>
      </c>
      <c r="C26" s="26">
        <v>877</v>
      </c>
      <c r="D26" s="26">
        <v>1103.6732954545455</v>
      </c>
      <c r="E26" s="26">
        <v>1127</v>
      </c>
      <c r="F26" s="27"/>
      <c r="G26" s="28">
        <v>28.506271379703549</v>
      </c>
      <c r="H26" s="29">
        <v>2.1135515955242425</v>
      </c>
    </row>
    <row r="27" spans="1:8" x14ac:dyDescent="0.2">
      <c r="A27" s="39" t="s">
        <v>195</v>
      </c>
      <c r="B27" s="31" t="s">
        <v>3</v>
      </c>
      <c r="C27" s="20">
        <v>281786.98794041621</v>
      </c>
      <c r="D27" s="20">
        <v>335300.03885714285</v>
      </c>
      <c r="E27" s="20">
        <v>331604.66566887149</v>
      </c>
      <c r="F27" s="22" t="s">
        <v>241</v>
      </c>
      <c r="G27" s="37">
        <v>17.679197358463256</v>
      </c>
      <c r="H27" s="33">
        <v>-1.1021093826493029</v>
      </c>
    </row>
    <row r="28" spans="1:8" x14ac:dyDescent="0.2">
      <c r="A28" s="34"/>
      <c r="B28" s="25" t="s">
        <v>242</v>
      </c>
      <c r="C28" s="26">
        <v>201813.89713771018</v>
      </c>
      <c r="D28" s="26">
        <v>228573.55542857142</v>
      </c>
      <c r="E28" s="26">
        <v>233131.40685714287</v>
      </c>
      <c r="F28" s="27"/>
      <c r="G28" s="28">
        <v>15.5180144497496</v>
      </c>
      <c r="H28" s="29">
        <v>1.9940414454443527</v>
      </c>
    </row>
    <row r="29" spans="1:8" x14ac:dyDescent="0.2">
      <c r="A29" s="30" t="s">
        <v>10</v>
      </c>
      <c r="B29" s="31" t="s">
        <v>3</v>
      </c>
      <c r="C29" s="20">
        <v>333492</v>
      </c>
      <c r="D29" s="20">
        <v>351332</v>
      </c>
      <c r="E29" s="20">
        <v>500836.92955012084</v>
      </c>
      <c r="F29" s="22" t="s">
        <v>241</v>
      </c>
      <c r="G29" s="37">
        <v>50.179593378588038</v>
      </c>
      <c r="H29" s="33">
        <v>42.553746755240297</v>
      </c>
    </row>
    <row r="30" spans="1:8" x14ac:dyDescent="0.2">
      <c r="A30" s="30"/>
      <c r="B30" s="25" t="s">
        <v>242</v>
      </c>
      <c r="C30" s="26">
        <v>261928</v>
      </c>
      <c r="D30" s="26">
        <v>271454.89423076925</v>
      </c>
      <c r="E30" s="26">
        <v>389077</v>
      </c>
      <c r="F30" s="27"/>
      <c r="G30" s="28">
        <v>48.543492868269141</v>
      </c>
      <c r="H30" s="29">
        <v>43.330257906213262</v>
      </c>
    </row>
    <row r="31" spans="1:8" x14ac:dyDescent="0.2">
      <c r="A31" s="39" t="s">
        <v>11</v>
      </c>
      <c r="B31" s="31" t="s">
        <v>3</v>
      </c>
      <c r="C31" s="20">
        <v>12077.194513715711</v>
      </c>
      <c r="D31" s="20">
        <v>10785.192019950126</v>
      </c>
      <c r="E31" s="20">
        <v>13712.623697702944</v>
      </c>
      <c r="F31" s="22" t="s">
        <v>241</v>
      </c>
      <c r="G31" s="37">
        <v>13.5414659599125</v>
      </c>
      <c r="H31" s="33">
        <v>27.143064975920169</v>
      </c>
    </row>
    <row r="32" spans="1:8" x14ac:dyDescent="0.2">
      <c r="A32" s="34"/>
      <c r="B32" s="25" t="s">
        <v>242</v>
      </c>
      <c r="C32" s="26">
        <v>9968.6290523690768</v>
      </c>
      <c r="D32" s="26">
        <v>8920.4557356608475</v>
      </c>
      <c r="E32" s="26">
        <v>11333.992503086034</v>
      </c>
      <c r="F32" s="27"/>
      <c r="G32" s="28">
        <v>13.696602045719359</v>
      </c>
      <c r="H32" s="29">
        <v>27.056204738248013</v>
      </c>
    </row>
    <row r="33" spans="1:8" x14ac:dyDescent="0.2">
      <c r="A33" s="30" t="s">
        <v>12</v>
      </c>
      <c r="B33" s="31" t="s">
        <v>3</v>
      </c>
      <c r="C33" s="20">
        <v>11145.096</v>
      </c>
      <c r="D33" s="20">
        <v>11204.776</v>
      </c>
      <c r="E33" s="20">
        <v>12127.733785832655</v>
      </c>
      <c r="F33" s="22" t="s">
        <v>241</v>
      </c>
      <c r="G33" s="37">
        <v>8.8167727387243247</v>
      </c>
      <c r="H33" s="33">
        <v>8.2371819466329015</v>
      </c>
    </row>
    <row r="34" spans="1:8" x14ac:dyDescent="0.2">
      <c r="A34" s="30"/>
      <c r="B34" s="25" t="s">
        <v>242</v>
      </c>
      <c r="C34" s="26">
        <v>7980.5069999999996</v>
      </c>
      <c r="D34" s="26">
        <v>7645.16</v>
      </c>
      <c r="E34" s="26">
        <v>8406.9601644300001</v>
      </c>
      <c r="F34" s="27"/>
      <c r="G34" s="28">
        <v>5.3436851121113023</v>
      </c>
      <c r="H34" s="29">
        <v>9.9644764063799869</v>
      </c>
    </row>
    <row r="35" spans="1:8" x14ac:dyDescent="0.2">
      <c r="A35" s="39" t="s">
        <v>13</v>
      </c>
      <c r="B35" s="31" t="s">
        <v>3</v>
      </c>
      <c r="C35" s="20">
        <v>83</v>
      </c>
      <c r="D35" s="20">
        <v>47</v>
      </c>
      <c r="E35" s="20">
        <v>45.562693498452013</v>
      </c>
      <c r="F35" s="22" t="s">
        <v>241</v>
      </c>
      <c r="G35" s="23">
        <v>-45.105188556081913</v>
      </c>
      <c r="H35" s="24">
        <v>-3.0580989394638038</v>
      </c>
    </row>
    <row r="36" spans="1:8" x14ac:dyDescent="0.2">
      <c r="A36" s="34"/>
      <c r="B36" s="25" t="s">
        <v>242</v>
      </c>
      <c r="C36" s="26">
        <v>68</v>
      </c>
      <c r="D36" s="26">
        <v>38</v>
      </c>
      <c r="E36" s="26">
        <v>37</v>
      </c>
      <c r="F36" s="27"/>
      <c r="G36" s="28">
        <v>-45.588235294117652</v>
      </c>
      <c r="H36" s="29">
        <v>-2.6315789473684248</v>
      </c>
    </row>
    <row r="37" spans="1:8" x14ac:dyDescent="0.2">
      <c r="A37" s="30" t="s">
        <v>14</v>
      </c>
      <c r="B37" s="31" t="s">
        <v>3</v>
      </c>
      <c r="C37" s="40">
        <v>76174.398746438732</v>
      </c>
      <c r="D37" s="40">
        <v>103941.98</v>
      </c>
      <c r="E37" s="20">
        <v>126113.05535602166</v>
      </c>
      <c r="F37" s="22" t="s">
        <v>241</v>
      </c>
      <c r="G37" s="23">
        <v>65.558320684372518</v>
      </c>
      <c r="H37" s="24">
        <v>21.330241502058826</v>
      </c>
    </row>
    <row r="38" spans="1:8" ht="13.5" thickBot="1" x14ac:dyDescent="0.25">
      <c r="A38" s="41"/>
      <c r="B38" s="42" t="s">
        <v>242</v>
      </c>
      <c r="C38" s="43">
        <v>55481.981846153845</v>
      </c>
      <c r="D38" s="43">
        <v>75341.627884615387</v>
      </c>
      <c r="E38" s="43">
        <v>91559.323278582699</v>
      </c>
      <c r="F38" s="44"/>
      <c r="G38" s="45">
        <v>65.025329362725046</v>
      </c>
      <c r="H38" s="46">
        <v>21.525544176991332</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8"/>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6">
        <v>9</v>
      </c>
    </row>
    <row r="62" spans="1:8" ht="12.75" customHeight="1" x14ac:dyDescent="0.2">
      <c r="A62" s="54" t="s">
        <v>244</v>
      </c>
      <c r="G62" s="53"/>
      <c r="H62" s="199"/>
    </row>
    <row r="63" spans="1:8" x14ac:dyDescent="0.2">
      <c r="H63" s="87"/>
    </row>
    <row r="64" spans="1:8" x14ac:dyDescent="0.2">
      <c r="A64" s="205"/>
      <c r="H64" s="53"/>
    </row>
    <row r="65" spans="1:8" x14ac:dyDescent="0.2">
      <c r="A65" s="205"/>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07" t="s">
        <v>16</v>
      </c>
      <c r="D5" s="201"/>
      <c r="E5" s="201"/>
      <c r="F5" s="208"/>
      <c r="G5" s="201" t="s">
        <v>1</v>
      </c>
      <c r="H5" s="202"/>
    </row>
    <row r="6" spans="1:10" x14ac:dyDescent="0.2">
      <c r="A6" s="12"/>
      <c r="B6" s="13"/>
      <c r="C6" s="14" t="s">
        <v>236</v>
      </c>
      <c r="D6" s="15" t="s">
        <v>237</v>
      </c>
      <c r="E6" s="15" t="s">
        <v>238</v>
      </c>
      <c r="F6" s="16"/>
      <c r="G6" s="17" t="s">
        <v>239</v>
      </c>
      <c r="H6" s="18" t="s">
        <v>240</v>
      </c>
    </row>
    <row r="7" spans="1:10" x14ac:dyDescent="0.2">
      <c r="A7" s="203" t="s">
        <v>2</v>
      </c>
      <c r="B7" s="19" t="s">
        <v>3</v>
      </c>
      <c r="C7" s="80">
        <v>42419.490055589828</v>
      </c>
      <c r="D7" s="80">
        <v>43407.636043431892</v>
      </c>
      <c r="E7" s="81">
        <v>44240.880769107993</v>
      </c>
      <c r="F7" s="22" t="s">
        <v>241</v>
      </c>
      <c r="G7" s="23">
        <v>4.2937590978375084</v>
      </c>
      <c r="H7" s="24">
        <v>1.9195809807343238</v>
      </c>
    </row>
    <row r="8" spans="1:10" x14ac:dyDescent="0.2">
      <c r="A8" s="204"/>
      <c r="B8" s="25" t="s">
        <v>242</v>
      </c>
      <c r="C8" s="82">
        <v>32133.230962033125</v>
      </c>
      <c r="D8" s="82">
        <v>32768.38811532675</v>
      </c>
      <c r="E8" s="82">
        <v>33435.832099715946</v>
      </c>
      <c r="F8" s="27"/>
      <c r="G8" s="28">
        <v>4.0537508948972629</v>
      </c>
      <c r="H8" s="29">
        <v>2.0368532685835987</v>
      </c>
      <c r="J8" s="95"/>
    </row>
    <row r="9" spans="1:10" x14ac:dyDescent="0.2">
      <c r="A9" s="30" t="s">
        <v>4</v>
      </c>
      <c r="B9" s="31" t="s">
        <v>3</v>
      </c>
      <c r="C9" s="80">
        <v>10356.019765532123</v>
      </c>
      <c r="D9" s="80">
        <v>10720.587163369206</v>
      </c>
      <c r="E9" s="80">
        <v>11458.236445986007</v>
      </c>
      <c r="F9" s="22" t="s">
        <v>241</v>
      </c>
      <c r="G9" s="32">
        <v>10.643246202777505</v>
      </c>
      <c r="H9" s="33">
        <v>6.8806798673980154</v>
      </c>
    </row>
    <row r="10" spans="1:10" x14ac:dyDescent="0.2">
      <c r="A10" s="34"/>
      <c r="B10" s="25" t="s">
        <v>242</v>
      </c>
      <c r="C10" s="82">
        <v>7823.0028290349646</v>
      </c>
      <c r="D10" s="82">
        <v>7940.2293511089874</v>
      </c>
      <c r="E10" s="82">
        <v>8542.1836320153106</v>
      </c>
      <c r="F10" s="27"/>
      <c r="G10" s="35">
        <v>9.1931553483672275</v>
      </c>
      <c r="H10" s="29">
        <v>7.5810691894214557</v>
      </c>
      <c r="J10" s="95"/>
    </row>
    <row r="11" spans="1:10" x14ac:dyDescent="0.2">
      <c r="A11" s="30" t="s">
        <v>5</v>
      </c>
      <c r="B11" s="31" t="s">
        <v>3</v>
      </c>
      <c r="C11" s="80">
        <v>4805.3198537058943</v>
      </c>
      <c r="D11" s="80">
        <v>5112.0898873813076</v>
      </c>
      <c r="E11" s="80">
        <v>4434.1680112648964</v>
      </c>
      <c r="F11" s="22" t="s">
        <v>241</v>
      </c>
      <c r="G11" s="37">
        <v>-7.7237697747583525</v>
      </c>
      <c r="H11" s="33">
        <v>-13.261149374344811</v>
      </c>
    </row>
    <row r="12" spans="1:10" x14ac:dyDescent="0.2">
      <c r="A12" s="34"/>
      <c r="B12" s="25" t="s">
        <v>242</v>
      </c>
      <c r="C12" s="82">
        <v>3494.620042249554</v>
      </c>
      <c r="D12" s="82">
        <v>3845.6480712881321</v>
      </c>
      <c r="E12" s="82">
        <v>3297.8428890743071</v>
      </c>
      <c r="F12" s="27"/>
      <c r="G12" s="28">
        <v>-5.6308597442993431</v>
      </c>
      <c r="H12" s="29">
        <v>-14.244807950674826</v>
      </c>
    </row>
    <row r="13" spans="1:10" x14ac:dyDescent="0.2">
      <c r="A13" s="30" t="s">
        <v>6</v>
      </c>
      <c r="B13" s="31" t="s">
        <v>3</v>
      </c>
      <c r="C13" s="80">
        <v>8904.3769745772461</v>
      </c>
      <c r="D13" s="80">
        <v>8866.8966085764332</v>
      </c>
      <c r="E13" s="80">
        <v>8583.7358495020653</v>
      </c>
      <c r="F13" s="22" t="s">
        <v>241</v>
      </c>
      <c r="G13" s="23">
        <v>-3.6009383474064407</v>
      </c>
      <c r="H13" s="24">
        <v>-3.1934595786363644</v>
      </c>
    </row>
    <row r="14" spans="1:10" x14ac:dyDescent="0.2">
      <c r="A14" s="34"/>
      <c r="B14" s="25" t="s">
        <v>242</v>
      </c>
      <c r="C14" s="82">
        <v>6749.2810834624852</v>
      </c>
      <c r="D14" s="82">
        <v>6540.8636296685318</v>
      </c>
      <c r="E14" s="82">
        <v>6389.0238891145445</v>
      </c>
      <c r="F14" s="27"/>
      <c r="G14" s="38">
        <v>-5.3377121191568904</v>
      </c>
      <c r="H14" s="24">
        <v>-2.3214020219785851</v>
      </c>
    </row>
    <row r="15" spans="1:10" x14ac:dyDescent="0.2">
      <c r="A15" s="30" t="s">
        <v>169</v>
      </c>
      <c r="B15" s="31" t="s">
        <v>3</v>
      </c>
      <c r="C15" s="80">
        <v>6748.8583414238074</v>
      </c>
      <c r="D15" s="80">
        <v>5905.4067986511109</v>
      </c>
      <c r="E15" s="80">
        <v>5680.9311597739097</v>
      </c>
      <c r="F15" s="22" t="s">
        <v>241</v>
      </c>
      <c r="G15" s="37">
        <v>-15.823819787341947</v>
      </c>
      <c r="H15" s="33">
        <v>-3.8011884114143442</v>
      </c>
    </row>
    <row r="16" spans="1:10" x14ac:dyDescent="0.2">
      <c r="A16" s="34"/>
      <c r="B16" s="25" t="s">
        <v>242</v>
      </c>
      <c r="C16" s="82">
        <v>5286.9828060371356</v>
      </c>
      <c r="D16" s="82">
        <v>4767.1996395704155</v>
      </c>
      <c r="E16" s="82">
        <v>4539.8772908809278</v>
      </c>
      <c r="F16" s="27"/>
      <c r="G16" s="28">
        <v>-14.131037352780822</v>
      </c>
      <c r="H16" s="29">
        <v>-4.7684671479370309</v>
      </c>
    </row>
    <row r="17" spans="1:8" x14ac:dyDescent="0.2">
      <c r="A17" s="30" t="s">
        <v>7</v>
      </c>
      <c r="B17" s="31" t="s">
        <v>3</v>
      </c>
      <c r="C17" s="80">
        <v>1876.3099251303952</v>
      </c>
      <c r="D17" s="80">
        <v>2097.286501513945</v>
      </c>
      <c r="E17" s="80">
        <v>1841.6215610150068</v>
      </c>
      <c r="F17" s="22" t="s">
        <v>241</v>
      </c>
      <c r="G17" s="23">
        <v>-1.8487544968338767</v>
      </c>
      <c r="H17" s="24">
        <v>-12.190272540942033</v>
      </c>
    </row>
    <row r="18" spans="1:8" x14ac:dyDescent="0.2">
      <c r="A18" s="30"/>
      <c r="B18" s="25" t="s">
        <v>242</v>
      </c>
      <c r="C18" s="82">
        <v>1363.7842889789267</v>
      </c>
      <c r="D18" s="82">
        <v>1538.0958501144171</v>
      </c>
      <c r="E18" s="82">
        <v>1346.5649977752037</v>
      </c>
      <c r="F18" s="27"/>
      <c r="G18" s="38">
        <v>-1.2626110553462411</v>
      </c>
      <c r="H18" s="24">
        <v>-12.452465320998414</v>
      </c>
    </row>
    <row r="19" spans="1:8" x14ac:dyDescent="0.2">
      <c r="A19" s="39" t="s">
        <v>8</v>
      </c>
      <c r="B19" s="31" t="s">
        <v>3</v>
      </c>
      <c r="C19" s="80">
        <v>1723.7394637740249</v>
      </c>
      <c r="D19" s="80">
        <v>1715.0155545624007</v>
      </c>
      <c r="E19" s="80">
        <v>1994.751567222896</v>
      </c>
      <c r="F19" s="22" t="s">
        <v>241</v>
      </c>
      <c r="G19" s="37">
        <v>15.722335604912502</v>
      </c>
      <c r="H19" s="33">
        <v>16.310989828420077</v>
      </c>
    </row>
    <row r="20" spans="1:8" x14ac:dyDescent="0.2">
      <c r="A20" s="34"/>
      <c r="B20" s="25" t="s">
        <v>242</v>
      </c>
      <c r="C20" s="82">
        <v>1305.4693500324836</v>
      </c>
      <c r="D20" s="82">
        <v>1281.1842179109667</v>
      </c>
      <c r="E20" s="82">
        <v>1496.9494315651555</v>
      </c>
      <c r="F20" s="27"/>
      <c r="G20" s="28">
        <v>14.66752792992861</v>
      </c>
      <c r="H20" s="29">
        <v>16.841076453939195</v>
      </c>
    </row>
    <row r="21" spans="1:8" x14ac:dyDescent="0.2">
      <c r="A21" s="39" t="s">
        <v>9</v>
      </c>
      <c r="B21" s="31" t="s">
        <v>3</v>
      </c>
      <c r="C21" s="80">
        <v>573.57984776658577</v>
      </c>
      <c r="D21" s="80">
        <v>750.93103671113693</v>
      </c>
      <c r="E21" s="80">
        <v>842.3034610172441</v>
      </c>
      <c r="F21" s="22" t="s">
        <v>241</v>
      </c>
      <c r="G21" s="37">
        <v>46.850253595383208</v>
      </c>
      <c r="H21" s="33">
        <v>12.167884910749223</v>
      </c>
    </row>
    <row r="22" spans="1:8" x14ac:dyDescent="0.2">
      <c r="A22" s="34"/>
      <c r="B22" s="25" t="s">
        <v>242</v>
      </c>
      <c r="C22" s="82">
        <v>416.25019085927642</v>
      </c>
      <c r="D22" s="82">
        <v>567.3578591433693</v>
      </c>
      <c r="E22" s="82">
        <v>627.79056663159804</v>
      </c>
      <c r="F22" s="27"/>
      <c r="G22" s="28">
        <v>50.820487393803518</v>
      </c>
      <c r="H22" s="29">
        <v>10.651603130954015</v>
      </c>
    </row>
    <row r="23" spans="1:8" x14ac:dyDescent="0.2">
      <c r="A23" s="39" t="s">
        <v>193</v>
      </c>
      <c r="B23" s="31" t="s">
        <v>3</v>
      </c>
      <c r="C23" s="80">
        <v>1042.4939548825182</v>
      </c>
      <c r="D23" s="80">
        <v>1135.0357251820456</v>
      </c>
      <c r="E23" s="80">
        <v>1488.5928667839423</v>
      </c>
      <c r="F23" s="22" t="s">
        <v>241</v>
      </c>
      <c r="G23" s="23">
        <v>42.791510666524346</v>
      </c>
      <c r="H23" s="24">
        <v>31.149428494437103</v>
      </c>
    </row>
    <row r="24" spans="1:8" x14ac:dyDescent="0.2">
      <c r="A24" s="34"/>
      <c r="B24" s="25" t="s">
        <v>242</v>
      </c>
      <c r="C24" s="82">
        <v>788.59425140615417</v>
      </c>
      <c r="D24" s="82">
        <v>802.08942815572084</v>
      </c>
      <c r="E24" s="82">
        <v>1072.5941125280385</v>
      </c>
      <c r="F24" s="27"/>
      <c r="G24" s="38">
        <v>36.013432841474554</v>
      </c>
      <c r="H24" s="24">
        <v>33.72500308279848</v>
      </c>
    </row>
    <row r="25" spans="1:8" x14ac:dyDescent="0.2">
      <c r="A25" s="39" t="s">
        <v>194</v>
      </c>
      <c r="B25" s="31" t="s">
        <v>3</v>
      </c>
      <c r="C25" s="80">
        <v>442.39533603703234</v>
      </c>
      <c r="D25" s="80">
        <v>454.12308686202277</v>
      </c>
      <c r="E25" s="80">
        <v>660.36849351414969</v>
      </c>
      <c r="F25" s="22" t="s">
        <v>241</v>
      </c>
      <c r="G25" s="37">
        <v>49.271124652831134</v>
      </c>
      <c r="H25" s="33">
        <v>45.416190592131443</v>
      </c>
    </row>
    <row r="26" spans="1:8" x14ac:dyDescent="0.2">
      <c r="A26" s="34"/>
      <c r="B26" s="25" t="s">
        <v>242</v>
      </c>
      <c r="C26" s="82">
        <v>369.99379130361183</v>
      </c>
      <c r="D26" s="82">
        <v>339.56913184407608</v>
      </c>
      <c r="E26" s="82">
        <v>494.28345973779926</v>
      </c>
      <c r="F26" s="27"/>
      <c r="G26" s="38">
        <v>33.592365968162142</v>
      </c>
      <c r="H26" s="24">
        <v>45.561952894106156</v>
      </c>
    </row>
    <row r="27" spans="1:8" x14ac:dyDescent="0.2">
      <c r="A27" s="39" t="s">
        <v>195</v>
      </c>
      <c r="B27" s="31" t="s">
        <v>3</v>
      </c>
      <c r="C27" s="80">
        <v>1097.9182333987906</v>
      </c>
      <c r="D27" s="80">
        <v>1333.7987954130613</v>
      </c>
      <c r="E27" s="80">
        <v>1367.4007885206563</v>
      </c>
      <c r="F27" s="22" t="s">
        <v>241</v>
      </c>
      <c r="G27" s="37">
        <v>24.544865630625083</v>
      </c>
      <c r="H27" s="33">
        <v>2.5192700145743459</v>
      </c>
    </row>
    <row r="28" spans="1:8" x14ac:dyDescent="0.2">
      <c r="A28" s="34"/>
      <c r="B28" s="25" t="s">
        <v>242</v>
      </c>
      <c r="C28" s="82">
        <v>792.55013661210501</v>
      </c>
      <c r="D28" s="82">
        <v>953.43436993335831</v>
      </c>
      <c r="E28" s="82">
        <v>992.97695116972739</v>
      </c>
      <c r="F28" s="27"/>
      <c r="G28" s="38">
        <v>25.28884991609263</v>
      </c>
      <c r="H28" s="24">
        <v>4.1473836567411411</v>
      </c>
    </row>
    <row r="29" spans="1:8" x14ac:dyDescent="0.2">
      <c r="A29" s="30" t="s">
        <v>10</v>
      </c>
      <c r="B29" s="31" t="s">
        <v>3</v>
      </c>
      <c r="C29" s="80">
        <v>2198.8611608924539</v>
      </c>
      <c r="D29" s="80">
        <v>2298.9281077959999</v>
      </c>
      <c r="E29" s="80">
        <v>2762.6610091729353</v>
      </c>
      <c r="F29" s="22" t="s">
        <v>241</v>
      </c>
      <c r="G29" s="37">
        <v>25.640538761967662</v>
      </c>
      <c r="H29" s="33">
        <v>20.171700881134541</v>
      </c>
    </row>
    <row r="30" spans="1:8" x14ac:dyDescent="0.2">
      <c r="A30" s="30"/>
      <c r="B30" s="25" t="s">
        <v>242</v>
      </c>
      <c r="C30" s="82">
        <v>1739.1033802745555</v>
      </c>
      <c r="D30" s="82">
        <v>1851.682857968809</v>
      </c>
      <c r="E30" s="82">
        <v>2211.642284581782</v>
      </c>
      <c r="F30" s="27"/>
      <c r="G30" s="28">
        <v>27.171409685410765</v>
      </c>
      <c r="H30" s="29">
        <v>19.439583029235791</v>
      </c>
    </row>
    <row r="31" spans="1:8" x14ac:dyDescent="0.2">
      <c r="A31" s="39" t="s">
        <v>11</v>
      </c>
      <c r="B31" s="31" t="s">
        <v>3</v>
      </c>
      <c r="C31" s="80">
        <v>540.69659437321695</v>
      </c>
      <c r="D31" s="80">
        <v>506.53855755591928</v>
      </c>
      <c r="E31" s="80">
        <v>604.75198197622433</v>
      </c>
      <c r="F31" s="22" t="s">
        <v>241</v>
      </c>
      <c r="G31" s="23">
        <v>11.846826532588267</v>
      </c>
      <c r="H31" s="24">
        <v>19.389130986235486</v>
      </c>
    </row>
    <row r="32" spans="1:8" x14ac:dyDescent="0.2">
      <c r="A32" s="34"/>
      <c r="B32" s="25" t="s">
        <v>242</v>
      </c>
      <c r="C32" s="82">
        <v>459.96772914450486</v>
      </c>
      <c r="D32" s="82">
        <v>434.7220534550143</v>
      </c>
      <c r="E32" s="82">
        <v>517.48476821085421</v>
      </c>
      <c r="F32" s="27"/>
      <c r="G32" s="38">
        <v>12.504581391682734</v>
      </c>
      <c r="H32" s="24">
        <v>19.038075960966722</v>
      </c>
    </row>
    <row r="33" spans="1:8" x14ac:dyDescent="0.2">
      <c r="A33" s="30" t="s">
        <v>12</v>
      </c>
      <c r="B33" s="31" t="s">
        <v>3</v>
      </c>
      <c r="C33" s="80">
        <v>1093.9684121220591</v>
      </c>
      <c r="D33" s="80">
        <v>1202.7935045741633</v>
      </c>
      <c r="E33" s="80">
        <v>1341.8702078082874</v>
      </c>
      <c r="F33" s="22" t="s">
        <v>241</v>
      </c>
      <c r="G33" s="37">
        <v>22.660781878093999</v>
      </c>
      <c r="H33" s="33">
        <v>11.562807972043615</v>
      </c>
    </row>
    <row r="34" spans="1:8" x14ac:dyDescent="0.2">
      <c r="A34" s="30"/>
      <c r="B34" s="25" t="s">
        <v>242</v>
      </c>
      <c r="C34" s="82">
        <v>757.47810499964385</v>
      </c>
      <c r="D34" s="82">
        <v>893.73782567895341</v>
      </c>
      <c r="E34" s="82">
        <v>973.35082171501472</v>
      </c>
      <c r="F34" s="27"/>
      <c r="G34" s="28">
        <v>28.498872150961034</v>
      </c>
      <c r="H34" s="29">
        <v>8.9078691478209606</v>
      </c>
    </row>
    <row r="35" spans="1:8" x14ac:dyDescent="0.2">
      <c r="A35" s="39" t="s">
        <v>13</v>
      </c>
      <c r="B35" s="31" t="s">
        <v>3</v>
      </c>
      <c r="C35" s="80">
        <v>178.36200313241494</v>
      </c>
      <c r="D35" s="80">
        <v>271.74329495989718</v>
      </c>
      <c r="E35" s="80">
        <v>140.51892028653072</v>
      </c>
      <c r="F35" s="22" t="s">
        <v>241</v>
      </c>
      <c r="G35" s="23">
        <v>-21.217009330058787</v>
      </c>
      <c r="H35" s="24">
        <v>-48.289829816309563</v>
      </c>
    </row>
    <row r="36" spans="1:8" x14ac:dyDescent="0.2">
      <c r="A36" s="34"/>
      <c r="B36" s="25" t="s">
        <v>242</v>
      </c>
      <c r="C36" s="82">
        <v>149.75039763065843</v>
      </c>
      <c r="D36" s="82">
        <v>247.17795775804598</v>
      </c>
      <c r="E36" s="82">
        <v>124.35932278810138</v>
      </c>
      <c r="F36" s="27"/>
      <c r="G36" s="28">
        <v>-16.955597610619449</v>
      </c>
      <c r="H36" s="29">
        <v>-49.688344415470709</v>
      </c>
    </row>
    <row r="37" spans="1:8" x14ac:dyDescent="0.2">
      <c r="A37" s="30" t="s">
        <v>14</v>
      </c>
      <c r="B37" s="31" t="s">
        <v>3</v>
      </c>
      <c r="C37" s="85">
        <v>836.59018884125203</v>
      </c>
      <c r="D37" s="85">
        <v>1036.4614203232363</v>
      </c>
      <c r="E37" s="83">
        <v>1084.7082201893027</v>
      </c>
      <c r="F37" s="22" t="s">
        <v>241</v>
      </c>
      <c r="G37" s="23">
        <v>29.658252589803254</v>
      </c>
      <c r="H37" s="24">
        <v>4.6549537609436413</v>
      </c>
    </row>
    <row r="38" spans="1:8" ht="13.5" thickBot="1" x14ac:dyDescent="0.25">
      <c r="A38" s="41"/>
      <c r="B38" s="42" t="s">
        <v>242</v>
      </c>
      <c r="C38" s="86">
        <v>636.40258000706467</v>
      </c>
      <c r="D38" s="86">
        <v>765.39587172795655</v>
      </c>
      <c r="E38" s="86">
        <v>808.90768192759413</v>
      </c>
      <c r="F38" s="44"/>
      <c r="G38" s="45">
        <v>27.10628575996887</v>
      </c>
      <c r="H38" s="46">
        <v>5.6848765203561129</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8"/>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8">
        <v>10</v>
      </c>
    </row>
    <row r="62" spans="1:8" ht="12.75" customHeight="1" x14ac:dyDescent="0.2">
      <c r="A62" s="54" t="s">
        <v>244</v>
      </c>
      <c r="H62" s="199"/>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1" t="s">
        <v>1</v>
      </c>
      <c r="H5" s="202"/>
    </row>
    <row r="6" spans="1:8" x14ac:dyDescent="0.2">
      <c r="A6" s="12"/>
      <c r="B6" s="13"/>
      <c r="C6" s="14" t="s">
        <v>236</v>
      </c>
      <c r="D6" s="15" t="s">
        <v>237</v>
      </c>
      <c r="E6" s="15" t="s">
        <v>238</v>
      </c>
      <c r="F6" s="16"/>
      <c r="G6" s="17" t="s">
        <v>239</v>
      </c>
      <c r="H6" s="18" t="s">
        <v>240</v>
      </c>
    </row>
    <row r="7" spans="1:8" x14ac:dyDescent="0.2">
      <c r="A7" s="203" t="s">
        <v>26</v>
      </c>
      <c r="B7" s="19" t="s">
        <v>3</v>
      </c>
      <c r="C7" s="20">
        <v>908662.80747384159</v>
      </c>
      <c r="D7" s="20">
        <v>881354.73572496255</v>
      </c>
      <c r="E7" s="21">
        <v>905684.56468148611</v>
      </c>
      <c r="F7" s="22" t="s">
        <v>241</v>
      </c>
      <c r="G7" s="23">
        <v>-0.32776105369991626</v>
      </c>
      <c r="H7" s="24">
        <v>2.7605035714150858</v>
      </c>
    </row>
    <row r="8" spans="1:8" x14ac:dyDescent="0.2">
      <c r="A8" s="204"/>
      <c r="B8" s="25" t="s">
        <v>242</v>
      </c>
      <c r="C8" s="26">
        <v>698343.05829596415</v>
      </c>
      <c r="D8" s="26">
        <v>675826.55964125553</v>
      </c>
      <c r="E8" s="26">
        <v>695005.78228699556</v>
      </c>
      <c r="F8" s="27"/>
      <c r="G8" s="28">
        <v>-0.47788489759057029</v>
      </c>
      <c r="H8" s="29">
        <v>2.8378912269918573</v>
      </c>
    </row>
    <row r="9" spans="1:8" x14ac:dyDescent="0.2">
      <c r="A9" s="30" t="s">
        <v>28</v>
      </c>
      <c r="B9" s="31" t="s">
        <v>3</v>
      </c>
      <c r="C9" s="20">
        <v>832195.44597907318</v>
      </c>
      <c r="D9" s="20">
        <v>806793.38857997011</v>
      </c>
      <c r="E9" s="21">
        <v>835508.55228262872</v>
      </c>
      <c r="F9" s="22" t="s">
        <v>241</v>
      </c>
      <c r="G9" s="32">
        <v>0.39811637032664748</v>
      </c>
      <c r="H9" s="33">
        <v>3.5591719155259653</v>
      </c>
    </row>
    <row r="10" spans="1:8" x14ac:dyDescent="0.2">
      <c r="A10" s="34"/>
      <c r="B10" s="25" t="s">
        <v>242</v>
      </c>
      <c r="C10" s="26">
        <v>638911.24663677136</v>
      </c>
      <c r="D10" s="26">
        <v>616185.68771300442</v>
      </c>
      <c r="E10" s="26">
        <v>639225.61582959641</v>
      </c>
      <c r="F10" s="27"/>
      <c r="G10" s="35">
        <v>4.9203890912849602E-2</v>
      </c>
      <c r="H10" s="29">
        <v>3.7391209461721644</v>
      </c>
    </row>
    <row r="11" spans="1:8" x14ac:dyDescent="0.2">
      <c r="A11" s="30" t="s">
        <v>29</v>
      </c>
      <c r="B11" s="31" t="s">
        <v>3</v>
      </c>
      <c r="C11" s="20">
        <v>35271.180747384155</v>
      </c>
      <c r="D11" s="20">
        <v>33630.173572496264</v>
      </c>
      <c r="E11" s="21">
        <v>28235.168449036337</v>
      </c>
      <c r="F11" s="22" t="s">
        <v>241</v>
      </c>
      <c r="G11" s="37">
        <v>-19.948332177310618</v>
      </c>
      <c r="H11" s="33">
        <v>-16.042156641951195</v>
      </c>
    </row>
    <row r="12" spans="1:8" x14ac:dyDescent="0.2">
      <c r="A12" s="34"/>
      <c r="B12" s="25" t="s">
        <v>242</v>
      </c>
      <c r="C12" s="26">
        <v>26860.905829596413</v>
      </c>
      <c r="D12" s="26">
        <v>26287.935964125558</v>
      </c>
      <c r="E12" s="26">
        <v>21878.08322869955</v>
      </c>
      <c r="F12" s="27"/>
      <c r="G12" s="28">
        <v>-18.550463757654029</v>
      </c>
      <c r="H12" s="29">
        <v>-16.775195821551065</v>
      </c>
    </row>
    <row r="13" spans="1:8" x14ac:dyDescent="0.2">
      <c r="A13" s="30" t="s">
        <v>27</v>
      </c>
      <c r="B13" s="31" t="s">
        <v>3</v>
      </c>
      <c r="C13" s="20">
        <v>9937.7542242152467</v>
      </c>
      <c r="D13" s="20">
        <v>10399.352071748879</v>
      </c>
      <c r="E13" s="21">
        <v>10837.921159330706</v>
      </c>
      <c r="F13" s="22" t="s">
        <v>241</v>
      </c>
      <c r="G13" s="23">
        <v>9.0580518979029421</v>
      </c>
      <c r="H13" s="24">
        <v>4.2172731969836406</v>
      </c>
    </row>
    <row r="14" spans="1:8" x14ac:dyDescent="0.2">
      <c r="A14" s="34"/>
      <c r="B14" s="25" t="s">
        <v>242</v>
      </c>
      <c r="C14" s="26">
        <v>7889.0717488789232</v>
      </c>
      <c r="D14" s="26">
        <v>8875.6807892376673</v>
      </c>
      <c r="E14" s="26">
        <v>9024.024968609865</v>
      </c>
      <c r="F14" s="27"/>
      <c r="G14" s="38">
        <v>14.386397485765357</v>
      </c>
      <c r="H14" s="24">
        <v>1.671355503817523</v>
      </c>
    </row>
    <row r="15" spans="1:8" x14ac:dyDescent="0.2">
      <c r="A15" s="30" t="s">
        <v>30</v>
      </c>
      <c r="B15" s="31" t="s">
        <v>3</v>
      </c>
      <c r="C15" s="20">
        <v>14555.672298953661</v>
      </c>
      <c r="D15" s="20">
        <v>14500.469428998505</v>
      </c>
      <c r="E15" s="21">
        <v>15231.876884173404</v>
      </c>
      <c r="F15" s="22" t="s">
        <v>241</v>
      </c>
      <c r="G15" s="37">
        <v>4.645643095910799</v>
      </c>
      <c r="H15" s="33">
        <v>5.0440260486478223</v>
      </c>
    </row>
    <row r="16" spans="1:8" x14ac:dyDescent="0.2">
      <c r="A16" s="34"/>
      <c r="B16" s="25" t="s">
        <v>242</v>
      </c>
      <c r="C16" s="26">
        <v>11225.762331838565</v>
      </c>
      <c r="D16" s="26">
        <v>11330.574385650223</v>
      </c>
      <c r="E16" s="26">
        <v>11850.03329147982</v>
      </c>
      <c r="F16" s="27"/>
      <c r="G16" s="28">
        <v>5.5610562667151271</v>
      </c>
      <c r="H16" s="29">
        <v>4.584576987442702</v>
      </c>
    </row>
    <row r="17" spans="1:9" x14ac:dyDescent="0.2">
      <c r="A17" s="30" t="s">
        <v>31</v>
      </c>
      <c r="B17" s="31" t="s">
        <v>3</v>
      </c>
      <c r="C17" s="20">
        <v>16702.754224215249</v>
      </c>
      <c r="D17" s="20">
        <v>16031.352071748879</v>
      </c>
      <c r="E17" s="21">
        <v>15981.583123885408</v>
      </c>
      <c r="F17" s="22" t="s">
        <v>241</v>
      </c>
      <c r="G17" s="37">
        <v>-4.3176777353539961</v>
      </c>
      <c r="H17" s="33">
        <v>-0.31044760068101596</v>
      </c>
    </row>
    <row r="18" spans="1:9" ht="13.5" thickBot="1" x14ac:dyDescent="0.25">
      <c r="A18" s="56"/>
      <c r="B18" s="42" t="s">
        <v>242</v>
      </c>
      <c r="C18" s="43">
        <v>13456.071748878923</v>
      </c>
      <c r="D18" s="43">
        <v>13146.680789237667</v>
      </c>
      <c r="E18" s="43">
        <v>13028.024968609865</v>
      </c>
      <c r="F18" s="44"/>
      <c r="G18" s="57">
        <v>-3.1810679093972567</v>
      </c>
      <c r="H18" s="46">
        <v>-0.90255344698822171</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7" t="s">
        <v>16</v>
      </c>
      <c r="D33" s="201"/>
      <c r="E33" s="201"/>
      <c r="F33" s="208"/>
      <c r="G33" s="201" t="s">
        <v>1</v>
      </c>
      <c r="H33" s="202"/>
    </row>
    <row r="34" spans="1:9" x14ac:dyDescent="0.2">
      <c r="A34" s="12"/>
      <c r="B34" s="13"/>
      <c r="C34" s="14" t="s">
        <v>236</v>
      </c>
      <c r="D34" s="15" t="s">
        <v>237</v>
      </c>
      <c r="E34" s="15" t="s">
        <v>238</v>
      </c>
      <c r="F34" s="16"/>
      <c r="G34" s="17" t="s">
        <v>239</v>
      </c>
      <c r="H34" s="18" t="s">
        <v>240</v>
      </c>
    </row>
    <row r="35" spans="1:9" ht="12.75" customHeight="1" x14ac:dyDescent="0.2">
      <c r="A35" s="203" t="s">
        <v>26</v>
      </c>
      <c r="B35" s="19" t="s">
        <v>3</v>
      </c>
      <c r="C35" s="80">
        <v>15161.339619238015</v>
      </c>
      <c r="D35" s="80">
        <v>15832.677050750515</v>
      </c>
      <c r="E35" s="83">
        <v>15890.666918765197</v>
      </c>
      <c r="F35" s="22" t="s">
        <v>241</v>
      </c>
      <c r="G35" s="23">
        <v>4.8104410153951562</v>
      </c>
      <c r="H35" s="24">
        <v>0.36626697954362442</v>
      </c>
    </row>
    <row r="36" spans="1:9" ht="12.75" customHeight="1" x14ac:dyDescent="0.2">
      <c r="A36" s="204"/>
      <c r="B36" s="25" t="s">
        <v>242</v>
      </c>
      <c r="C36" s="82">
        <v>11317.622871284517</v>
      </c>
      <c r="D36" s="82">
        <v>11785.877422397121</v>
      </c>
      <c r="E36" s="82">
        <v>11840.026521089618</v>
      </c>
      <c r="F36" s="27"/>
      <c r="G36" s="28">
        <v>4.6158425293580336</v>
      </c>
      <c r="H36" s="29">
        <v>0.45944053846677946</v>
      </c>
    </row>
    <row r="37" spans="1:9" x14ac:dyDescent="0.2">
      <c r="A37" s="30" t="s">
        <v>28</v>
      </c>
      <c r="B37" s="31" t="s">
        <v>3</v>
      </c>
      <c r="C37" s="80">
        <v>12618.122877269709</v>
      </c>
      <c r="D37" s="80">
        <v>13112.650068268358</v>
      </c>
      <c r="E37" s="83">
        <v>13262.060380202802</v>
      </c>
      <c r="F37" s="22" t="s">
        <v>241</v>
      </c>
      <c r="G37" s="32">
        <v>5.1032749418939574</v>
      </c>
      <c r="H37" s="33">
        <v>1.1394364309012133</v>
      </c>
    </row>
    <row r="38" spans="1:9" x14ac:dyDescent="0.2">
      <c r="A38" s="34"/>
      <c r="B38" s="25" t="s">
        <v>242</v>
      </c>
      <c r="C38" s="82">
        <v>9461.3315890943959</v>
      </c>
      <c r="D38" s="82">
        <v>9735.9034269870881</v>
      </c>
      <c r="E38" s="82">
        <v>9879.0692940696499</v>
      </c>
      <c r="F38" s="27"/>
      <c r="G38" s="35">
        <v>4.4152104916897628</v>
      </c>
      <c r="H38" s="29">
        <v>1.4704939110808937</v>
      </c>
    </row>
    <row r="39" spans="1:9" x14ac:dyDescent="0.2">
      <c r="A39" s="30" t="s">
        <v>29</v>
      </c>
      <c r="B39" s="31" t="s">
        <v>3</v>
      </c>
      <c r="C39" s="80">
        <v>1048.4222371036772</v>
      </c>
      <c r="D39" s="80">
        <v>1087.6094540315009</v>
      </c>
      <c r="E39" s="83">
        <v>928.62369752200937</v>
      </c>
      <c r="F39" s="22" t="s">
        <v>241</v>
      </c>
      <c r="G39" s="37">
        <v>-11.426554621029183</v>
      </c>
      <c r="H39" s="33">
        <v>-14.617908654634292</v>
      </c>
    </row>
    <row r="40" spans="1:9" x14ac:dyDescent="0.2">
      <c r="A40" s="34"/>
      <c r="B40" s="25" t="s">
        <v>242</v>
      </c>
      <c r="C40" s="82">
        <v>762.0190528029824</v>
      </c>
      <c r="D40" s="82">
        <v>832.41289699865217</v>
      </c>
      <c r="E40" s="82">
        <v>698.38890587286278</v>
      </c>
      <c r="F40" s="27"/>
      <c r="G40" s="28">
        <v>-8.3502041971345591</v>
      </c>
      <c r="H40" s="29">
        <v>-16.100662496824143</v>
      </c>
    </row>
    <row r="41" spans="1:9" x14ac:dyDescent="0.2">
      <c r="A41" s="30" t="s">
        <v>27</v>
      </c>
      <c r="B41" s="31" t="s">
        <v>3</v>
      </c>
      <c r="C41" s="80">
        <v>292.60341805499149</v>
      </c>
      <c r="D41" s="80">
        <v>313.01303950799797</v>
      </c>
      <c r="E41" s="83">
        <v>322.29144263264175</v>
      </c>
      <c r="F41" s="22" t="s">
        <v>241</v>
      </c>
      <c r="G41" s="23">
        <v>10.146164653507483</v>
      </c>
      <c r="H41" s="24">
        <v>2.9642225573822287</v>
      </c>
    </row>
    <row r="42" spans="1:9" x14ac:dyDescent="0.2">
      <c r="A42" s="34"/>
      <c r="B42" s="25" t="s">
        <v>242</v>
      </c>
      <c r="C42" s="82">
        <v>229.89714675241416</v>
      </c>
      <c r="D42" s="82">
        <v>259.50648254513459</v>
      </c>
      <c r="E42" s="82">
        <v>262.37186719148417</v>
      </c>
      <c r="F42" s="27"/>
      <c r="G42" s="38">
        <v>14.125760540231227</v>
      </c>
      <c r="H42" s="24">
        <v>1.1041668856388611</v>
      </c>
    </row>
    <row r="43" spans="1:9" x14ac:dyDescent="0.2">
      <c r="A43" s="30" t="s">
        <v>30</v>
      </c>
      <c r="B43" s="31" t="s">
        <v>3</v>
      </c>
      <c r="C43" s="80">
        <v>748.4902565046774</v>
      </c>
      <c r="D43" s="80">
        <v>784.17131108572949</v>
      </c>
      <c r="E43" s="83">
        <v>816.8179384990982</v>
      </c>
      <c r="F43" s="22" t="s">
        <v>241</v>
      </c>
      <c r="G43" s="37">
        <v>9.1287336609429559</v>
      </c>
      <c r="H43" s="33">
        <v>4.1632009424277072</v>
      </c>
    </row>
    <row r="44" spans="1:9" x14ac:dyDescent="0.2">
      <c r="A44" s="34"/>
      <c r="B44" s="25" t="s">
        <v>242</v>
      </c>
      <c r="C44" s="82">
        <v>538.76607145589594</v>
      </c>
      <c r="D44" s="82">
        <v>557.66261386475435</v>
      </c>
      <c r="E44" s="82">
        <v>583.21671810487544</v>
      </c>
      <c r="F44" s="27"/>
      <c r="G44" s="28">
        <v>8.2504539546934552</v>
      </c>
      <c r="H44" s="29">
        <v>4.5823592266700786</v>
      </c>
    </row>
    <row r="45" spans="1:9" x14ac:dyDescent="0.2">
      <c r="A45" s="30" t="s">
        <v>31</v>
      </c>
      <c r="B45" s="31" t="s">
        <v>3</v>
      </c>
      <c r="C45" s="80">
        <v>453.70083030496141</v>
      </c>
      <c r="D45" s="80">
        <v>535.23317785692666</v>
      </c>
      <c r="E45" s="83">
        <v>565.27681460437827</v>
      </c>
      <c r="F45" s="22" t="s">
        <v>241</v>
      </c>
      <c r="G45" s="37">
        <v>24.592413512758938</v>
      </c>
      <c r="H45" s="33">
        <v>5.6131865494112958</v>
      </c>
    </row>
    <row r="46" spans="1:9" ht="13.5" thickBot="1" x14ac:dyDescent="0.25">
      <c r="A46" s="56"/>
      <c r="B46" s="42" t="s">
        <v>242</v>
      </c>
      <c r="C46" s="86">
        <v>325.60901117882855</v>
      </c>
      <c r="D46" s="86">
        <v>400.39200200149202</v>
      </c>
      <c r="E46" s="86">
        <v>416.97973585074226</v>
      </c>
      <c r="F46" s="44"/>
      <c r="G46" s="57">
        <v>28.061485258383044</v>
      </c>
      <c r="H46" s="46">
        <v>4.1428734256256234</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243</v>
      </c>
      <c r="G61" s="53"/>
      <c r="H61" s="206">
        <v>11</v>
      </c>
    </row>
    <row r="62" spans="1:9" ht="12.75" customHeight="1" x14ac:dyDescent="0.2">
      <c r="A62" s="54" t="s">
        <v>244</v>
      </c>
      <c r="G62" s="53"/>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1" t="s">
        <v>1</v>
      </c>
      <c r="H5" s="202"/>
    </row>
    <row r="6" spans="1:8" x14ac:dyDescent="0.2">
      <c r="A6" s="12"/>
      <c r="B6" s="13"/>
      <c r="C6" s="14" t="s">
        <v>236</v>
      </c>
      <c r="D6" s="15" t="s">
        <v>237</v>
      </c>
      <c r="E6" s="15" t="s">
        <v>238</v>
      </c>
      <c r="F6" s="16"/>
      <c r="G6" s="17" t="s">
        <v>239</v>
      </c>
      <c r="H6" s="18" t="s">
        <v>240</v>
      </c>
    </row>
    <row r="7" spans="1:8" ht="12.75" customHeight="1" x14ac:dyDescent="0.2">
      <c r="A7" s="203" t="s">
        <v>26</v>
      </c>
      <c r="B7" s="19" t="s">
        <v>3</v>
      </c>
      <c r="C7" s="20">
        <v>908662.80747384159</v>
      </c>
      <c r="D7" s="20">
        <v>881354.73572496267</v>
      </c>
      <c r="E7" s="21">
        <v>905684.56468148611</v>
      </c>
      <c r="F7" s="22" t="s">
        <v>241</v>
      </c>
      <c r="G7" s="23">
        <v>-0.32776105369991626</v>
      </c>
      <c r="H7" s="24">
        <v>2.7605035714150574</v>
      </c>
    </row>
    <row r="8" spans="1:8" ht="12.75" customHeight="1" x14ac:dyDescent="0.2">
      <c r="A8" s="204"/>
      <c r="B8" s="25" t="s">
        <v>242</v>
      </c>
      <c r="C8" s="26">
        <v>698343.05829596415</v>
      </c>
      <c r="D8" s="26">
        <v>675826.55964125553</v>
      </c>
      <c r="E8" s="26">
        <v>695005.78228699556</v>
      </c>
      <c r="F8" s="27"/>
      <c r="G8" s="28">
        <v>-0.47788489759057029</v>
      </c>
      <c r="H8" s="29">
        <v>2.8378912269918573</v>
      </c>
    </row>
    <row r="9" spans="1:8" x14ac:dyDescent="0.2">
      <c r="A9" s="30" t="s">
        <v>34</v>
      </c>
      <c r="B9" s="31" t="s">
        <v>3</v>
      </c>
      <c r="C9" s="20">
        <v>10416.3024</v>
      </c>
      <c r="D9" s="20">
        <v>10149.056400000001</v>
      </c>
      <c r="E9" s="21">
        <v>8655.7944962977763</v>
      </c>
      <c r="F9" s="22" t="s">
        <v>241</v>
      </c>
      <c r="G9" s="32">
        <v>-16.901466913078707</v>
      </c>
      <c r="H9" s="33">
        <v>-14.713307768219963</v>
      </c>
    </row>
    <row r="10" spans="1:8" x14ac:dyDescent="0.2">
      <c r="A10" s="34"/>
      <c r="B10" s="25" t="s">
        <v>242</v>
      </c>
      <c r="C10" s="26">
        <v>7601.3125</v>
      </c>
      <c r="D10" s="26">
        <v>8120.0601999999999</v>
      </c>
      <c r="E10" s="26">
        <v>6709.7821000000004</v>
      </c>
      <c r="F10" s="27"/>
      <c r="G10" s="35">
        <v>-11.728637653036884</v>
      </c>
      <c r="H10" s="29">
        <v>-17.367828135067271</v>
      </c>
    </row>
    <row r="11" spans="1:8" x14ac:dyDescent="0.2">
      <c r="A11" s="30" t="s">
        <v>35</v>
      </c>
      <c r="B11" s="31" t="s">
        <v>3</v>
      </c>
      <c r="C11" s="20">
        <v>3667.3041920000001</v>
      </c>
      <c r="D11" s="20">
        <v>3469.444512</v>
      </c>
      <c r="E11" s="21">
        <v>3144.1966620679518</v>
      </c>
      <c r="F11" s="22" t="s">
        <v>241</v>
      </c>
      <c r="G11" s="37">
        <v>-14.264088893230493</v>
      </c>
      <c r="H11" s="33">
        <v>-9.3746376057346197</v>
      </c>
    </row>
    <row r="12" spans="1:8" x14ac:dyDescent="0.2">
      <c r="A12" s="34"/>
      <c r="B12" s="25" t="s">
        <v>242</v>
      </c>
      <c r="C12" s="26">
        <v>2766.145</v>
      </c>
      <c r="D12" s="26">
        <v>2486.8848159999998</v>
      </c>
      <c r="E12" s="26">
        <v>2291.7025680000002</v>
      </c>
      <c r="F12" s="27"/>
      <c r="G12" s="28">
        <v>-17.151755674413309</v>
      </c>
      <c r="H12" s="29">
        <v>-7.8484635373639122</v>
      </c>
    </row>
    <row r="13" spans="1:8" x14ac:dyDescent="0.2">
      <c r="A13" s="30" t="s">
        <v>36</v>
      </c>
      <c r="B13" s="31" t="s">
        <v>3</v>
      </c>
      <c r="C13" s="20">
        <v>166654.99402666668</v>
      </c>
      <c r="D13" s="20">
        <v>163221.03962666666</v>
      </c>
      <c r="E13" s="21">
        <v>148145.28905929823</v>
      </c>
      <c r="F13" s="22" t="s">
        <v>241</v>
      </c>
      <c r="G13" s="23">
        <v>-11.10660084054048</v>
      </c>
      <c r="H13" s="24">
        <v>-9.2364015091749252</v>
      </c>
    </row>
    <row r="14" spans="1:8" x14ac:dyDescent="0.2">
      <c r="A14" s="34"/>
      <c r="B14" s="25" t="s">
        <v>242</v>
      </c>
      <c r="C14" s="26">
        <v>126096.22500000001</v>
      </c>
      <c r="D14" s="26">
        <v>121547.25128</v>
      </c>
      <c r="E14" s="26">
        <v>110904.59844</v>
      </c>
      <c r="F14" s="27"/>
      <c r="G14" s="38">
        <v>-12.047645803829582</v>
      </c>
      <c r="H14" s="24">
        <v>-8.7559798579757739</v>
      </c>
    </row>
    <row r="15" spans="1:8" x14ac:dyDescent="0.2">
      <c r="A15" s="30" t="s">
        <v>18</v>
      </c>
      <c r="B15" s="31" t="s">
        <v>3</v>
      </c>
      <c r="C15" s="20">
        <v>3467.2172799999998</v>
      </c>
      <c r="D15" s="20">
        <v>3303.7460799999999</v>
      </c>
      <c r="E15" s="21">
        <v>5209.8766882997934</v>
      </c>
      <c r="F15" s="22" t="s">
        <v>241</v>
      </c>
      <c r="G15" s="37">
        <v>50.261038393872838</v>
      </c>
      <c r="H15" s="33">
        <v>57.696038440696185</v>
      </c>
    </row>
    <row r="16" spans="1:8" x14ac:dyDescent="0.2">
      <c r="A16" s="34"/>
      <c r="B16" s="25" t="s">
        <v>242</v>
      </c>
      <c r="C16" s="26">
        <v>2737.6750000000002</v>
      </c>
      <c r="D16" s="26">
        <v>2572.2034400000002</v>
      </c>
      <c r="E16" s="26">
        <v>4075.21612</v>
      </c>
      <c r="F16" s="27"/>
      <c r="G16" s="28">
        <v>48.856826321604984</v>
      </c>
      <c r="H16" s="29">
        <v>58.432885075373349</v>
      </c>
    </row>
    <row r="17" spans="1:9" x14ac:dyDescent="0.2">
      <c r="A17" s="30" t="s">
        <v>37</v>
      </c>
      <c r="B17" s="31" t="s">
        <v>3</v>
      </c>
      <c r="C17" s="20">
        <v>2949.9562879999999</v>
      </c>
      <c r="D17" s="20">
        <v>2790.166768</v>
      </c>
      <c r="E17" s="21">
        <v>2600.3957147982774</v>
      </c>
      <c r="F17" s="22" t="s">
        <v>241</v>
      </c>
      <c r="G17" s="37">
        <v>-11.849686540227225</v>
      </c>
      <c r="H17" s="33">
        <v>-6.8014233191427138</v>
      </c>
    </row>
    <row r="18" spans="1:9" x14ac:dyDescent="0.2">
      <c r="A18" s="34"/>
      <c r="B18" s="25" t="s">
        <v>242</v>
      </c>
      <c r="C18" s="26">
        <v>2157.7174999999997</v>
      </c>
      <c r="D18" s="26">
        <v>2137.3272240000001</v>
      </c>
      <c r="E18" s="26">
        <v>1961.053852</v>
      </c>
      <c r="F18" s="27"/>
      <c r="G18" s="28">
        <v>-9.1144298546959845</v>
      </c>
      <c r="H18" s="29">
        <v>-8.2473741044717173</v>
      </c>
    </row>
    <row r="19" spans="1:9" x14ac:dyDescent="0.2">
      <c r="A19" s="30" t="s">
        <v>38</v>
      </c>
      <c r="B19" s="31" t="s">
        <v>3</v>
      </c>
      <c r="C19" s="20">
        <v>4901.1736533333333</v>
      </c>
      <c r="D19" s="20">
        <v>5614.7408533333328</v>
      </c>
      <c r="E19" s="21">
        <v>5132.2731937340241</v>
      </c>
      <c r="F19" s="22" t="s">
        <v>241</v>
      </c>
      <c r="G19" s="23">
        <v>4.7151877641290696</v>
      </c>
      <c r="H19" s="24">
        <v>-8.5928749376363385</v>
      </c>
    </row>
    <row r="20" spans="1:9" x14ac:dyDescent="0.2">
      <c r="A20" s="30"/>
      <c r="B20" s="25" t="s">
        <v>242</v>
      </c>
      <c r="C20" s="26">
        <v>3552.5749999999998</v>
      </c>
      <c r="D20" s="26">
        <v>4296.1413599999996</v>
      </c>
      <c r="E20" s="26">
        <v>3855.5042800000001</v>
      </c>
      <c r="F20" s="27"/>
      <c r="G20" s="38">
        <v>8.5270340527645629</v>
      </c>
      <c r="H20" s="24">
        <v>-10.256577777040363</v>
      </c>
    </row>
    <row r="21" spans="1:9" x14ac:dyDescent="0.2">
      <c r="A21" s="39" t="s">
        <v>39</v>
      </c>
      <c r="B21" s="31" t="s">
        <v>3</v>
      </c>
      <c r="C21" s="20">
        <v>255583.64672000002</v>
      </c>
      <c r="D21" s="20">
        <v>246464.55791999999</v>
      </c>
      <c r="E21" s="21">
        <v>263055.59669441276</v>
      </c>
      <c r="F21" s="22" t="s">
        <v>241</v>
      </c>
      <c r="G21" s="37">
        <v>2.923485156543876</v>
      </c>
      <c r="H21" s="33">
        <v>6.7316124129287829</v>
      </c>
    </row>
    <row r="22" spans="1:9" x14ac:dyDescent="0.2">
      <c r="A22" s="34"/>
      <c r="B22" s="25" t="s">
        <v>242</v>
      </c>
      <c r="C22" s="26">
        <v>199245.07500000001</v>
      </c>
      <c r="D22" s="26">
        <v>194718.96856000001</v>
      </c>
      <c r="E22" s="26">
        <v>206899.58987999998</v>
      </c>
      <c r="F22" s="27"/>
      <c r="G22" s="28">
        <v>3.8417586381997069</v>
      </c>
      <c r="H22" s="29">
        <v>6.2554877986870139</v>
      </c>
    </row>
    <row r="23" spans="1:9" x14ac:dyDescent="0.2">
      <c r="A23" s="39" t="s">
        <v>40</v>
      </c>
      <c r="B23" s="31" t="s">
        <v>3</v>
      </c>
      <c r="C23" s="20">
        <v>194930.2096</v>
      </c>
      <c r="D23" s="20">
        <v>192266.22560000001</v>
      </c>
      <c r="E23" s="21">
        <v>201916.43498701777</v>
      </c>
      <c r="F23" s="22" t="s">
        <v>241</v>
      </c>
      <c r="G23" s="23">
        <v>3.5839623839494266</v>
      </c>
      <c r="H23" s="24">
        <v>5.0191911537778537</v>
      </c>
    </row>
    <row r="24" spans="1:9" x14ac:dyDescent="0.2">
      <c r="A24" s="34"/>
      <c r="B24" s="25" t="s">
        <v>242</v>
      </c>
      <c r="C24" s="26">
        <v>151702.25</v>
      </c>
      <c r="D24" s="26">
        <v>150301.2408</v>
      </c>
      <c r="E24" s="26">
        <v>157609.12839999999</v>
      </c>
      <c r="F24" s="27"/>
      <c r="G24" s="38">
        <v>3.8937315695713153</v>
      </c>
      <c r="H24" s="24">
        <v>4.8621605258231284</v>
      </c>
    </row>
    <row r="25" spans="1:9" x14ac:dyDescent="0.2">
      <c r="A25" s="30" t="s">
        <v>41</v>
      </c>
      <c r="B25" s="31" t="s">
        <v>3</v>
      </c>
      <c r="C25" s="20">
        <v>321381.55839999998</v>
      </c>
      <c r="D25" s="20">
        <v>333427.1974</v>
      </c>
      <c r="E25" s="21">
        <v>322280.06176743697</v>
      </c>
      <c r="F25" s="22" t="s">
        <v>241</v>
      </c>
      <c r="G25" s="37">
        <v>0.27957527243012237</v>
      </c>
      <c r="H25" s="33">
        <v>-3.34319927093118</v>
      </c>
    </row>
    <row r="26" spans="1:9" x14ac:dyDescent="0.2">
      <c r="A26" s="34"/>
      <c r="B26" s="25" t="s">
        <v>242</v>
      </c>
      <c r="C26" s="26">
        <v>242949.09375</v>
      </c>
      <c r="D26" s="26">
        <v>244349.2107</v>
      </c>
      <c r="E26" s="26">
        <v>238611.73735000001</v>
      </c>
      <c r="F26" s="27"/>
      <c r="G26" s="28">
        <v>-1.7852943318501246</v>
      </c>
      <c r="H26" s="29">
        <v>-2.3480629765750223</v>
      </c>
    </row>
    <row r="27" spans="1:9" x14ac:dyDescent="0.2">
      <c r="A27" s="30" t="s">
        <v>24</v>
      </c>
      <c r="B27" s="31" t="s">
        <v>3</v>
      </c>
      <c r="C27" s="20">
        <v>183511.47306666666</v>
      </c>
      <c r="D27" s="20">
        <v>176584.81706666667</v>
      </c>
      <c r="E27" s="21">
        <v>182134.31544845321</v>
      </c>
      <c r="F27" s="22" t="s">
        <v>241</v>
      </c>
      <c r="G27" s="23">
        <v>-0.75044769419574209</v>
      </c>
      <c r="H27" s="24">
        <v>3.142681502278549</v>
      </c>
    </row>
    <row r="28" spans="1:9" ht="13.5" thickBot="1" x14ac:dyDescent="0.25">
      <c r="A28" s="56"/>
      <c r="B28" s="42" t="s">
        <v>242</v>
      </c>
      <c r="C28" s="43">
        <v>136824.5</v>
      </c>
      <c r="D28" s="43">
        <v>129627.8272</v>
      </c>
      <c r="E28" s="43">
        <v>134393.08559999999</v>
      </c>
      <c r="F28" s="44"/>
      <c r="G28" s="57">
        <v>-1.7770314527003563</v>
      </c>
      <c r="H28" s="46">
        <v>3.6761075942804951</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7" t="s">
        <v>16</v>
      </c>
      <c r="D33" s="201"/>
      <c r="E33" s="201"/>
      <c r="F33" s="208"/>
      <c r="G33" s="201" t="s">
        <v>1</v>
      </c>
      <c r="H33" s="202"/>
    </row>
    <row r="34" spans="1:8" x14ac:dyDescent="0.2">
      <c r="A34" s="12"/>
      <c r="B34" s="13"/>
      <c r="C34" s="14" t="s">
        <v>236</v>
      </c>
      <c r="D34" s="15" t="s">
        <v>237</v>
      </c>
      <c r="E34" s="15" t="s">
        <v>238</v>
      </c>
      <c r="F34" s="16"/>
      <c r="G34" s="17" t="s">
        <v>239</v>
      </c>
      <c r="H34" s="18" t="s">
        <v>240</v>
      </c>
    </row>
    <row r="35" spans="1:8" ht="12.75" customHeight="1" x14ac:dyDescent="0.2">
      <c r="A35" s="203" t="s">
        <v>26</v>
      </c>
      <c r="B35" s="19" t="s">
        <v>3</v>
      </c>
      <c r="C35" s="80">
        <v>15161.339619238015</v>
      </c>
      <c r="D35" s="80">
        <v>15832.677050750513</v>
      </c>
      <c r="E35" s="83">
        <v>15890.666918765195</v>
      </c>
      <c r="F35" s="22" t="s">
        <v>241</v>
      </c>
      <c r="G35" s="23">
        <v>4.810441015395142</v>
      </c>
      <c r="H35" s="24">
        <v>0.36626697954362442</v>
      </c>
    </row>
    <row r="36" spans="1:8" ht="12.75" customHeight="1" x14ac:dyDescent="0.2">
      <c r="A36" s="204"/>
      <c r="B36" s="25" t="s">
        <v>242</v>
      </c>
      <c r="C36" s="82">
        <v>11317.622871284519</v>
      </c>
      <c r="D36" s="82">
        <v>11785.87742239712</v>
      </c>
      <c r="E36" s="82">
        <v>11840.026521089618</v>
      </c>
      <c r="F36" s="27"/>
      <c r="G36" s="28">
        <v>4.6158425293580052</v>
      </c>
      <c r="H36" s="29">
        <v>0.45944053846680788</v>
      </c>
    </row>
    <row r="37" spans="1:8" x14ac:dyDescent="0.2">
      <c r="A37" s="30" t="s">
        <v>34</v>
      </c>
      <c r="B37" s="31" t="s">
        <v>3</v>
      </c>
      <c r="C37" s="84">
        <v>1157.1966798513122</v>
      </c>
      <c r="D37" s="84">
        <v>1290.8265800279776</v>
      </c>
      <c r="E37" s="83">
        <v>1163.2514604163234</v>
      </c>
      <c r="F37" s="22" t="s">
        <v>241</v>
      </c>
      <c r="G37" s="32">
        <v>0.52322830426622602</v>
      </c>
      <c r="H37" s="33">
        <v>-9.8832113922606908</v>
      </c>
    </row>
    <row r="38" spans="1:8" x14ac:dyDescent="0.2">
      <c r="A38" s="34"/>
      <c r="B38" s="25" t="s">
        <v>242</v>
      </c>
      <c r="C38" s="82">
        <v>872.64764636351856</v>
      </c>
      <c r="D38" s="82">
        <v>1063.5489790562472</v>
      </c>
      <c r="E38" s="82">
        <v>929.74079289935105</v>
      </c>
      <c r="F38" s="27"/>
      <c r="G38" s="35">
        <v>6.5425199705459534</v>
      </c>
      <c r="H38" s="29">
        <v>-12.581290452239671</v>
      </c>
    </row>
    <row r="39" spans="1:8" x14ac:dyDescent="0.2">
      <c r="A39" s="30" t="s">
        <v>35</v>
      </c>
      <c r="B39" s="31" t="s">
        <v>3</v>
      </c>
      <c r="C39" s="84">
        <v>43.881944022192911</v>
      </c>
      <c r="D39" s="84">
        <v>50.11711659841302</v>
      </c>
      <c r="E39" s="83">
        <v>53.166995743443856</v>
      </c>
      <c r="F39" s="22" t="s">
        <v>241</v>
      </c>
      <c r="G39" s="37">
        <v>21.159162220696317</v>
      </c>
      <c r="H39" s="33">
        <v>6.0855040194539356</v>
      </c>
    </row>
    <row r="40" spans="1:8" x14ac:dyDescent="0.2">
      <c r="A40" s="34"/>
      <c r="B40" s="25" t="s">
        <v>242</v>
      </c>
      <c r="C40" s="82">
        <v>39.074525324793662</v>
      </c>
      <c r="D40" s="82">
        <v>38.633364836924017</v>
      </c>
      <c r="E40" s="82">
        <v>42.905083470166666</v>
      </c>
      <c r="F40" s="27"/>
      <c r="G40" s="28">
        <v>9.8032109501850613</v>
      </c>
      <c r="H40" s="29">
        <v>11.057071138571757</v>
      </c>
    </row>
    <row r="41" spans="1:8" x14ac:dyDescent="0.2">
      <c r="A41" s="30" t="s">
        <v>36</v>
      </c>
      <c r="B41" s="31" t="s">
        <v>3</v>
      </c>
      <c r="C41" s="84">
        <v>2877.4410523838951</v>
      </c>
      <c r="D41" s="84">
        <v>2902.8218499061222</v>
      </c>
      <c r="E41" s="83">
        <v>2633.2966579463309</v>
      </c>
      <c r="F41" s="22" t="s">
        <v>241</v>
      </c>
      <c r="G41" s="23">
        <v>-8.4847748396199449</v>
      </c>
      <c r="H41" s="24">
        <v>-9.2849374124873663</v>
      </c>
    </row>
    <row r="42" spans="1:8" x14ac:dyDescent="0.2">
      <c r="A42" s="34"/>
      <c r="B42" s="25" t="s">
        <v>242</v>
      </c>
      <c r="C42" s="82">
        <v>2160.0894476003568</v>
      </c>
      <c r="D42" s="82">
        <v>2111.3619949687672</v>
      </c>
      <c r="E42" s="82">
        <v>1935.3896861964777</v>
      </c>
      <c r="F42" s="27"/>
      <c r="G42" s="38">
        <v>-10.402335961295407</v>
      </c>
      <c r="H42" s="24">
        <v>-8.334539941119516</v>
      </c>
    </row>
    <row r="43" spans="1:8" x14ac:dyDescent="0.2">
      <c r="A43" s="30" t="s">
        <v>18</v>
      </c>
      <c r="B43" s="31" t="s">
        <v>3</v>
      </c>
      <c r="C43" s="84">
        <v>278.09246904358508</v>
      </c>
      <c r="D43" s="84">
        <v>266.32922584417429</v>
      </c>
      <c r="E43" s="83">
        <v>423.54410402838653</v>
      </c>
      <c r="F43" s="22" t="s">
        <v>241</v>
      </c>
      <c r="G43" s="37">
        <v>52.303334745107747</v>
      </c>
      <c r="H43" s="33">
        <v>59.030276412922319</v>
      </c>
    </row>
    <row r="44" spans="1:8" x14ac:dyDescent="0.2">
      <c r="A44" s="34"/>
      <c r="B44" s="25" t="s">
        <v>242</v>
      </c>
      <c r="C44" s="82">
        <v>214.20772874950052</v>
      </c>
      <c r="D44" s="82">
        <v>211.31382226645786</v>
      </c>
      <c r="E44" s="82">
        <v>332.71894143146432</v>
      </c>
      <c r="F44" s="27"/>
      <c r="G44" s="28">
        <v>55.325367284274563</v>
      </c>
      <c r="H44" s="29">
        <v>57.452521497585565</v>
      </c>
    </row>
    <row r="45" spans="1:8" x14ac:dyDescent="0.2">
      <c r="A45" s="30" t="s">
        <v>37</v>
      </c>
      <c r="B45" s="31" t="s">
        <v>3</v>
      </c>
      <c r="C45" s="84">
        <v>121.77996405712668</v>
      </c>
      <c r="D45" s="84">
        <v>134.59639272073457</v>
      </c>
      <c r="E45" s="83">
        <v>108.15333471611874</v>
      </c>
      <c r="F45" s="22" t="s">
        <v>241</v>
      </c>
      <c r="G45" s="37">
        <v>-11.189549485016869</v>
      </c>
      <c r="H45" s="33">
        <v>-19.646186253654534</v>
      </c>
    </row>
    <row r="46" spans="1:8" x14ac:dyDescent="0.2">
      <c r="A46" s="34"/>
      <c r="B46" s="25" t="s">
        <v>242</v>
      </c>
      <c r="C46" s="82">
        <v>82.974524343865752</v>
      </c>
      <c r="D46" s="82">
        <v>105.03717509036846</v>
      </c>
      <c r="E46" s="82">
        <v>80.500931638824937</v>
      </c>
      <c r="F46" s="27"/>
      <c r="G46" s="28">
        <v>-2.9811471949988828</v>
      </c>
      <c r="H46" s="29">
        <v>-23.35958048227576</v>
      </c>
    </row>
    <row r="47" spans="1:8" x14ac:dyDescent="0.2">
      <c r="A47" s="30" t="s">
        <v>38</v>
      </c>
      <c r="B47" s="31" t="s">
        <v>3</v>
      </c>
      <c r="C47" s="84">
        <v>96.395796485767377</v>
      </c>
      <c r="D47" s="84">
        <v>126.50901799240219</v>
      </c>
      <c r="E47" s="83">
        <v>104.59199975376701</v>
      </c>
      <c r="F47" s="22" t="s">
        <v>241</v>
      </c>
      <c r="G47" s="23">
        <v>8.5026563053605599</v>
      </c>
      <c r="H47" s="24">
        <v>-17.324471082331428</v>
      </c>
    </row>
    <row r="48" spans="1:8" x14ac:dyDescent="0.2">
      <c r="A48" s="30"/>
      <c r="B48" s="25" t="s">
        <v>242</v>
      </c>
      <c r="C48" s="82">
        <v>70.697910377870542</v>
      </c>
      <c r="D48" s="82">
        <v>94.980995922058682</v>
      </c>
      <c r="E48" s="82">
        <v>77.910908817601438</v>
      </c>
      <c r="F48" s="27"/>
      <c r="G48" s="38">
        <v>10.202562425365073</v>
      </c>
      <c r="H48" s="24">
        <v>-17.972107934586134</v>
      </c>
    </row>
    <row r="49" spans="1:9" x14ac:dyDescent="0.2">
      <c r="A49" s="39" t="s">
        <v>39</v>
      </c>
      <c r="B49" s="31" t="s">
        <v>3</v>
      </c>
      <c r="C49" s="84">
        <v>1617.9421538693196</v>
      </c>
      <c r="D49" s="84">
        <v>1593.2205910805933</v>
      </c>
      <c r="E49" s="83">
        <v>1739.0843798251128</v>
      </c>
      <c r="F49" s="22" t="s">
        <v>241</v>
      </c>
      <c r="G49" s="37">
        <v>7.4874262757837613</v>
      </c>
      <c r="H49" s="33">
        <v>9.1552789087158573</v>
      </c>
    </row>
    <row r="50" spans="1:9" x14ac:dyDescent="0.2">
      <c r="A50" s="34"/>
      <c r="B50" s="25" t="s">
        <v>242</v>
      </c>
      <c r="C50" s="82">
        <v>1237.7229174386355</v>
      </c>
      <c r="D50" s="82">
        <v>1202.7920383883027</v>
      </c>
      <c r="E50" s="82">
        <v>1318.6882112382611</v>
      </c>
      <c r="F50" s="27"/>
      <c r="G50" s="28">
        <v>6.5414716540255</v>
      </c>
      <c r="H50" s="29">
        <v>9.6355952775722784</v>
      </c>
    </row>
    <row r="51" spans="1:9" x14ac:dyDescent="0.2">
      <c r="A51" s="39" t="s">
        <v>40</v>
      </c>
      <c r="B51" s="31" t="s">
        <v>3</v>
      </c>
      <c r="C51" s="84">
        <v>810.08675183774267</v>
      </c>
      <c r="D51" s="84">
        <v>863.94073953695636</v>
      </c>
      <c r="E51" s="83">
        <v>1071.0070470865044</v>
      </c>
      <c r="F51" s="22" t="s">
        <v>241</v>
      </c>
      <c r="G51" s="23">
        <v>32.20893251949181</v>
      </c>
      <c r="H51" s="24">
        <v>23.96765172348843</v>
      </c>
    </row>
    <row r="52" spans="1:9" x14ac:dyDescent="0.2">
      <c r="A52" s="34"/>
      <c r="B52" s="25" t="s">
        <v>242</v>
      </c>
      <c r="C52" s="82">
        <v>604.01416008782508</v>
      </c>
      <c r="D52" s="82">
        <v>611.1790698195515</v>
      </c>
      <c r="E52" s="82">
        <v>770.82294491011669</v>
      </c>
      <c r="F52" s="27"/>
      <c r="G52" s="38">
        <v>27.616701038604347</v>
      </c>
      <c r="H52" s="24">
        <v>26.120638446879326</v>
      </c>
    </row>
    <row r="53" spans="1:9" x14ac:dyDescent="0.2">
      <c r="A53" s="30" t="s">
        <v>41</v>
      </c>
      <c r="B53" s="31" t="s">
        <v>3</v>
      </c>
      <c r="C53" s="84">
        <v>7311.0329433679635</v>
      </c>
      <c r="D53" s="84">
        <v>7804.6326024530827</v>
      </c>
      <c r="E53" s="83">
        <v>7573.3737193937432</v>
      </c>
      <c r="F53" s="22" t="s">
        <v>241</v>
      </c>
      <c r="G53" s="37">
        <v>3.5882860610518179</v>
      </c>
      <c r="H53" s="33">
        <v>-2.9630976221308885</v>
      </c>
    </row>
    <row r="54" spans="1:9" x14ac:dyDescent="0.2">
      <c r="A54" s="34"/>
      <c r="B54" s="25" t="s">
        <v>242</v>
      </c>
      <c r="C54" s="82">
        <v>5398.5082533339992</v>
      </c>
      <c r="D54" s="82">
        <v>5698.1885777131911</v>
      </c>
      <c r="E54" s="82">
        <v>5550.1468235705379</v>
      </c>
      <c r="F54" s="27"/>
      <c r="G54" s="28">
        <v>2.8088976272823203</v>
      </c>
      <c r="H54" s="29">
        <v>-2.5980493997983132</v>
      </c>
    </row>
    <row r="55" spans="1:9" x14ac:dyDescent="0.2">
      <c r="A55" s="30" t="s">
        <v>24</v>
      </c>
      <c r="B55" s="31" t="s">
        <v>3</v>
      </c>
      <c r="C55" s="84">
        <v>847.48986431911158</v>
      </c>
      <c r="D55" s="84">
        <v>799.68293459006009</v>
      </c>
      <c r="E55" s="83">
        <v>1013.2444077292211</v>
      </c>
      <c r="F55" s="22" t="s">
        <v>241</v>
      </c>
      <c r="G55" s="23">
        <v>19.558292126983673</v>
      </c>
      <c r="H55" s="24">
        <v>26.705768486686353</v>
      </c>
    </row>
    <row r="56" spans="1:9" ht="13.5" thickBot="1" x14ac:dyDescent="0.25">
      <c r="A56" s="56"/>
      <c r="B56" s="42" t="s">
        <v>242</v>
      </c>
      <c r="C56" s="86">
        <v>637.6857576641537</v>
      </c>
      <c r="D56" s="86">
        <v>648.84140433525113</v>
      </c>
      <c r="E56" s="86">
        <v>801.20219691681473</v>
      </c>
      <c r="F56" s="44"/>
      <c r="G56" s="57">
        <v>25.642165798342845</v>
      </c>
      <c r="H56" s="46">
        <v>23.481977500751469</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243</v>
      </c>
      <c r="H61" s="198">
        <v>12</v>
      </c>
    </row>
    <row r="62" spans="1:9" ht="12.75" customHeight="1" x14ac:dyDescent="0.2">
      <c r="A62" s="54" t="s">
        <v>244</v>
      </c>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1" t="s">
        <v>1</v>
      </c>
      <c r="H5" s="202"/>
    </row>
    <row r="6" spans="1:8" x14ac:dyDescent="0.2">
      <c r="A6" s="12"/>
      <c r="B6" s="13"/>
      <c r="C6" s="14" t="s">
        <v>236</v>
      </c>
      <c r="D6" s="15" t="s">
        <v>237</v>
      </c>
      <c r="E6" s="15" t="s">
        <v>238</v>
      </c>
      <c r="F6" s="16"/>
      <c r="G6" s="17" t="s">
        <v>239</v>
      </c>
      <c r="H6" s="18" t="s">
        <v>240</v>
      </c>
    </row>
    <row r="7" spans="1:8" x14ac:dyDescent="0.2">
      <c r="A7" s="203" t="s">
        <v>17</v>
      </c>
      <c r="B7" s="19" t="s">
        <v>3</v>
      </c>
      <c r="C7" s="20">
        <v>401911.93909904256</v>
      </c>
      <c r="D7" s="20">
        <v>436422.0568025253</v>
      </c>
      <c r="E7" s="21">
        <v>473536.39284308167</v>
      </c>
      <c r="F7" s="22" t="s">
        <v>241</v>
      </c>
      <c r="G7" s="23">
        <v>17.8209320938806</v>
      </c>
      <c r="H7" s="24">
        <v>8.5042301281646786</v>
      </c>
    </row>
    <row r="8" spans="1:8" x14ac:dyDescent="0.2">
      <c r="A8" s="204"/>
      <c r="B8" s="25" t="s">
        <v>242</v>
      </c>
      <c r="C8" s="26">
        <v>301504.66216711141</v>
      </c>
      <c r="D8" s="26">
        <v>329887.15209543239</v>
      </c>
      <c r="E8" s="26">
        <v>357034.97546172759</v>
      </c>
      <c r="F8" s="27"/>
      <c r="G8" s="28">
        <v>18.4177295619522</v>
      </c>
      <c r="H8" s="29">
        <v>8.2294273038077108</v>
      </c>
    </row>
    <row r="9" spans="1:8" x14ac:dyDescent="0.2">
      <c r="A9" s="30" t="s">
        <v>18</v>
      </c>
      <c r="B9" s="31" t="s">
        <v>3</v>
      </c>
      <c r="C9" s="20">
        <v>24841.406678260872</v>
      </c>
      <c r="D9" s="20">
        <v>31193.199773913042</v>
      </c>
      <c r="E9" s="21">
        <v>26053.514746540008</v>
      </c>
      <c r="F9" s="22" t="s">
        <v>241</v>
      </c>
      <c r="G9" s="32">
        <v>4.8793857931558762</v>
      </c>
      <c r="H9" s="33">
        <v>-16.47694069420659</v>
      </c>
    </row>
    <row r="10" spans="1:8" x14ac:dyDescent="0.2">
      <c r="A10" s="34"/>
      <c r="B10" s="25" t="s">
        <v>242</v>
      </c>
      <c r="C10" s="26">
        <v>18850.150552173913</v>
      </c>
      <c r="D10" s="26">
        <v>25095.49717826087</v>
      </c>
      <c r="E10" s="26">
        <v>20548.03852173913</v>
      </c>
      <c r="F10" s="27"/>
      <c r="G10" s="35">
        <v>9.0072912938586853</v>
      </c>
      <c r="H10" s="29">
        <v>-18.120615918544161</v>
      </c>
    </row>
    <row r="11" spans="1:8" x14ac:dyDescent="0.2">
      <c r="A11" s="30" t="s">
        <v>19</v>
      </c>
      <c r="B11" s="31" t="s">
        <v>3</v>
      </c>
      <c r="C11" s="20">
        <v>69858.022260869562</v>
      </c>
      <c r="D11" s="20">
        <v>70509.665913043485</v>
      </c>
      <c r="E11" s="21">
        <v>66346.253864487589</v>
      </c>
      <c r="F11" s="22" t="s">
        <v>241</v>
      </c>
      <c r="G11" s="37">
        <v>-5.0270080410636808</v>
      </c>
      <c r="H11" s="33">
        <v>-5.9047394348605451</v>
      </c>
    </row>
    <row r="12" spans="1:8" x14ac:dyDescent="0.2">
      <c r="A12" s="34"/>
      <c r="B12" s="25" t="s">
        <v>242</v>
      </c>
      <c r="C12" s="26">
        <v>53081.835173913045</v>
      </c>
      <c r="D12" s="26">
        <v>54101.657260869564</v>
      </c>
      <c r="E12" s="26">
        <v>50741.461739130435</v>
      </c>
      <c r="F12" s="27"/>
      <c r="G12" s="28">
        <v>-4.4089911871260625</v>
      </c>
      <c r="H12" s="29">
        <v>-6.2108920352232531</v>
      </c>
    </row>
    <row r="13" spans="1:8" x14ac:dyDescent="0.2">
      <c r="A13" s="30" t="s">
        <v>20</v>
      </c>
      <c r="B13" s="31" t="s">
        <v>3</v>
      </c>
      <c r="C13" s="20">
        <v>29684.962981366458</v>
      </c>
      <c r="D13" s="20">
        <v>34331.50757763975</v>
      </c>
      <c r="E13" s="21">
        <v>36644.114633476063</v>
      </c>
      <c r="F13" s="22" t="s">
        <v>241</v>
      </c>
      <c r="G13" s="23">
        <v>23.443356343337655</v>
      </c>
      <c r="H13" s="24">
        <v>6.7361069146363945</v>
      </c>
    </row>
    <row r="14" spans="1:8" x14ac:dyDescent="0.2">
      <c r="A14" s="34"/>
      <c r="B14" s="25" t="s">
        <v>242</v>
      </c>
      <c r="C14" s="26">
        <v>22346.68341614907</v>
      </c>
      <c r="D14" s="26">
        <v>26164.31298136646</v>
      </c>
      <c r="E14" s="26">
        <v>27812.077018633543</v>
      </c>
      <c r="F14" s="27"/>
      <c r="G14" s="38">
        <v>24.457291942189727</v>
      </c>
      <c r="H14" s="24">
        <v>6.2977538849981585</v>
      </c>
    </row>
    <row r="15" spans="1:8" x14ac:dyDescent="0.2">
      <c r="A15" s="30" t="s">
        <v>21</v>
      </c>
      <c r="B15" s="31" t="s">
        <v>3</v>
      </c>
      <c r="C15" s="20">
        <v>4864.7808695652175</v>
      </c>
      <c r="D15" s="20">
        <v>5193.3147101449276</v>
      </c>
      <c r="E15" s="21">
        <v>6700.0613459800634</v>
      </c>
      <c r="F15" s="22" t="s">
        <v>241</v>
      </c>
      <c r="G15" s="37">
        <v>37.725861156391034</v>
      </c>
      <c r="H15" s="33">
        <v>29.01319715694811</v>
      </c>
    </row>
    <row r="16" spans="1:8" x14ac:dyDescent="0.2">
      <c r="A16" s="34"/>
      <c r="B16" s="25" t="s">
        <v>242</v>
      </c>
      <c r="C16" s="26">
        <v>3679.0326630434784</v>
      </c>
      <c r="D16" s="26">
        <v>4205.1746195652177</v>
      </c>
      <c r="E16" s="26">
        <v>5300.3141304347828</v>
      </c>
      <c r="F16" s="27"/>
      <c r="G16" s="28">
        <v>44.068145512198299</v>
      </c>
      <c r="H16" s="29">
        <v>26.042664334894951</v>
      </c>
    </row>
    <row r="17" spans="1:8" x14ac:dyDescent="0.2">
      <c r="A17" s="30" t="s">
        <v>22</v>
      </c>
      <c r="B17" s="31" t="s">
        <v>3</v>
      </c>
      <c r="C17" s="20">
        <v>8089.7808695652175</v>
      </c>
      <c r="D17" s="20">
        <v>7586.3147101449276</v>
      </c>
      <c r="E17" s="21">
        <v>6375.949212016013</v>
      </c>
      <c r="F17" s="22" t="s">
        <v>241</v>
      </c>
      <c r="G17" s="37">
        <v>-21.185143147657513</v>
      </c>
      <c r="H17" s="33">
        <v>-15.954591186552449</v>
      </c>
    </row>
    <row r="18" spans="1:8" x14ac:dyDescent="0.2">
      <c r="A18" s="34"/>
      <c r="B18" s="25" t="s">
        <v>242</v>
      </c>
      <c r="C18" s="26">
        <v>6346.0326630434784</v>
      </c>
      <c r="D18" s="26">
        <v>6107.1746195652177</v>
      </c>
      <c r="E18" s="26">
        <v>5088.3141304347828</v>
      </c>
      <c r="F18" s="27"/>
      <c r="G18" s="28">
        <v>-19.818973512901977</v>
      </c>
      <c r="H18" s="29">
        <v>-16.683008962382829</v>
      </c>
    </row>
    <row r="19" spans="1:8" x14ac:dyDescent="0.2">
      <c r="A19" s="30" t="s">
        <v>190</v>
      </c>
      <c r="B19" s="31" t="s">
        <v>3</v>
      </c>
      <c r="C19" s="20">
        <v>173973.40745341615</v>
      </c>
      <c r="D19" s="20">
        <v>248706.26894409937</v>
      </c>
      <c r="E19" s="21">
        <v>283633.61422429373</v>
      </c>
      <c r="F19" s="22" t="s">
        <v>241</v>
      </c>
      <c r="G19" s="23">
        <v>63.032740679198724</v>
      </c>
      <c r="H19" s="24">
        <v>14.04361274385279</v>
      </c>
    </row>
    <row r="20" spans="1:8" x14ac:dyDescent="0.2">
      <c r="A20" s="30"/>
      <c r="B20" s="25" t="s">
        <v>242</v>
      </c>
      <c r="C20" s="26">
        <v>136472.70854037267</v>
      </c>
      <c r="D20" s="26">
        <v>186628.78245341615</v>
      </c>
      <c r="E20" s="26">
        <v>215962.69254658386</v>
      </c>
      <c r="F20" s="27"/>
      <c r="G20" s="38">
        <v>58.246066086316205</v>
      </c>
      <c r="H20" s="24">
        <v>15.717784635116331</v>
      </c>
    </row>
    <row r="21" spans="1:8" x14ac:dyDescent="0.2">
      <c r="A21" s="39" t="s">
        <v>12</v>
      </c>
      <c r="B21" s="31" t="s">
        <v>3</v>
      </c>
      <c r="C21" s="20">
        <v>1964.6685217391305</v>
      </c>
      <c r="D21" s="20">
        <v>1977.3888260869567</v>
      </c>
      <c r="E21" s="21">
        <v>2214.2855251142882</v>
      </c>
      <c r="F21" s="22" t="s">
        <v>241</v>
      </c>
      <c r="G21" s="37">
        <v>12.705298660467975</v>
      </c>
      <c r="H21" s="33">
        <v>11.980279037791732</v>
      </c>
    </row>
    <row r="22" spans="1:8" x14ac:dyDescent="0.2">
      <c r="A22" s="34"/>
      <c r="B22" s="25" t="s">
        <v>242</v>
      </c>
      <c r="C22" s="26">
        <v>1551.8195978260869</v>
      </c>
      <c r="D22" s="26">
        <v>1632.3047717391303</v>
      </c>
      <c r="E22" s="26">
        <v>1800.7884782608696</v>
      </c>
      <c r="F22" s="27"/>
      <c r="G22" s="28">
        <v>16.043674199214792</v>
      </c>
      <c r="H22" s="29">
        <v>10.321828952459015</v>
      </c>
    </row>
    <row r="23" spans="1:8" x14ac:dyDescent="0.2">
      <c r="A23" s="39" t="s">
        <v>23</v>
      </c>
      <c r="B23" s="31" t="s">
        <v>3</v>
      </c>
      <c r="C23" s="20">
        <v>13348.780869565217</v>
      </c>
      <c r="D23" s="20">
        <v>13174.314710144929</v>
      </c>
      <c r="E23" s="21">
        <v>13521.180017443485</v>
      </c>
      <c r="F23" s="22" t="s">
        <v>241</v>
      </c>
      <c r="G23" s="23">
        <v>1.2914973252076862</v>
      </c>
      <c r="H23" s="24">
        <v>2.6328907038439837</v>
      </c>
    </row>
    <row r="24" spans="1:8" x14ac:dyDescent="0.2">
      <c r="A24" s="34"/>
      <c r="B24" s="25" t="s">
        <v>242</v>
      </c>
      <c r="C24" s="26">
        <v>9717.0326630434793</v>
      </c>
      <c r="D24" s="26">
        <v>9766.1746195652177</v>
      </c>
      <c r="E24" s="26">
        <v>9962.3141304347828</v>
      </c>
      <c r="F24" s="27"/>
      <c r="G24" s="28">
        <v>2.5242424914776223</v>
      </c>
      <c r="H24" s="29">
        <v>2.0083555589578168</v>
      </c>
    </row>
    <row r="25" spans="1:8" x14ac:dyDescent="0.2">
      <c r="A25" s="30" t="s">
        <v>24</v>
      </c>
      <c r="B25" s="31" t="s">
        <v>3</v>
      </c>
      <c r="C25" s="20">
        <v>86794.56173913044</v>
      </c>
      <c r="D25" s="20">
        <v>34043.629420289857</v>
      </c>
      <c r="E25" s="21">
        <v>42815.375457173672</v>
      </c>
      <c r="F25" s="22" t="s">
        <v>241</v>
      </c>
      <c r="G25" s="23">
        <v>-50.670439945466313</v>
      </c>
      <c r="H25" s="24">
        <v>25.766189405339631</v>
      </c>
    </row>
    <row r="26" spans="1:8" ht="13.5" thickBot="1" x14ac:dyDescent="0.25">
      <c r="A26" s="41"/>
      <c r="B26" s="42" t="s">
        <v>242</v>
      </c>
      <c r="C26" s="43">
        <v>57710.065326086959</v>
      </c>
      <c r="D26" s="43">
        <v>23876.349239130435</v>
      </c>
      <c r="E26" s="43">
        <v>29489.628260869566</v>
      </c>
      <c r="F26" s="44"/>
      <c r="G26" s="45">
        <v>-48.900372761249976</v>
      </c>
      <c r="H26" s="46">
        <v>23.509787721397728</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7" t="s">
        <v>16</v>
      </c>
      <c r="D33" s="201"/>
      <c r="E33" s="201"/>
      <c r="F33" s="208"/>
      <c r="G33" s="201" t="s">
        <v>1</v>
      </c>
      <c r="H33" s="202"/>
    </row>
    <row r="34" spans="1:8" x14ac:dyDescent="0.2">
      <c r="A34" s="12"/>
      <c r="B34" s="13"/>
      <c r="C34" s="14" t="s">
        <v>236</v>
      </c>
      <c r="D34" s="15" t="s">
        <v>237</v>
      </c>
      <c r="E34" s="15" t="s">
        <v>238</v>
      </c>
      <c r="F34" s="16"/>
      <c r="G34" s="17" t="s">
        <v>239</v>
      </c>
      <c r="H34" s="18" t="s">
        <v>240</v>
      </c>
    </row>
    <row r="35" spans="1:8" x14ac:dyDescent="0.2">
      <c r="A35" s="203" t="s">
        <v>17</v>
      </c>
      <c r="B35" s="19" t="s">
        <v>3</v>
      </c>
      <c r="C35" s="80">
        <v>8904.3769745772443</v>
      </c>
      <c r="D35" s="80">
        <v>8866.896608576435</v>
      </c>
      <c r="E35" s="83">
        <v>8583.7358495020635</v>
      </c>
      <c r="F35" s="22" t="s">
        <v>241</v>
      </c>
      <c r="G35" s="23">
        <v>-3.6009383474064407</v>
      </c>
      <c r="H35" s="24">
        <v>-3.1934595786364213</v>
      </c>
    </row>
    <row r="36" spans="1:8" x14ac:dyDescent="0.2">
      <c r="A36" s="204"/>
      <c r="B36" s="25" t="s">
        <v>242</v>
      </c>
      <c r="C36" s="82">
        <v>6749.2810834624852</v>
      </c>
      <c r="D36" s="82">
        <v>6540.8636296685327</v>
      </c>
      <c r="E36" s="82">
        <v>6389.0238891145436</v>
      </c>
      <c r="F36" s="27"/>
      <c r="G36" s="28">
        <v>-5.3377121191569046</v>
      </c>
      <c r="H36" s="29">
        <v>-2.3214020219786136</v>
      </c>
    </row>
    <row r="37" spans="1:8" x14ac:dyDescent="0.2">
      <c r="A37" s="30" t="s">
        <v>18</v>
      </c>
      <c r="B37" s="31" t="s">
        <v>3</v>
      </c>
      <c r="C37" s="80">
        <v>3037.3151262980323</v>
      </c>
      <c r="D37" s="80">
        <v>2867.3178072613059</v>
      </c>
      <c r="E37" s="83">
        <v>2561.5446336107439</v>
      </c>
      <c r="F37" s="22" t="s">
        <v>241</v>
      </c>
      <c r="G37" s="32">
        <v>-15.664179477720879</v>
      </c>
      <c r="H37" s="33">
        <v>-10.664083795532193</v>
      </c>
    </row>
    <row r="38" spans="1:8" x14ac:dyDescent="0.2">
      <c r="A38" s="34"/>
      <c r="B38" s="25" t="s">
        <v>242</v>
      </c>
      <c r="C38" s="82">
        <v>2281.3845507994033</v>
      </c>
      <c r="D38" s="82">
        <v>2078.4593968071781</v>
      </c>
      <c r="E38" s="82">
        <v>1878.6873574212204</v>
      </c>
      <c r="F38" s="27"/>
      <c r="G38" s="35">
        <v>-17.651438607186009</v>
      </c>
      <c r="H38" s="29">
        <v>-9.6115439970988632</v>
      </c>
    </row>
    <row r="39" spans="1:8" x14ac:dyDescent="0.2">
      <c r="A39" s="30" t="s">
        <v>19</v>
      </c>
      <c r="B39" s="31" t="s">
        <v>3</v>
      </c>
      <c r="C39" s="80">
        <v>2934.8006806299086</v>
      </c>
      <c r="D39" s="80">
        <v>3233.0145650993331</v>
      </c>
      <c r="E39" s="83">
        <v>2923.5366439727572</v>
      </c>
      <c r="F39" s="22" t="s">
        <v>241</v>
      </c>
      <c r="G39" s="37">
        <v>-0.38380925599122406</v>
      </c>
      <c r="H39" s="33">
        <v>-9.5724258241028792</v>
      </c>
    </row>
    <row r="40" spans="1:8" x14ac:dyDescent="0.2">
      <c r="A40" s="34"/>
      <c r="B40" s="25" t="s">
        <v>242</v>
      </c>
      <c r="C40" s="82">
        <v>2215.6513376685102</v>
      </c>
      <c r="D40" s="82">
        <v>2369.2545481460461</v>
      </c>
      <c r="E40" s="82">
        <v>2163.5966278691285</v>
      </c>
      <c r="F40" s="27"/>
      <c r="G40" s="28">
        <v>-2.3494089035758634</v>
      </c>
      <c r="H40" s="29">
        <v>-8.6802796448294686</v>
      </c>
    </row>
    <row r="41" spans="1:8" x14ac:dyDescent="0.2">
      <c r="A41" s="30" t="s">
        <v>20</v>
      </c>
      <c r="B41" s="31" t="s">
        <v>3</v>
      </c>
      <c r="C41" s="80">
        <v>375.52211592854422</v>
      </c>
      <c r="D41" s="80">
        <v>398.0162313263765</v>
      </c>
      <c r="E41" s="83">
        <v>404.60121423985737</v>
      </c>
      <c r="F41" s="22" t="s">
        <v>241</v>
      </c>
      <c r="G41" s="23">
        <v>7.7436446690789325</v>
      </c>
      <c r="H41" s="24">
        <v>1.6544508477799127</v>
      </c>
    </row>
    <row r="42" spans="1:8" x14ac:dyDescent="0.2">
      <c r="A42" s="34"/>
      <c r="B42" s="25" t="s">
        <v>242</v>
      </c>
      <c r="C42" s="82">
        <v>285.35344416995827</v>
      </c>
      <c r="D42" s="82">
        <v>310.55883287191614</v>
      </c>
      <c r="E42" s="82">
        <v>312.89926467412647</v>
      </c>
      <c r="F42" s="27"/>
      <c r="G42" s="38">
        <v>9.6532286772616374</v>
      </c>
      <c r="H42" s="24">
        <v>0.75361946094625409</v>
      </c>
    </row>
    <row r="43" spans="1:8" x14ac:dyDescent="0.2">
      <c r="A43" s="30" t="s">
        <v>21</v>
      </c>
      <c r="B43" s="31" t="s">
        <v>3</v>
      </c>
      <c r="C43" s="80">
        <v>45.958752576502974</v>
      </c>
      <c r="D43" s="80">
        <v>50.789542562724669</v>
      </c>
      <c r="E43" s="83">
        <v>64.5117477747511</v>
      </c>
      <c r="F43" s="22" t="s">
        <v>241</v>
      </c>
      <c r="G43" s="37">
        <v>40.368796275235695</v>
      </c>
      <c r="H43" s="33">
        <v>27.017776730474836</v>
      </c>
    </row>
    <row r="44" spans="1:8" x14ac:dyDescent="0.2">
      <c r="A44" s="34"/>
      <c r="B44" s="25" t="s">
        <v>242</v>
      </c>
      <c r="C44" s="82">
        <v>34.811754353732027</v>
      </c>
      <c r="D44" s="82">
        <v>40.378067077603419</v>
      </c>
      <c r="E44" s="82">
        <v>50.453574984669061</v>
      </c>
      <c r="F44" s="27"/>
      <c r="G44" s="28">
        <v>44.932583609536294</v>
      </c>
      <c r="H44" s="29">
        <v>24.952922802622822</v>
      </c>
    </row>
    <row r="45" spans="1:8" x14ac:dyDescent="0.2">
      <c r="A45" s="30" t="s">
        <v>22</v>
      </c>
      <c r="B45" s="31" t="s">
        <v>3</v>
      </c>
      <c r="C45" s="80">
        <v>40.378602719497842</v>
      </c>
      <c r="D45" s="80">
        <v>35.716650817172884</v>
      </c>
      <c r="E45" s="83">
        <v>30.069551877901624</v>
      </c>
      <c r="F45" s="22" t="s">
        <v>241</v>
      </c>
      <c r="G45" s="37">
        <v>-25.530974692738013</v>
      </c>
      <c r="H45" s="33">
        <v>-15.810829991249022</v>
      </c>
    </row>
    <row r="46" spans="1:8" x14ac:dyDescent="0.2">
      <c r="A46" s="34"/>
      <c r="B46" s="25" t="s">
        <v>242</v>
      </c>
      <c r="C46" s="82">
        <v>32.98823672046899</v>
      </c>
      <c r="D46" s="82">
        <v>30.082306055782613</v>
      </c>
      <c r="E46" s="82">
        <v>25.067530039626355</v>
      </c>
      <c r="F46" s="27"/>
      <c r="G46" s="28">
        <v>-24.010700383776154</v>
      </c>
      <c r="H46" s="29">
        <v>-16.67018481514414</v>
      </c>
    </row>
    <row r="47" spans="1:8" x14ac:dyDescent="0.2">
      <c r="A47" s="30" t="s">
        <v>190</v>
      </c>
      <c r="B47" s="31" t="s">
        <v>3</v>
      </c>
      <c r="C47" s="80">
        <v>1259.2014506981182</v>
      </c>
      <c r="D47" s="80">
        <v>1278.8408761161497</v>
      </c>
      <c r="E47" s="83">
        <v>1392.5786968035954</v>
      </c>
      <c r="F47" s="22" t="s">
        <v>241</v>
      </c>
      <c r="G47" s="23">
        <v>10.592208739239567</v>
      </c>
      <c r="H47" s="24">
        <v>8.8938211791343775</v>
      </c>
    </row>
    <row r="48" spans="1:8" x14ac:dyDescent="0.2">
      <c r="A48" s="30"/>
      <c r="B48" s="25" t="s">
        <v>242</v>
      </c>
      <c r="C48" s="82">
        <v>1033.7323191540586</v>
      </c>
      <c r="D48" s="82">
        <v>985.11977724528344</v>
      </c>
      <c r="E48" s="82">
        <v>1095.2459822723843</v>
      </c>
      <c r="F48" s="27"/>
      <c r="G48" s="38">
        <v>5.9506375082346779</v>
      </c>
      <c r="H48" s="24">
        <v>11.178966007062584</v>
      </c>
    </row>
    <row r="49" spans="1:8" x14ac:dyDescent="0.2">
      <c r="A49" s="39" t="s">
        <v>12</v>
      </c>
      <c r="B49" s="31" t="s">
        <v>3</v>
      </c>
      <c r="C49" s="80">
        <v>22.759661424554807</v>
      </c>
      <c r="D49" s="80">
        <v>35.355077256815157</v>
      </c>
      <c r="E49" s="83">
        <v>29.238870652217319</v>
      </c>
      <c r="F49" s="22" t="s">
        <v>241</v>
      </c>
      <c r="G49" s="37">
        <v>28.467950848654823</v>
      </c>
      <c r="H49" s="33">
        <v>-17.299372761005245</v>
      </c>
    </row>
    <row r="50" spans="1:8" x14ac:dyDescent="0.2">
      <c r="A50" s="34"/>
      <c r="B50" s="25" t="s">
        <v>242</v>
      </c>
      <c r="C50" s="82">
        <v>20.525284998356092</v>
      </c>
      <c r="D50" s="82">
        <v>23.296604735806895</v>
      </c>
      <c r="E50" s="82">
        <v>21.166765403201023</v>
      </c>
      <c r="F50" s="27"/>
      <c r="G50" s="28">
        <v>3.1253178939844446</v>
      </c>
      <c r="H50" s="29">
        <v>-9.1422735491249796</v>
      </c>
    </row>
    <row r="51" spans="1:8" x14ac:dyDescent="0.2">
      <c r="A51" s="39" t="s">
        <v>23</v>
      </c>
      <c r="B51" s="31" t="s">
        <v>3</v>
      </c>
      <c r="C51" s="80">
        <v>332.94284501083888</v>
      </c>
      <c r="D51" s="80">
        <v>315.15993797119825</v>
      </c>
      <c r="E51" s="83">
        <v>322.20629333409573</v>
      </c>
      <c r="F51" s="22" t="s">
        <v>241</v>
      </c>
      <c r="G51" s="23">
        <v>-3.2247431766835604</v>
      </c>
      <c r="H51" s="24">
        <v>2.2358030047402195</v>
      </c>
    </row>
    <row r="52" spans="1:8" x14ac:dyDescent="0.2">
      <c r="A52" s="34"/>
      <c r="B52" s="25" t="s">
        <v>242</v>
      </c>
      <c r="C52" s="82">
        <v>230.29290047352643</v>
      </c>
      <c r="D52" s="82">
        <v>227.62770599007908</v>
      </c>
      <c r="E52" s="82">
        <v>229.33817757244498</v>
      </c>
      <c r="F52" s="27"/>
      <c r="G52" s="28">
        <v>-0.41456896809165755</v>
      </c>
      <c r="H52" s="29">
        <v>0.7514338269702705</v>
      </c>
    </row>
    <row r="53" spans="1:8" x14ac:dyDescent="0.2">
      <c r="A53" s="30" t="s">
        <v>24</v>
      </c>
      <c r="B53" s="31" t="s">
        <v>3</v>
      </c>
      <c r="C53" s="80">
        <v>855.49773929124774</v>
      </c>
      <c r="D53" s="80">
        <v>652.68592016535774</v>
      </c>
      <c r="E53" s="83">
        <v>844.11378819414404</v>
      </c>
      <c r="F53" s="22" t="s">
        <v>241</v>
      </c>
      <c r="G53" s="23">
        <v>-1.3306816107468507</v>
      </c>
      <c r="H53" s="24">
        <v>29.329247363002423</v>
      </c>
    </row>
    <row r="54" spans="1:8" ht="13.5" thickBot="1" x14ac:dyDescent="0.25">
      <c r="A54" s="41"/>
      <c r="B54" s="42" t="s">
        <v>242</v>
      </c>
      <c r="C54" s="86">
        <v>614.54125512447217</v>
      </c>
      <c r="D54" s="86">
        <v>476.08639073883631</v>
      </c>
      <c r="E54" s="86">
        <v>612.56860887774303</v>
      </c>
      <c r="F54" s="44"/>
      <c r="G54" s="45">
        <v>-0.32099492593538059</v>
      </c>
      <c r="H54" s="46">
        <v>28.667531942490655</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6">
        <v>13</v>
      </c>
    </row>
    <row r="62" spans="1:8" ht="12.75" customHeight="1" x14ac:dyDescent="0.2">
      <c r="A62" s="54" t="s">
        <v>244</v>
      </c>
      <c r="G62" s="53"/>
      <c r="H62" s="199"/>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2020-11-13T10:55:18Z</dcterms:modified>
</cp:coreProperties>
</file>