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mc:AlternateContent xmlns:mc="http://schemas.openxmlformats.org/markup-compatibility/2006">
    <mc:Choice Requires="x15">
      <x15ac:absPath xmlns:x15ac="http://schemas.microsoft.com/office/spreadsheetml/2010/11/ac" url="O:\Statistikk og analyse\HMoseby\Kvartalstatistikkene\Skadestatistikk\Rapport\"/>
    </mc:Choice>
  </mc:AlternateContent>
  <xr:revisionPtr revIDLastSave="0" documentId="10_ncr:100000_{0247B1B8-D598-41E6-A4EF-DB9AF145E2FA}" xr6:coauthVersionLast="31" xr6:coauthVersionMax="31" xr10:uidLastSave="{00000000-0000-0000-0000-000000000000}"/>
  <bookViews>
    <workbookView xWindow="7662" yWindow="-14" windowWidth="7349" windowHeight="5298" tabRatio="884" xr2:uid="{00000000-000D-0000-FFFF-FFFF00000000}"/>
  </bookViews>
  <sheets>
    <sheet name="Forside" sheetId="46" r:id="rId1"/>
    <sheet name="Innhold" sheetId="21" r:id="rId2"/>
    <sheet name="Tab1" sheetId="23" r:id="rId3"/>
    <sheet name="Tab2" sheetId="19" r:id="rId4"/>
    <sheet name="Tab3" sheetId="1" r:id="rId5"/>
    <sheet name="Tab4" sheetId="2" r:id="rId6"/>
    <sheet name="Tab5" sheetId="4" r:id="rId7"/>
    <sheet name="Tab6" sheetId="5" r:id="rId8"/>
    <sheet name="Tab7" sheetId="6" r:id="rId9"/>
    <sheet name="Tab8" sheetId="7" r:id="rId10"/>
    <sheet name="Tab9" sheetId="8" r:id="rId11"/>
    <sheet name="Tab10" sheetId="9" r:id="rId12"/>
    <sheet name="Tab11" sheetId="10" r:id="rId13"/>
    <sheet name="Tab12" sheetId="12" r:id="rId14"/>
    <sheet name="Tab13" sheetId="13" r:id="rId15"/>
    <sheet name="Tab14" sheetId="14" r:id="rId16"/>
    <sheet name="Tab15" sheetId="43" r:id="rId17"/>
    <sheet name="Tab16" sheetId="44" r:id="rId18"/>
    <sheet name="Tab17" sheetId="45" r:id="rId19"/>
    <sheet name="Tab18" sheetId="15" r:id="rId20"/>
    <sheet name="Tab19" sheetId="16" r:id="rId21"/>
    <sheet name="Tab20" sheetId="17" r:id="rId22"/>
    <sheet name="Tab21" sheetId="24" r:id="rId23"/>
  </sheets>
  <externalReferences>
    <externalReference r:id="rId24"/>
  </externalReferences>
  <definedNames>
    <definedName name="_xlnm._FilterDatabase" localSheetId="3" hidden="1">'Tab2'!$A$2</definedName>
    <definedName name="aar">'Tab3'!$E$6</definedName>
    <definedName name="aar_1">'Tab3'!$D$6</definedName>
    <definedName name="aar_2">'Tab3'!$C$6</definedName>
    <definedName name="aaret_i_alt">'Tab3'!$B$7</definedName>
    <definedName name="DATA_0">#REF!</definedName>
    <definedName name="DATA_AN">#REF!</definedName>
    <definedName name="DATA_B">#REF!</definedName>
    <definedName name="DATA_BEH">#REF!</definedName>
    <definedName name="DATA_BKN">#REF!</definedName>
    <definedName name="DATA_BKP">#REF!</definedName>
    <definedName name="DATA_FB">#REF!</definedName>
    <definedName name="DATA_K">#REF!</definedName>
    <definedName name="DATA_M1">#REF!</definedName>
    <definedName name="DATA_M2">#REF!</definedName>
    <definedName name="DATA_P">#REF!</definedName>
    <definedName name="DATA_RS">#REF!</definedName>
    <definedName name="Dato_1årsiden">[1]Tab5!$C$6</definedName>
    <definedName name="Dato_2årsiden">[1]Tab5!$B$6</definedName>
    <definedName name="Dato_nå">[1]Tab5!$D$6</definedName>
    <definedName name="hittil_i_aar">'Tab3'!$B$8</definedName>
    <definedName name="kvartal" localSheetId="0">#REF!</definedName>
    <definedName name="kvartal">#REF!</definedName>
    <definedName name="_xlnm.Print_Area" localSheetId="2">'Tab1'!$A$1:$G$52</definedName>
    <definedName name="_xlnm.Print_Area" localSheetId="3">'Tab2'!$A$1:$AJ$62</definedName>
    <definedName name="_xlnm.Print_Area" localSheetId="22">'Tab21'!$A$1:$N$53</definedName>
    <definedName name="_xlnm.Print_Area" localSheetId="4">'Tab3'!$A$1:$H$62</definedName>
    <definedName name="_xlnm.Print_Area">'Tab9'!$A$4:$H$62</definedName>
    <definedName name="pros_1">'Tab3'!$H$6</definedName>
    <definedName name="pros_2">'Tab3'!$G$6</definedName>
  </definedNames>
  <calcPr calcId="179017"/>
</workbook>
</file>

<file path=xl/calcChain.xml><?xml version="1.0" encoding="utf-8"?>
<calcChain xmlns="http://schemas.openxmlformats.org/spreadsheetml/2006/main">
  <c r="B124" i="21" l="1"/>
  <c r="T213" i="19" l="1"/>
  <c r="Q213" i="19"/>
  <c r="N213" i="19"/>
  <c r="D213" i="19"/>
  <c r="C213" i="19"/>
  <c r="T212" i="19"/>
  <c r="Q212" i="19"/>
  <c r="N212" i="19"/>
  <c r="D212" i="19"/>
  <c r="C212" i="19"/>
  <c r="T211" i="19"/>
  <c r="Q211" i="19"/>
  <c r="N211" i="19"/>
  <c r="D211" i="19"/>
  <c r="C211" i="19"/>
  <c r="Y92" i="19" l="1"/>
  <c r="Y85" i="19"/>
  <c r="W82" i="19"/>
  <c r="W100" i="19" s="1"/>
  <c r="W111" i="19" s="1"/>
  <c r="Y125" i="19"/>
  <c r="S216" i="19"/>
  <c r="S214" i="19" s="1"/>
  <c r="R216" i="19"/>
  <c r="R214" i="19" s="1"/>
  <c r="P216" i="19"/>
  <c r="P214" i="19" s="1"/>
  <c r="O216" i="19"/>
  <c r="O214" i="19" s="1"/>
  <c r="M216" i="19"/>
  <c r="M214" i="19" s="1"/>
  <c r="L216" i="19"/>
  <c r="L214" i="19" s="1"/>
  <c r="R215" i="19"/>
  <c r="E215" i="19"/>
  <c r="T210" i="19"/>
  <c r="Q210" i="19"/>
  <c r="N210" i="19"/>
  <c r="D210" i="19"/>
  <c r="C210" i="19"/>
  <c r="T209" i="19"/>
  <c r="Q209" i="19"/>
  <c r="N209" i="19"/>
  <c r="D209" i="19"/>
  <c r="C209" i="19"/>
  <c r="T208" i="19"/>
  <c r="Q208" i="19"/>
  <c r="N208" i="19"/>
  <c r="D208" i="19"/>
  <c r="C208" i="19"/>
  <c r="T207" i="19"/>
  <c r="Q207" i="19"/>
  <c r="N207" i="19"/>
  <c r="D207" i="19"/>
  <c r="C207" i="19"/>
  <c r="T206" i="19"/>
  <c r="Q206" i="19"/>
  <c r="N206" i="19"/>
  <c r="D206" i="19"/>
  <c r="C206" i="19"/>
  <c r="T205" i="19"/>
  <c r="Q205" i="19"/>
  <c r="N205" i="19"/>
  <c r="D205" i="19"/>
  <c r="C205" i="19"/>
  <c r="T204" i="19"/>
  <c r="Q204" i="19"/>
  <c r="N204" i="19"/>
  <c r="D204" i="19"/>
  <c r="C204" i="19"/>
  <c r="T203" i="19"/>
  <c r="Q203" i="19"/>
  <c r="N203" i="19"/>
  <c r="D203" i="19"/>
  <c r="C203" i="19"/>
  <c r="T202" i="19"/>
  <c r="Q202" i="19"/>
  <c r="N202" i="19"/>
  <c r="D202" i="19"/>
  <c r="C202" i="19"/>
  <c r="T201" i="19"/>
  <c r="Q201" i="19"/>
  <c r="N201" i="19"/>
  <c r="D201" i="19"/>
  <c r="C201" i="19"/>
  <c r="T200" i="19"/>
  <c r="Q200" i="19"/>
  <c r="N200" i="19"/>
  <c r="D200" i="19"/>
  <c r="C200" i="19"/>
  <c r="T199" i="19"/>
  <c r="Q199" i="19"/>
  <c r="N199" i="19"/>
  <c r="D199" i="19"/>
  <c r="C199" i="19"/>
  <c r="T198" i="19"/>
  <c r="Q198" i="19"/>
  <c r="N198" i="19"/>
  <c r="D198" i="19"/>
  <c r="C198" i="19"/>
  <c r="T197" i="19"/>
  <c r="Q197" i="19"/>
  <c r="N197" i="19"/>
  <c r="D197" i="19"/>
  <c r="C197" i="19"/>
  <c r="T196" i="19"/>
  <c r="Q196" i="19"/>
  <c r="N196" i="19"/>
  <c r="D196" i="19"/>
  <c r="C196" i="19"/>
  <c r="T195" i="19"/>
  <c r="Q195" i="19"/>
  <c r="N195" i="19"/>
  <c r="K195" i="19"/>
  <c r="J195" i="19"/>
  <c r="D195" i="19"/>
  <c r="C195" i="19"/>
  <c r="T194" i="19"/>
  <c r="Q194" i="19"/>
  <c r="N194" i="19"/>
  <c r="D194" i="19"/>
  <c r="C194" i="19"/>
  <c r="T193" i="19"/>
  <c r="Q193" i="19"/>
  <c r="N193" i="19"/>
  <c r="D193" i="19"/>
  <c r="C193" i="19"/>
  <c r="T192" i="19"/>
  <c r="Q192" i="19"/>
  <c r="N192" i="19"/>
  <c r="D192" i="19"/>
  <c r="C192" i="19"/>
  <c r="T191" i="19"/>
  <c r="Q191" i="19"/>
  <c r="N191" i="19"/>
  <c r="K191" i="19"/>
  <c r="D191" i="19"/>
  <c r="C191" i="19"/>
  <c r="T190" i="19"/>
  <c r="Q190" i="19"/>
  <c r="N190" i="19"/>
  <c r="D190" i="19"/>
  <c r="C190" i="19"/>
  <c r="T189" i="19"/>
  <c r="Q189" i="19"/>
  <c r="N189" i="19"/>
  <c r="D189" i="19"/>
  <c r="C189" i="19"/>
  <c r="T188" i="19"/>
  <c r="Q188" i="19"/>
  <c r="N188" i="19"/>
  <c r="D188" i="19"/>
  <c r="C188" i="19"/>
  <c r="T187" i="19"/>
  <c r="Q187" i="19"/>
  <c r="N187" i="19"/>
  <c r="D187" i="19"/>
  <c r="C187" i="19"/>
  <c r="T186" i="19"/>
  <c r="Q186" i="19"/>
  <c r="N186" i="19"/>
  <c r="D186" i="19"/>
  <c r="C186" i="19"/>
  <c r="T185" i="19"/>
  <c r="Q185" i="19"/>
  <c r="N185" i="19"/>
  <c r="D185" i="19"/>
  <c r="C185" i="19"/>
  <c r="T184" i="19"/>
  <c r="Q184" i="19"/>
  <c r="N184" i="19"/>
  <c r="D184" i="19"/>
  <c r="C184" i="19"/>
  <c r="T183" i="19"/>
  <c r="Q183" i="19"/>
  <c r="N183" i="19"/>
  <c r="D183" i="19"/>
  <c r="C183" i="19"/>
  <c r="T182" i="19"/>
  <c r="Q182" i="19"/>
  <c r="N182" i="19"/>
  <c r="D182" i="19"/>
  <c r="C182" i="19"/>
  <c r="T181" i="19"/>
  <c r="Q181" i="19"/>
  <c r="N181" i="19"/>
  <c r="D181" i="19"/>
  <c r="C181" i="19"/>
  <c r="T180" i="19"/>
  <c r="Q180" i="19"/>
  <c r="N180" i="19"/>
  <c r="D180" i="19"/>
  <c r="C180" i="19"/>
  <c r="T179" i="19"/>
  <c r="Q179" i="19"/>
  <c r="N179" i="19"/>
  <c r="D179" i="19"/>
  <c r="C179" i="19"/>
  <c r="T178" i="19"/>
  <c r="Q178" i="19"/>
  <c r="N178" i="19"/>
  <c r="D178" i="19"/>
  <c r="C178" i="19"/>
  <c r="T177" i="19"/>
  <c r="Q177" i="19"/>
  <c r="N177" i="19"/>
  <c r="D177" i="19"/>
  <c r="C177" i="19"/>
  <c r="T176" i="19"/>
  <c r="Q176" i="19"/>
  <c r="N176" i="19"/>
  <c r="D176" i="19"/>
  <c r="C176" i="19"/>
  <c r="T175" i="19"/>
  <c r="Q175" i="19"/>
  <c r="N175" i="19"/>
  <c r="D175" i="19"/>
  <c r="C175" i="19"/>
  <c r="T174" i="19"/>
  <c r="Q174" i="19"/>
  <c r="N174" i="19"/>
  <c r="D174" i="19"/>
  <c r="C174" i="19"/>
  <c r="T173" i="19"/>
  <c r="Q173" i="19"/>
  <c r="N173" i="19"/>
  <c r="D173" i="19"/>
  <c r="C173" i="19"/>
  <c r="T172" i="19"/>
  <c r="Q172" i="19"/>
  <c r="N172" i="19"/>
  <c r="D172" i="19"/>
  <c r="C172" i="19"/>
  <c r="T171" i="19"/>
  <c r="Q171" i="19"/>
  <c r="N171" i="19"/>
  <c r="D171" i="19"/>
  <c r="C171" i="19"/>
  <c r="T170" i="19"/>
  <c r="Q170" i="19"/>
  <c r="N170" i="19"/>
  <c r="D170" i="19"/>
  <c r="C170" i="19"/>
  <c r="T169" i="19"/>
  <c r="Q169" i="19"/>
  <c r="N169" i="19"/>
  <c r="D169" i="19"/>
  <c r="C169" i="19"/>
  <c r="T168" i="19"/>
  <c r="Q168" i="19"/>
  <c r="N168" i="19"/>
  <c r="D168" i="19"/>
  <c r="C168" i="19"/>
  <c r="T167" i="19"/>
  <c r="Q167" i="19"/>
  <c r="N167" i="19"/>
  <c r="D167" i="19"/>
  <c r="C167" i="19"/>
  <c r="T166" i="19"/>
  <c r="Q166" i="19"/>
  <c r="N166" i="19"/>
  <c r="D166" i="19"/>
  <c r="C166" i="19"/>
  <c r="T165" i="19"/>
  <c r="Q165" i="19"/>
  <c r="N165" i="19"/>
  <c r="D165" i="19"/>
  <c r="C165" i="19"/>
  <c r="T164" i="19"/>
  <c r="Q164" i="19"/>
  <c r="N164" i="19"/>
  <c r="D164" i="19"/>
  <c r="C164" i="19"/>
  <c r="T163" i="19"/>
  <c r="Q163" i="19"/>
  <c r="N163" i="19"/>
  <c r="D163" i="19"/>
  <c r="C163" i="19"/>
  <c r="T162" i="19"/>
  <c r="Q162" i="19"/>
  <c r="N162" i="19"/>
  <c r="D162" i="19"/>
  <c r="C162" i="19"/>
  <c r="T161" i="19"/>
  <c r="Q161" i="19"/>
  <c r="N161" i="19"/>
  <c r="D161" i="19"/>
  <c r="C161" i="19"/>
  <c r="T160" i="19"/>
  <c r="Q160" i="19"/>
  <c r="N160" i="19"/>
  <c r="D160" i="19"/>
  <c r="C160" i="19"/>
  <c r="T159" i="19"/>
  <c r="Q159" i="19"/>
  <c r="N159" i="19"/>
  <c r="D159" i="19"/>
  <c r="C159" i="19"/>
  <c r="T158" i="19"/>
  <c r="Q158" i="19"/>
  <c r="N158" i="19"/>
  <c r="D158" i="19"/>
  <c r="C158" i="19"/>
  <c r="T157" i="19"/>
  <c r="Q157" i="19"/>
  <c r="N157" i="19"/>
  <c r="D157" i="19"/>
  <c r="C157" i="19"/>
  <c r="T156" i="19"/>
  <c r="Q156" i="19"/>
  <c r="N156" i="19"/>
  <c r="D156" i="19"/>
  <c r="C156" i="19"/>
  <c r="T155" i="19"/>
  <c r="Q155" i="19"/>
  <c r="N155" i="19"/>
  <c r="D155" i="19"/>
  <c r="C155" i="19"/>
  <c r="T154" i="19"/>
  <c r="Q154" i="19"/>
  <c r="N154" i="19"/>
  <c r="D154" i="19"/>
  <c r="C154" i="19"/>
  <c r="T153" i="19"/>
  <c r="Q153" i="19"/>
  <c r="N153" i="19"/>
  <c r="D153" i="19"/>
  <c r="C153" i="19"/>
  <c r="T152" i="19"/>
  <c r="Q152" i="19"/>
  <c r="N152" i="19"/>
  <c r="D152" i="19"/>
  <c r="C152" i="19"/>
  <c r="T151" i="19"/>
  <c r="Q151" i="19"/>
  <c r="N151" i="19"/>
  <c r="D151" i="19"/>
  <c r="C151" i="19"/>
  <c r="T150" i="19"/>
  <c r="Q150" i="19"/>
  <c r="N150" i="19"/>
  <c r="D150" i="19"/>
  <c r="C150" i="19"/>
  <c r="T149" i="19"/>
  <c r="Q149" i="19"/>
  <c r="N149" i="19"/>
  <c r="D149" i="19"/>
  <c r="C149" i="19"/>
  <c r="T148" i="19"/>
  <c r="Q148" i="19"/>
  <c r="N148" i="19"/>
  <c r="D148" i="19"/>
  <c r="C148" i="19"/>
  <c r="T147" i="19"/>
  <c r="Q147" i="19"/>
  <c r="N147" i="19"/>
  <c r="D147" i="19"/>
  <c r="C147" i="19"/>
  <c r="T146" i="19"/>
  <c r="Q146" i="19"/>
  <c r="N146" i="19"/>
  <c r="D146" i="19"/>
  <c r="C146" i="19"/>
  <c r="T145" i="19"/>
  <c r="Q145" i="19"/>
  <c r="N145" i="19"/>
  <c r="D145" i="19"/>
  <c r="C145" i="19"/>
  <c r="T144" i="19"/>
  <c r="Q144" i="19"/>
  <c r="N144" i="19"/>
  <c r="D144" i="19"/>
  <c r="C144" i="19"/>
  <c r="T143" i="19"/>
  <c r="Q143" i="19"/>
  <c r="N143" i="19"/>
  <c r="D143" i="19"/>
  <c r="C143" i="19"/>
  <c r="T142" i="19"/>
  <c r="Q142" i="19"/>
  <c r="N142" i="19"/>
  <c r="D142" i="19"/>
  <c r="C142" i="19"/>
  <c r="T141" i="19"/>
  <c r="Q141" i="19"/>
  <c r="N141" i="19"/>
  <c r="D141" i="19"/>
  <c r="C141" i="19"/>
  <c r="T140" i="19"/>
  <c r="Q140" i="19"/>
  <c r="N140" i="19"/>
  <c r="D140" i="19"/>
  <c r="C140" i="19"/>
  <c r="T139" i="19"/>
  <c r="Q139" i="19"/>
  <c r="N139" i="19"/>
  <c r="D139" i="19"/>
  <c r="C139" i="19"/>
  <c r="T138" i="19"/>
  <c r="Q138" i="19"/>
  <c r="N138" i="19"/>
  <c r="D138" i="19"/>
  <c r="C138" i="19"/>
  <c r="T137" i="19"/>
  <c r="Q137" i="19"/>
  <c r="N137" i="19"/>
  <c r="D137" i="19"/>
  <c r="C137" i="19"/>
  <c r="T136" i="19"/>
  <c r="Q136" i="19"/>
  <c r="N136" i="19"/>
  <c r="D136" i="19"/>
  <c r="C136" i="19"/>
  <c r="T135" i="19"/>
  <c r="Q135" i="19"/>
  <c r="N135" i="19"/>
  <c r="D135" i="19"/>
  <c r="C135" i="19"/>
  <c r="T134" i="19"/>
  <c r="Q134" i="19"/>
  <c r="N134" i="19"/>
  <c r="D134" i="19"/>
  <c r="C134" i="19"/>
  <c r="Y133" i="19"/>
  <c r="X133" i="19"/>
  <c r="W133" i="19"/>
  <c r="T133" i="19"/>
  <c r="Q133" i="19"/>
  <c r="N133" i="19"/>
  <c r="Y132" i="19"/>
  <c r="X132" i="19"/>
  <c r="W132" i="19"/>
  <c r="T132" i="19"/>
  <c r="Q132" i="19"/>
  <c r="N132" i="19"/>
  <c r="D132" i="19"/>
  <c r="D133" i="19" s="1"/>
  <c r="C132" i="19"/>
  <c r="C133" i="19" s="1"/>
  <c r="Y131" i="19"/>
  <c r="W131" i="19"/>
  <c r="T131" i="19"/>
  <c r="Q131" i="19"/>
  <c r="N131" i="19"/>
  <c r="W130" i="19"/>
  <c r="T130" i="19"/>
  <c r="Q130" i="19"/>
  <c r="N130" i="19"/>
  <c r="X129" i="19"/>
  <c r="W129" i="19"/>
  <c r="T129" i="19"/>
  <c r="Q129" i="19"/>
  <c r="N129" i="19"/>
  <c r="C129" i="19"/>
  <c r="X128" i="19"/>
  <c r="W128" i="19"/>
  <c r="T128" i="19"/>
  <c r="Q128" i="19"/>
  <c r="N128" i="19"/>
  <c r="D128" i="19"/>
  <c r="C128" i="19"/>
  <c r="C130" i="19" s="1"/>
  <c r="T127" i="19"/>
  <c r="Q127" i="19"/>
  <c r="N127" i="19"/>
  <c r="T126" i="19"/>
  <c r="Q126" i="19"/>
  <c r="N126" i="19"/>
  <c r="X125" i="19"/>
  <c r="W125" i="19"/>
  <c r="T125" i="19"/>
  <c r="Q125" i="19"/>
  <c r="N125" i="19"/>
  <c r="Y124" i="19"/>
  <c r="X124" i="19"/>
  <c r="W124" i="19"/>
  <c r="T124" i="19"/>
  <c r="Q124" i="19"/>
  <c r="N124" i="19"/>
  <c r="D124" i="19"/>
  <c r="C124" i="19"/>
  <c r="Y123" i="19"/>
  <c r="X123" i="19"/>
  <c r="W123" i="19"/>
  <c r="T123" i="19"/>
  <c r="Q123" i="19"/>
  <c r="N123" i="19"/>
  <c r="Y122" i="19"/>
  <c r="X122" i="19"/>
  <c r="W122" i="19"/>
  <c r="T122" i="19"/>
  <c r="Q122" i="19"/>
  <c r="N122" i="19"/>
  <c r="X121" i="19"/>
  <c r="W121" i="19"/>
  <c r="T121" i="19"/>
  <c r="Q121" i="19"/>
  <c r="N121" i="19"/>
  <c r="D121" i="19"/>
  <c r="D122" i="19" s="1"/>
  <c r="C121" i="19"/>
  <c r="C122" i="19" s="1"/>
  <c r="T120" i="19"/>
  <c r="Q120" i="19"/>
  <c r="N120" i="19"/>
  <c r="D120" i="19"/>
  <c r="C120" i="19"/>
  <c r="T119" i="19"/>
  <c r="Q119" i="19"/>
  <c r="N119" i="19"/>
  <c r="T118" i="19"/>
  <c r="Q118" i="19"/>
  <c r="N118" i="19"/>
  <c r="Y117" i="19"/>
  <c r="X117" i="19"/>
  <c r="W117" i="19"/>
  <c r="T117" i="19"/>
  <c r="Q117" i="19"/>
  <c r="N117" i="19"/>
  <c r="D117" i="19"/>
  <c r="D118" i="19" s="1"/>
  <c r="T116" i="19"/>
  <c r="Q116" i="19"/>
  <c r="N116" i="19"/>
  <c r="D116" i="19"/>
  <c r="C116" i="19"/>
  <c r="T115" i="19"/>
  <c r="Q115" i="19"/>
  <c r="N115" i="19"/>
  <c r="Y114" i="19"/>
  <c r="X114" i="19"/>
  <c r="W114" i="19"/>
  <c r="T114" i="19"/>
  <c r="Q114" i="19"/>
  <c r="N114" i="19"/>
  <c r="Y113" i="19"/>
  <c r="X113" i="19"/>
  <c r="W113" i="19"/>
  <c r="T113" i="19"/>
  <c r="Q113" i="19"/>
  <c r="N113" i="19"/>
  <c r="Y112" i="19"/>
  <c r="X112" i="19"/>
  <c r="W112" i="19"/>
  <c r="T112" i="19"/>
  <c r="Q112" i="19"/>
  <c r="N112" i="19"/>
  <c r="D112" i="19"/>
  <c r="D113" i="19" s="1"/>
  <c r="D114" i="19" s="1"/>
  <c r="C112" i="19"/>
  <c r="C113" i="19" s="1"/>
  <c r="C114" i="19" s="1"/>
  <c r="T111" i="19"/>
  <c r="Q111" i="19"/>
  <c r="N111" i="19"/>
  <c r="T110" i="19"/>
  <c r="Q110" i="19"/>
  <c r="N110" i="19"/>
  <c r="T109" i="19"/>
  <c r="Q109" i="19"/>
  <c r="N109" i="19"/>
  <c r="T108" i="19"/>
  <c r="Q108" i="19"/>
  <c r="N108" i="19"/>
  <c r="T107" i="19"/>
  <c r="Q107" i="19"/>
  <c r="N107" i="19"/>
  <c r="Y106" i="19"/>
  <c r="X106" i="19"/>
  <c r="W106" i="19"/>
  <c r="T106" i="19"/>
  <c r="Q106" i="19"/>
  <c r="N106" i="19"/>
  <c r="T105" i="19"/>
  <c r="Q105" i="19"/>
  <c r="N105" i="19"/>
  <c r="T104" i="19"/>
  <c r="Q104" i="19"/>
  <c r="N104" i="19"/>
  <c r="Y103" i="19"/>
  <c r="X103" i="19"/>
  <c r="W103" i="19"/>
  <c r="T103" i="19"/>
  <c r="Q103" i="19"/>
  <c r="N103" i="19"/>
  <c r="Y102" i="19"/>
  <c r="X102" i="19"/>
  <c r="W102" i="19"/>
  <c r="N102" i="19"/>
  <c r="Y101" i="19"/>
  <c r="X101" i="19"/>
  <c r="W101" i="19"/>
  <c r="N101" i="19"/>
  <c r="N100" i="19"/>
  <c r="N99" i="19"/>
  <c r="N98" i="19"/>
  <c r="N97" i="19"/>
  <c r="N96" i="19"/>
  <c r="N95" i="19"/>
  <c r="N94" i="19"/>
  <c r="N93" i="19"/>
  <c r="X92" i="19"/>
  <c r="N92" i="19"/>
  <c r="X91" i="19"/>
  <c r="W91" i="19"/>
  <c r="N91" i="19"/>
  <c r="X90" i="19"/>
  <c r="W90" i="19"/>
  <c r="N90" i="19"/>
  <c r="Y89" i="19"/>
  <c r="X89" i="19"/>
  <c r="N89" i="19"/>
  <c r="Y88" i="19"/>
  <c r="X88" i="19"/>
  <c r="N88" i="19"/>
  <c r="Y87" i="19"/>
  <c r="X87" i="19"/>
  <c r="N87" i="19"/>
  <c r="Y86" i="19"/>
  <c r="X86" i="19"/>
  <c r="W86" i="19"/>
  <c r="N86" i="19"/>
  <c r="X85" i="19"/>
  <c r="W85" i="19"/>
  <c r="N85" i="19"/>
  <c r="Y84" i="19"/>
  <c r="X84" i="19"/>
  <c r="W84" i="19"/>
  <c r="N84" i="19"/>
  <c r="Y83" i="19"/>
  <c r="X83" i="19"/>
  <c r="N83" i="19"/>
  <c r="N82" i="19"/>
  <c r="N81" i="19"/>
  <c r="N80" i="19"/>
  <c r="N79" i="19"/>
  <c r="N78" i="19"/>
  <c r="Z77" i="19"/>
  <c r="Y77" i="19"/>
  <c r="X77" i="19"/>
  <c r="N77" i="19"/>
  <c r="Z76" i="19"/>
  <c r="Y76" i="19"/>
  <c r="X76" i="19"/>
  <c r="N76" i="19"/>
  <c r="Z75" i="19"/>
  <c r="Y75" i="19"/>
  <c r="X75" i="19"/>
  <c r="N75" i="19"/>
  <c r="Z74" i="19"/>
  <c r="Y74" i="19"/>
  <c r="X74" i="19"/>
  <c r="N74" i="19"/>
  <c r="N73" i="19"/>
  <c r="Z72" i="19"/>
  <c r="Y72" i="19"/>
  <c r="Y78" i="19" s="1"/>
  <c r="X72" i="19"/>
  <c r="N72" i="19"/>
  <c r="N71" i="19"/>
  <c r="Z70" i="19"/>
  <c r="Y70" i="19"/>
  <c r="X70" i="19"/>
  <c r="W62" i="19"/>
  <c r="AD61" i="19"/>
  <c r="A61" i="19"/>
  <c r="AD32" i="19"/>
  <c r="B20" i="21" s="1"/>
  <c r="W32" i="19"/>
  <c r="I32" i="19"/>
  <c r="B14" i="21" s="1"/>
  <c r="A32" i="19"/>
  <c r="B12" i="21" s="1"/>
  <c r="AD6" i="19"/>
  <c r="W6" i="19"/>
  <c r="I6" i="19"/>
  <c r="B13" i="21" s="1"/>
  <c r="A6" i="19"/>
  <c r="B11" i="21" s="1"/>
  <c r="B123" i="21"/>
  <c r="B61" i="21"/>
  <c r="H26" i="21"/>
  <c r="H24" i="21"/>
  <c r="B19" i="21"/>
  <c r="B18" i="21"/>
  <c r="B17" i="21"/>
  <c r="B15" i="21"/>
  <c r="X115" i="19" l="1"/>
  <c r="X78" i="19"/>
  <c r="X104" i="19"/>
  <c r="Y115" i="19"/>
  <c r="Z78" i="19"/>
  <c r="X93" i="19"/>
  <c r="X95" i="19" s="1"/>
  <c r="W104" i="19"/>
  <c r="W115" i="19"/>
  <c r="Y130" i="19"/>
  <c r="Y129" i="19"/>
  <c r="Y128" i="19"/>
  <c r="Y82" i="19"/>
  <c r="Y100" i="19" s="1"/>
  <c r="Y111" i="19" s="1"/>
  <c r="Y121" i="19"/>
  <c r="P32" i="19"/>
  <c r="B16" i="21" s="1"/>
  <c r="W88" i="19"/>
  <c r="W87" i="19"/>
  <c r="C125" i="19"/>
  <c r="C126" i="19" s="1"/>
  <c r="H53" i="24"/>
  <c r="A53" i="24"/>
  <c r="P62" i="19"/>
  <c r="I62" i="19"/>
  <c r="A52" i="23"/>
  <c r="AD62" i="19"/>
  <c r="A62" i="19"/>
  <c r="B62" i="21"/>
  <c r="Y104" i="19"/>
  <c r="C117" i="19"/>
  <c r="C118" i="19" s="1"/>
  <c r="H28" i="21"/>
  <c r="H29" i="21" s="1"/>
  <c r="H31" i="21" s="1"/>
  <c r="H27" i="21"/>
  <c r="Y91" i="19"/>
  <c r="Y90" i="19"/>
  <c r="Y93" i="19" s="1"/>
  <c r="Y95" i="19" s="1"/>
  <c r="G215" i="19"/>
  <c r="X131" i="19"/>
  <c r="X130" i="19"/>
  <c r="W83" i="19"/>
  <c r="W89" i="19"/>
  <c r="A51" i="23"/>
  <c r="I61" i="19"/>
  <c r="D125" i="19"/>
  <c r="D126" i="19" s="1"/>
  <c r="D129" i="19"/>
  <c r="D130" i="19" s="1"/>
  <c r="X82" i="19"/>
  <c r="X100" i="19" s="1"/>
  <c r="X111" i="19" s="1"/>
  <c r="P61" i="19"/>
  <c r="P215" i="19"/>
  <c r="H52" i="24"/>
  <c r="A52" i="24"/>
  <c r="W61" i="19"/>
  <c r="M215" i="19" l="1"/>
  <c r="S215" i="19"/>
  <c r="W92" i="19"/>
  <c r="W93" i="19" s="1"/>
  <c r="W95" i="19" s="1"/>
  <c r="L215" i="19"/>
  <c r="O215" i="19"/>
  <c r="H33" i="21"/>
  <c r="H34" i="21" s="1"/>
  <c r="H35" i="21" s="1"/>
  <c r="H36" i="21" s="1"/>
  <c r="H37" i="21" s="1"/>
  <c r="H38" i="21" s="1"/>
  <c r="H40" i="21" s="1"/>
  <c r="H32" i="21"/>
  <c r="H43" i="21" l="1"/>
  <c r="H41" i="21"/>
  <c r="H44" i="21" l="1"/>
  <c r="H45" i="21"/>
  <c r="H46" i="21" s="1"/>
  <c r="H47" i="21" s="1"/>
  <c r="H48" i="21" s="1"/>
  <c r="H66" i="21" s="1"/>
  <c r="H67" i="21" s="1"/>
  <c r="H68" i="21" s="1"/>
  <c r="H69" i="21" s="1"/>
  <c r="H70" i="21" s="1"/>
  <c r="H71" i="21" s="1"/>
  <c r="H73" i="21" s="1"/>
  <c r="H74" i="21" s="1"/>
  <c r="H75" i="21" s="1"/>
  <c r="H76" i="21" s="1"/>
  <c r="H77" i="21" s="1"/>
  <c r="H78" i="21" s="1"/>
  <c r="H80" i="21" s="1"/>
</calcChain>
</file>

<file path=xl/sharedStrings.xml><?xml version="1.0" encoding="utf-8"?>
<sst xmlns="http://schemas.openxmlformats.org/spreadsheetml/2006/main" count="1534" uniqueCount="242">
  <si>
    <t>Tilbake til innholdsfortegnelsen</t>
  </si>
  <si>
    <t>Endring i prosent</t>
  </si>
  <si>
    <t>Landbasert i alt</t>
  </si>
  <si>
    <t>Året i alt</t>
  </si>
  <si>
    <t>Motorvogn, Privat</t>
  </si>
  <si>
    <t>Motorvogn, Næring</t>
  </si>
  <si>
    <t>Brann-kombinert, Privat</t>
  </si>
  <si>
    <t>Yrkesskade</t>
  </si>
  <si>
    <t>Trygghet</t>
  </si>
  <si>
    <t>Ulykke</t>
  </si>
  <si>
    <t>Reise</t>
  </si>
  <si>
    <t>Fritidsbåt</t>
  </si>
  <si>
    <t>Ansvar</t>
  </si>
  <si>
    <t>Fiskeoppdrett</t>
  </si>
  <si>
    <t>Andre</t>
  </si>
  <si>
    <t>Tabell 0.2 Landbasert forsikring i alt, anslått erstatning etter bransje</t>
  </si>
  <si>
    <t>Beløp i mill. kr.</t>
  </si>
  <si>
    <t>Privat i alt</t>
  </si>
  <si>
    <t>Brann</t>
  </si>
  <si>
    <t>Vannledning</t>
  </si>
  <si>
    <t>Innbrudd/Tyveri/Ran</t>
  </si>
  <si>
    <t>Glass (inkl. san. pors.)</t>
  </si>
  <si>
    <t>Matvarer i fryser</t>
  </si>
  <si>
    <t>Rettshjelp</t>
  </si>
  <si>
    <t>Annet</t>
  </si>
  <si>
    <t>Tabell 2.2 Brann-kombinert Privat, anslått erstatning etter skadetype</t>
  </si>
  <si>
    <t>Motorvogn i alt</t>
  </si>
  <si>
    <t>To-hjul</t>
  </si>
  <si>
    <t>Personbil og varebil &lt; 3,5 t.</t>
  </si>
  <si>
    <t>Lastebil, buss og varebil &gt; 3,5 t.</t>
  </si>
  <si>
    <t>Traktor, arbeidsmaskiner</t>
  </si>
  <si>
    <t>Andre motorvogner</t>
  </si>
  <si>
    <t>Tabell 1.2 Motorvogn, anslått erstatning etter kjøretøy</t>
  </si>
  <si>
    <t>Tabell 1.4 Motorvogn, anslått erstatning etter skadetype</t>
  </si>
  <si>
    <t>Ansvar person</t>
  </si>
  <si>
    <t>Førerulykke</t>
  </si>
  <si>
    <t>Ansvar ting</t>
  </si>
  <si>
    <t>Tyveri av bil</t>
  </si>
  <si>
    <t>Tyveri fra bil</t>
  </si>
  <si>
    <t>Glass</t>
  </si>
  <si>
    <t>Redning</t>
  </si>
  <si>
    <t>Vognskade (kasko)</t>
  </si>
  <si>
    <t>Hjemforsikring i alt</t>
  </si>
  <si>
    <r>
      <t xml:space="preserve">Tabell 2.2a Brann-kombinert Privat herav </t>
    </r>
    <r>
      <rPr>
        <b/>
        <i/>
        <sz val="12"/>
        <rFont val="Times New Roman"/>
        <family val="1"/>
      </rPr>
      <t>Hjem</t>
    </r>
    <r>
      <rPr>
        <b/>
        <sz val="12"/>
        <rFont val="Times New Roman"/>
        <family val="1"/>
      </rPr>
      <t>, anslått erstatning</t>
    </r>
  </si>
  <si>
    <t>Villaforsikring i alt</t>
  </si>
  <si>
    <t>Hytteforsikring i alt</t>
  </si>
  <si>
    <t>Sykdom</t>
  </si>
  <si>
    <t>Reiseulykke</t>
  </si>
  <si>
    <t>Reisesyke</t>
  </si>
  <si>
    <t>Avbestilling</t>
  </si>
  <si>
    <t>Andre skader</t>
  </si>
  <si>
    <t>Fritidsbåt i alt</t>
  </si>
  <si>
    <t>Havari</t>
  </si>
  <si>
    <t>Produktansvar person</t>
  </si>
  <si>
    <t>Produktansvar ting</t>
  </si>
  <si>
    <t>Bedriftsansvar ting</t>
  </si>
  <si>
    <t>Garanti</t>
  </si>
  <si>
    <t>Trygghetsforsikring i alt</t>
  </si>
  <si>
    <t>Yrkesskadeforsikring i alt</t>
  </si>
  <si>
    <t>Tabell 3.2 Yrkesskadeforsikring, anslått erstatning etter skadetype</t>
  </si>
  <si>
    <t>Ulykkesforsikring i alt</t>
  </si>
  <si>
    <t>Reiseforsikring i alt</t>
  </si>
  <si>
    <t>Tyveri/tap av reisegods</t>
  </si>
  <si>
    <t>Tyveri</t>
  </si>
  <si>
    <t>Ansvarsforsikring i alt</t>
  </si>
  <si>
    <t>Tabell 4.6 Ansvarsforsikring, anslått erstatning etter skadetype</t>
  </si>
  <si>
    <t>Bedriftsansvar person</t>
  </si>
  <si>
    <t>Formuesskade</t>
  </si>
  <si>
    <t>Annen person</t>
  </si>
  <si>
    <t>Annen ting</t>
  </si>
  <si>
    <t>Tabell 4.4 Fritidsbåtforsikring, anslått erstatning etter skadetype</t>
  </si>
  <si>
    <t>Tabell 4.2 Reiseforsikring, anslått erstatning etter skadetype</t>
  </si>
  <si>
    <t>Tabell 3.6 Ulykkesforsikring, anslått erstatning etter skadetype</t>
  </si>
  <si>
    <t>Tabell 3.4 Trygghetsforsikring, anslått erstatning etter skadetype</t>
  </si>
  <si>
    <t>ANTALL</t>
  </si>
  <si>
    <t>KVARTAL</t>
  </si>
  <si>
    <t>ÅR</t>
  </si>
  <si>
    <t>Personbil</t>
  </si>
  <si>
    <t>Faktiske tall</t>
  </si>
  <si>
    <t>Motorv.</t>
  </si>
  <si>
    <t>Pers.bil</t>
  </si>
  <si>
    <t>FORDELING</t>
  </si>
  <si>
    <t>Person</t>
  </si>
  <si>
    <t>Materiell</t>
  </si>
  <si>
    <t>Privat</t>
  </si>
  <si>
    <t>Sum</t>
  </si>
  <si>
    <t>Vann</t>
  </si>
  <si>
    <t>SUM</t>
  </si>
  <si>
    <t>INNHOLDSFORTEGNELSE</t>
  </si>
  <si>
    <t>1. HOVEDTREKK …………………………………………………………………………………………………..</t>
  </si>
  <si>
    <t>2. FIGURDEL</t>
  </si>
  <si>
    <t>3. TABELLDEL</t>
  </si>
  <si>
    <t>4. PRINSIPPER, BEGREPER OG DEFINISJONER …………………………………………………</t>
  </si>
  <si>
    <t>Tabell 0.2 Landbasert forsikring i alt, anslått erstatning etter bransje…………………………………………………………………………</t>
  </si>
  <si>
    <t>Tabell 1.2 Motorvogn, anslått erstatning etter kjøretøy………………………………………………</t>
  </si>
  <si>
    <t>Tabell 1.4 Motorvogn, anslått erstatning etter skadetype……………………………………………</t>
  </si>
  <si>
    <t>Tabell 2.2 Brann-kombinert Privat, anslått erstatning etter skadetype  …………………………………….</t>
  </si>
  <si>
    <t>Tabell 2.2a Brann-kombinert Privat herav Hjem, anslått erstatning……………………………………………</t>
  </si>
  <si>
    <r>
      <t xml:space="preserve">Tabell 2.2c Brann-kombinert Privat herav </t>
    </r>
    <r>
      <rPr>
        <b/>
        <i/>
        <sz val="12"/>
        <rFont val="Times New Roman"/>
        <family val="1"/>
      </rPr>
      <t>Hytte,</t>
    </r>
    <r>
      <rPr>
        <b/>
        <sz val="12"/>
        <rFont val="Times New Roman"/>
        <family val="1"/>
      </rPr>
      <t xml:space="preserve"> anslått erstatning</t>
    </r>
  </si>
  <si>
    <r>
      <t xml:space="preserve">Tabell 2.2b Brann-kombinert Privat herav </t>
    </r>
    <r>
      <rPr>
        <b/>
        <i/>
        <sz val="12"/>
        <rFont val="Times New Roman"/>
        <family val="1"/>
      </rPr>
      <t>Villa,</t>
    </r>
    <r>
      <rPr>
        <b/>
        <sz val="12"/>
        <rFont val="Times New Roman"/>
        <family val="1"/>
      </rPr>
      <t xml:space="preserve"> anslått erstatning</t>
    </r>
  </si>
  <si>
    <t>Tabell 2.2b Brann-kombinert Privat herav Villa, anslått erstatning……………………………………………</t>
  </si>
  <si>
    <t>Tabell 2.2c Brann-kombinert Privat herav Hytte anslått erstatning…………………………………………………………………</t>
  </si>
  <si>
    <t>Tabell 3.4 Trygghetsforsikring, anslått erstatning etter skadetype…………………………………………</t>
  </si>
  <si>
    <t>Tabell 3.6 Ulykkesforsikring, anslått erstatning etter skadetype………………………………………</t>
  </si>
  <si>
    <t>Tabell 3.2 Yrkesskadeforsikring, anslått erstatning etter skadetype …………………………………….</t>
  </si>
  <si>
    <t>Tabell 4.4 Fritidsbåtforsikring, anslått erstatning etter skadetype……………………………………………………………</t>
  </si>
  <si>
    <t>Tabell 4.6 Ansvarsforsikring, anslått erstatning etter skadetype   …………………………………………………………………….</t>
  </si>
  <si>
    <t>Tabell 4.2 Reiseforsikring, anslått erstatning etter skadetype……………………………………………………………</t>
  </si>
  <si>
    <t>Antall</t>
  </si>
  <si>
    <t>4. PRINSIPPER, BEGREPER OG DEFINISJONER</t>
  </si>
  <si>
    <t>Hentes fra tab5:</t>
  </si>
  <si>
    <t>Hjem</t>
  </si>
  <si>
    <t>Villa</t>
  </si>
  <si>
    <t>Hytte</t>
  </si>
  <si>
    <t>Tab1</t>
  </si>
  <si>
    <t>Tab2</t>
  </si>
  <si>
    <t>Tab3</t>
  </si>
  <si>
    <t>Tab4</t>
  </si>
  <si>
    <t>Tab5</t>
  </si>
  <si>
    <t>Tab6</t>
  </si>
  <si>
    <t>Tab7</t>
  </si>
  <si>
    <t>Tab8</t>
  </si>
  <si>
    <t>Tab9</t>
  </si>
  <si>
    <t>Tab10</t>
  </si>
  <si>
    <t>Tab11</t>
  </si>
  <si>
    <t>Tab13</t>
  </si>
  <si>
    <t>Tab14</t>
  </si>
  <si>
    <t>Tab15</t>
  </si>
  <si>
    <t>Tab16</t>
  </si>
  <si>
    <t>Tab17</t>
  </si>
  <si>
    <t>Tab18</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</si>
  <si>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</si>
  <si>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</si>
  <si>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</si>
  <si>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</si>
  <si>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  …………………………………………</t>
  </si>
  <si>
    <t>Tabell 2.1b Brann-kombinert Privat herav Villa, antall meldte skader  …………………………………………</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</si>
  <si>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</si>
  <si>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</si>
  <si>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</si>
  <si>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</si>
  <si>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</si>
  <si>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</si>
  <si>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</si>
  <si>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</si>
  <si>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</si>
  <si>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</si>
  <si>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</si>
  <si>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t>
  </si>
  <si>
    <t>Tabell 2.1b Brann-kombinert Privat herav Villa, antall meldte skader</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</si>
  <si>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</si>
  <si>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</si>
  <si>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</si>
  <si>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</si>
  <si>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</si>
  <si>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</si>
  <si>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t>
  </si>
  <si>
    <t>Erstatning</t>
  </si>
  <si>
    <t>Just. erst.</t>
  </si>
  <si>
    <t>KPI</t>
  </si>
  <si>
    <t>Fra tab:</t>
  </si>
  <si>
    <t>Vannskader</t>
  </si>
  <si>
    <t>Fig. 3. Ansl. erstat. etter bransje</t>
  </si>
  <si>
    <t>Tabell 2.3 Brann-kombinert Næring, antall meldte skader etter skadetype</t>
  </si>
  <si>
    <t>Tabell 2.4 Brann-kombinert Næring, anslått erstatning etter skadetype</t>
  </si>
  <si>
    <t>Næring i alt</t>
  </si>
  <si>
    <t>Tabell 2.3 Brann-kombinert Næring, antall meldte skader etter skadetype …………………………………………………………</t>
  </si>
  <si>
    <t>Tabell 2.4 Brann-kombinert Næring, anslått erstatning etter skadetype……………………………………………………………</t>
  </si>
  <si>
    <t>Brann-kombinert, Næring</t>
  </si>
  <si>
    <t>Næring</t>
  </si>
  <si>
    <t>I alt</t>
  </si>
  <si>
    <t>Brann                                                       (inkl avbrudd)</t>
  </si>
  <si>
    <t>Tab12</t>
  </si>
  <si>
    <t>oppslag</t>
  </si>
  <si>
    <t>beregning</t>
  </si>
  <si>
    <t>Brannskader</t>
  </si>
  <si>
    <t>Innbrudd/tyveri/ran</t>
  </si>
  <si>
    <t>Figur 4</t>
  </si>
  <si>
    <t>Figur 10</t>
  </si>
  <si>
    <t>Figur 9</t>
  </si>
  <si>
    <t>Fig. 1. Antall anmeldte skader etter bransje</t>
  </si>
  <si>
    <t>Fig. 2. Antall anmeldte skader etter bransje</t>
  </si>
  <si>
    <t>Figur 5. Antall meldte skader i motorvogn kvartalsvis (i 1000)</t>
  </si>
  <si>
    <t>Fig. 5</t>
  </si>
  <si>
    <t>Fig. 6.  Ansl. erstat. etter skadetype, motorvogn</t>
  </si>
  <si>
    <t>Fig. 7. Antall skader i de Brann-kombinerte bransjer etter skadetype</t>
  </si>
  <si>
    <t>Fig. 8. Anslått erstatning i de Brann-kombinerte bransjer etter skadetype</t>
  </si>
  <si>
    <t>Hittil</t>
  </si>
  <si>
    <t>Hele året</t>
  </si>
  <si>
    <t>Kaskoskader</t>
  </si>
  <si>
    <t>Barn</t>
  </si>
  <si>
    <t>Kritisk sykdom</t>
  </si>
  <si>
    <t>Behandling</t>
  </si>
  <si>
    <t>Barneforsikring i alt</t>
  </si>
  <si>
    <t>Medisinsk invaliditet</t>
  </si>
  <si>
    <t>Hjelpestønad</t>
  </si>
  <si>
    <t>Behandlingsutgifter</t>
  </si>
  <si>
    <t>Dagpenger</t>
  </si>
  <si>
    <t>Dødsfall</t>
  </si>
  <si>
    <t>Ombygging av bolig</t>
  </si>
  <si>
    <t>Utvalgte sykdommer</t>
  </si>
  <si>
    <t>Kritisk sykdom i alt</t>
  </si>
  <si>
    <t>Kreft</t>
  </si>
  <si>
    <t>Hjerte- og karsykdommer</t>
  </si>
  <si>
    <t>Hjerneslag</t>
  </si>
  <si>
    <t>Nyresvikt</t>
  </si>
  <si>
    <t>Multippel sklerose (MS)</t>
  </si>
  <si>
    <t>Annen sykdom</t>
  </si>
  <si>
    <t>Behandling i alt</t>
  </si>
  <si>
    <t>Legespesialist/diagnostikk</t>
  </si>
  <si>
    <t>Psykolog/psykiater</t>
  </si>
  <si>
    <t>Annen behandling</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</si>
  <si>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</si>
  <si>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</si>
  <si>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</si>
  <si>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</si>
  <si>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</si>
  <si>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</si>
  <si>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</si>
  <si>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</si>
  <si>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</si>
  <si>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</si>
  <si>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</si>
  <si>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</si>
  <si>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Tab19</t>
  </si>
  <si>
    <t>Tab20</t>
  </si>
  <si>
    <t>Tab21</t>
  </si>
  <si>
    <t>Operasjon</t>
  </si>
  <si>
    <t>Uførhet</t>
  </si>
  <si>
    <t>midt-måneden</t>
  </si>
  <si>
    <t>(2017)</t>
  </si>
  <si>
    <t>2016</t>
  </si>
  <si>
    <t>2017</t>
  </si>
  <si>
    <t>2018</t>
  </si>
  <si>
    <t>16-18</t>
  </si>
  <si>
    <t>17-18</t>
  </si>
  <si>
    <t>*</t>
  </si>
  <si>
    <t>Hittil i år</t>
  </si>
  <si>
    <t>Finans Norge / Skadestatistikk</t>
  </si>
  <si>
    <t>Skadestatistikk for landbasert forsikring 1. kvartal 2017</t>
  </si>
  <si>
    <t/>
  </si>
  <si>
    <t>Fysioterapeut/kiropraktor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</si>
</sst>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_(* #,##0.00_);_(* \(#,##0.00\);_(* &quot;-&quot;??_);_(@_)"/>
    <numFmt numFmtId="166" formatCode="0.0_)"/>
    <numFmt numFmtId="167" formatCode="#,##0.0"/>
    <numFmt numFmtId="168" formatCode="_ * #,##0_ ;_ * \-#,##0_ ;_ * &quot;-&quot;??_ ;_ @_ "/>
    <numFmt numFmtId="169" formatCode="0.0"/>
    <numFmt numFmtId="170" formatCode="0.000"/>
    <numFmt numFmtId="171" formatCode="#,##0.000"/>
  </numFmts>
  <fonts count="41" x14ac:knownFonts="1">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Times New Roman"/>
      <family val="1"/>
    </font>
    <font>
      <u/>
      <sz val="12"/>
      <color indexed="12"/>
      <name val="System"/>
      <family val="2"/>
    </font>
    <font>
      <b/>
      <sz val="12"/>
      <name val="Times New Roman"/>
      <family val="1"/>
    </font>
    <font>
      <sz val="9"/>
      <name val="Times New Roman"/>
      <family val="1"/>
    </font>
    <font>
      <b/>
      <sz val="9"/>
      <name val="Times New Roman"/>
      <family val="1"/>
    </font>
    <font>
      <sz val="12"/>
      <name val="Arial"/>
      <family val="2"/>
    </font>
    <font>
      <i/>
      <sz val="9"/>
      <name val="Times New Roman"/>
      <family val="1"/>
    </font>
    <font>
      <b/>
      <sz val="10"/>
      <name val="Times New Roman"/>
      <family val="1"/>
    </font>
    <font>
      <i/>
      <sz val="10"/>
      <name val="Times New Roman"/>
      <family val="1"/>
    </font>
    <font>
      <b/>
      <sz val="16"/>
      <name val="Times New Roman"/>
      <family val="1"/>
    </font>
    <font>
      <sz val="8"/>
      <name val="Times New Roman"/>
      <family val="1"/>
    </font>
    <font>
      <b/>
      <i/>
      <sz val="12"/>
      <name val="Times New Roman"/>
      <family val="1"/>
    </font>
    <font>
      <b/>
      <sz val="10"/>
      <name val="Arial"/>
      <family val="2"/>
    </font>
    <font>
      <sz val="10"/>
      <color indexed="8"/>
      <name val="Arial"/>
      <family val="2"/>
    </font>
    <font>
      <sz val="10"/>
      <color indexed="18"/>
      <name val="Arial"/>
      <family val="2"/>
    </font>
    <font>
      <sz val="14"/>
      <name val="Times New Roman"/>
      <family val="1"/>
    </font>
    <font>
      <sz val="12"/>
      <name val="Times New Roman"/>
      <family val="1"/>
    </font>
    <font>
      <sz val="10"/>
      <name val="Arial"/>
      <family val="2"/>
    </font>
    <font>
      <sz val="10"/>
      <color indexed="9"/>
      <name val="Times New Roman"/>
      <family val="1"/>
    </font>
    <font>
      <i/>
      <sz val="12"/>
      <name val="Times New Roman"/>
      <family val="1"/>
    </font>
    <font>
      <u/>
      <sz val="12"/>
      <color indexed="12"/>
      <name val="Arial"/>
      <family val="2"/>
    </font>
    <font>
      <sz val="10"/>
      <color indexed="23"/>
      <name val="Arial"/>
      <family val="2"/>
    </font>
    <font>
      <sz val="18"/>
      <color indexed="23"/>
      <name val="Times New Roman"/>
      <family val="1"/>
    </font>
    <font>
      <sz val="14"/>
      <color indexed="23"/>
      <name val="Times New Roman"/>
      <family val="1"/>
    </font>
    <font>
      <b/>
      <sz val="28"/>
      <color rgb="FF3B6E8F"/>
      <name val="Cambria"/>
      <family val="1"/>
      <scheme val="major"/>
    </font>
    <font>
      <sz val="20"/>
      <color theme="1"/>
      <name val="Calibri"/>
      <family val="2"/>
      <scheme val="minor"/>
    </font>
    <font>
      <sz val="14"/>
      <color theme="1"/>
      <name val="Calibri"/>
      <family val="2"/>
      <scheme val="minor"/>
    </font>
    <font>
      <b/>
      <sz val="26"/>
      <color rgb="FF3B6E8F"/>
      <name val="Cambria"/>
      <family val="1"/>
      <scheme val="major"/>
    </font>
    <font>
      <b/>
      <sz val="28"/>
      <color rgb="FF54758C"/>
      <name val="Arial"/>
      <family val="2"/>
    </font>
    <font>
      <sz val="26"/>
      <color rgb="FF54758C"/>
      <name val="Arial"/>
      <family val="2"/>
    </font>
    <font>
      <sz val="14"/>
      <name val="Arial"/>
      <family val="2"/>
    </font>
    <font>
      <sz val="14"/>
      <color indexed="22"/>
      <name val="Times New Roman"/>
      <family val="1"/>
    </font>
    <font>
      <sz val="10"/>
      <color theme="0"/>
      <name val="Times New Roman"/>
      <family val="1"/>
    </font>
    <font>
      <b/>
      <sz val="10"/>
      <color theme="0"/>
      <name val="Times New Roman"/>
      <family val="1"/>
    </font>
    <font>
      <b/>
      <sz val="10"/>
      <color theme="0"/>
      <name val="Arial"/>
      <family val="2"/>
    </font>
    <font>
      <sz val="10"/>
      <color theme="0"/>
      <name val="Arial"/>
      <family val="2"/>
    </font>
  </fonts>
  <fills count="3">
    <fill>
      <patternFill patternType="none"/>
    </fill>
    <fill>
      <patternFill patternType="gray125"/>
    </fill>
    <fill>
      <patternFill patternType="solid">
        <fgColor indexed="9"/>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right style="thin">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style="thin">
        <color indexed="64"/>
      </left>
      <right/>
      <top/>
      <bottom style="hair">
        <color indexed="64"/>
      </bottom>
      <diagonal/>
    </border>
    <border>
      <left/>
      <right/>
      <top style="hair">
        <color indexed="64"/>
      </top>
      <bottom/>
      <diagonal/>
    </border>
    <border>
      <left style="medium">
        <color indexed="64"/>
      </left>
      <right/>
      <top style="hair">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s>
  <cellStyleXfs count="15">
    <xf numFmtId="0" fontId="0" fillId="0" borderId="0"/>
    <xf numFmtId="165" fontId="3" fillId="0" borderId="0" applyFon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 fillId="0" borderId="0"/>
    <xf numFmtId="165" fontId="3" fillId="0" borderId="0" applyFont="0" applyFill="0" applyBorder="0" applyAlignment="0" applyProtection="0"/>
    <xf numFmtId="0" fontId="4" fillId="0" borderId="0" applyNumberFormat="0" applyFill="0" applyBorder="0" applyAlignment="0" applyProtection="0">
      <alignment vertical="top"/>
      <protection locked="0"/>
    </xf>
    <xf numFmtId="0" fontId="2" fillId="0" borderId="0"/>
    <xf numFmtId="0" fontId="3" fillId="0" borderId="0"/>
    <xf numFmtId="0" fontId="3" fillId="0" borderId="0"/>
    <xf numFmtId="0" fontId="1" fillId="0" borderId="0"/>
    <xf numFmtId="0" fontId="1" fillId="0" borderId="0"/>
    <xf numFmtId="0" fontId="1" fillId="0" borderId="0"/>
    <xf numFmtId="0" fontId="1" fillId="0" borderId="0"/>
    <xf numFmtId="164" fontId="3" fillId="0" borderId="0" applyFont="0" applyFill="0" applyBorder="0" applyAlignment="0" applyProtection="0"/>
  </cellStyleXfs>
  <cellXfs count="213">
    <xf numFmtId="0" fontId="0" fillId="0" borderId="0" xfId="0"/>
    <xf numFmtId="0" fontId="5" fillId="0" borderId="0" xfId="0" applyFont="1"/>
    <xf numFmtId="0" fontId="5" fillId="0" borderId="0" xfId="0" applyFont="1" applyAlignment="1" applyProtection="1">
      <alignment horizontal="left"/>
    </xf>
    <xf numFmtId="0" fontId="6" fillId="0" borderId="0" xfId="2" applyFont="1" applyAlignment="1" applyProtection="1">
      <alignment horizontal="left"/>
    </xf>
    <xf numFmtId="0" fontId="7" fillId="2" borderId="0" xfId="0" applyFont="1" applyFill="1" applyBorder="1"/>
    <xf numFmtId="166" fontId="8" fillId="0" borderId="0" xfId="0" applyNumberFormat="1" applyFont="1" applyProtection="1"/>
    <xf numFmtId="0" fontId="8" fillId="0" borderId="0" xfId="0" applyFont="1"/>
    <xf numFmtId="0" fontId="9" fillId="2" borderId="1" xfId="0" applyFont="1" applyFill="1" applyBorder="1"/>
    <xf numFmtId="0" fontId="9" fillId="2" borderId="2" xfId="0" applyFont="1" applyFill="1" applyBorder="1" applyAlignment="1">
      <alignment horizontal="center"/>
    </xf>
    <xf numFmtId="0" fontId="9" fillId="2" borderId="3" xfId="0" applyFont="1" applyFill="1" applyBorder="1"/>
    <xf numFmtId="0" fontId="8" fillId="2" borderId="2" xfId="0" applyFont="1" applyFill="1" applyBorder="1"/>
    <xf numFmtId="0" fontId="8" fillId="2" borderId="4" xfId="0" applyFont="1" applyFill="1" applyBorder="1"/>
    <xf numFmtId="0" fontId="9" fillId="2" borderId="5" xfId="0" applyFont="1" applyFill="1" applyBorder="1" applyAlignment="1">
      <alignment horizontal="left"/>
    </xf>
    <xf numFmtId="14" fontId="9" fillId="2" borderId="6" xfId="0" applyNumberFormat="1" applyFont="1" applyFill="1" applyBorder="1" applyAlignment="1">
      <alignment horizontal="right"/>
    </xf>
    <xf numFmtId="1" fontId="9" fillId="2" borderId="7" xfId="0" applyNumberFormat="1" applyFont="1" applyFill="1" applyBorder="1" applyAlignment="1">
      <alignment horizontal="right"/>
    </xf>
    <xf numFmtId="1" fontId="9" fillId="2" borderId="6" xfId="0" applyNumberFormat="1" applyFont="1" applyFill="1" applyBorder="1" applyAlignment="1">
      <alignment horizontal="right"/>
    </xf>
    <xf numFmtId="1" fontId="9" fillId="2" borderId="8" xfId="0" applyNumberFormat="1" applyFont="1" applyFill="1" applyBorder="1" applyAlignment="1">
      <alignment horizontal="right"/>
    </xf>
    <xf numFmtId="14" fontId="9" fillId="2" borderId="7" xfId="0" applyNumberFormat="1" applyFont="1" applyFill="1" applyBorder="1" applyAlignment="1">
      <alignment horizontal="right"/>
    </xf>
    <xf numFmtId="14" fontId="9" fillId="2" borderId="9" xfId="0" applyNumberFormat="1" applyFont="1" applyFill="1" applyBorder="1" applyAlignment="1">
      <alignment horizontal="right"/>
    </xf>
    <xf numFmtId="0" fontId="8" fillId="0" borderId="10" xfId="0" applyFont="1" applyBorder="1"/>
    <xf numFmtId="3" fontId="8" fillId="0" borderId="0" xfId="1" applyNumberFormat="1" applyFont="1" applyProtection="1"/>
    <xf numFmtId="3" fontId="8" fillId="0" borderId="0" xfId="1" applyNumberFormat="1" applyFont="1" applyBorder="1" applyProtection="1"/>
    <xf numFmtId="168" fontId="8" fillId="0" borderId="11" xfId="1" applyNumberFormat="1" applyFont="1" applyBorder="1" applyAlignment="1" applyProtection="1">
      <alignment horizontal="right"/>
    </xf>
    <xf numFmtId="166" fontId="8" fillId="0" borderId="0" xfId="0" applyNumberFormat="1" applyFont="1" applyAlignment="1" applyProtection="1">
      <alignment horizontal="right"/>
    </xf>
    <xf numFmtId="166" fontId="8" fillId="0" borderId="12" xfId="0" applyNumberFormat="1" applyFont="1" applyBorder="1" applyAlignment="1">
      <alignment horizontal="right"/>
    </xf>
    <xf numFmtId="0" fontId="11" fillId="0" borderId="13" xfId="0" applyFont="1" applyBorder="1"/>
    <xf numFmtId="3" fontId="8" fillId="0" borderId="14" xfId="1" applyNumberFormat="1" applyFont="1" applyBorder="1" applyProtection="1"/>
    <xf numFmtId="168" fontId="8" fillId="0" borderId="13" xfId="1" applyNumberFormat="1" applyFont="1" applyBorder="1" applyProtection="1"/>
    <xf numFmtId="166" fontId="8" fillId="0" borderId="14" xfId="0" applyNumberFormat="1" applyFont="1" applyBorder="1" applyAlignment="1" applyProtection="1">
      <alignment horizontal="right"/>
    </xf>
    <xf numFmtId="166" fontId="8" fillId="0" borderId="15" xfId="0" applyNumberFormat="1" applyFont="1" applyBorder="1" applyAlignment="1">
      <alignment horizontal="right"/>
    </xf>
    <xf numFmtId="0" fontId="8" fillId="0" borderId="16" xfId="0" applyFont="1" applyBorder="1"/>
    <xf numFmtId="0" fontId="8" fillId="0" borderId="11" xfId="0" applyFont="1" applyBorder="1"/>
    <xf numFmtId="166" fontId="8" fillId="0" borderId="17" xfId="0" applyNumberFormat="1" applyFont="1" applyBorder="1" applyAlignment="1" applyProtection="1">
      <alignment horizontal="right"/>
    </xf>
    <xf numFmtId="166" fontId="8" fillId="0" borderId="18" xfId="0" applyNumberFormat="1" applyFont="1" applyBorder="1" applyAlignment="1">
      <alignment horizontal="right"/>
    </xf>
    <xf numFmtId="0" fontId="8" fillId="0" borderId="19" xfId="0" applyFont="1" applyBorder="1"/>
    <xf numFmtId="166" fontId="8" fillId="0" borderId="20" xfId="0" applyNumberFormat="1" applyFont="1" applyBorder="1" applyAlignment="1" applyProtection="1">
      <alignment horizontal="right"/>
    </xf>
    <xf numFmtId="3" fontId="8" fillId="0" borderId="21" xfId="1" applyNumberFormat="1" applyFont="1" applyBorder="1" applyProtection="1"/>
    <xf numFmtId="166" fontId="8" fillId="0" borderId="21" xfId="0" applyNumberFormat="1" applyFont="1" applyBorder="1" applyAlignment="1" applyProtection="1">
      <alignment horizontal="right"/>
    </xf>
    <xf numFmtId="166" fontId="8" fillId="0" borderId="0" xfId="0" applyNumberFormat="1" applyFont="1" applyBorder="1" applyAlignment="1" applyProtection="1">
      <alignment horizontal="right"/>
    </xf>
    <xf numFmtId="0" fontId="8" fillId="0" borderId="22" xfId="0" applyFont="1" applyBorder="1"/>
    <xf numFmtId="3" fontId="8" fillId="0" borderId="0" xfId="1" applyNumberFormat="1" applyFont="1"/>
    <xf numFmtId="0" fontId="9" fillId="0" borderId="23" xfId="0" applyFont="1" applyBorder="1"/>
    <xf numFmtId="0" fontId="11" fillId="0" borderId="24" xfId="0" applyFont="1" applyBorder="1"/>
    <xf numFmtId="3" fontId="8" fillId="0" borderId="25" xfId="1" applyNumberFormat="1" applyFont="1" applyBorder="1" applyProtection="1"/>
    <xf numFmtId="168" fontId="8" fillId="0" borderId="24" xfId="1" applyNumberFormat="1" applyFont="1" applyBorder="1" applyProtection="1"/>
    <xf numFmtId="166" fontId="8" fillId="0" borderId="26" xfId="0" applyNumberFormat="1" applyFont="1" applyBorder="1" applyAlignment="1" applyProtection="1">
      <alignment horizontal="right"/>
    </xf>
    <xf numFmtId="166" fontId="8" fillId="0" borderId="27" xfId="0" applyNumberFormat="1" applyFont="1" applyBorder="1" applyAlignment="1">
      <alignment horizontal="right"/>
    </xf>
    <xf numFmtId="0" fontId="12" fillId="0" borderId="0" xfId="0" applyFont="1" applyBorder="1"/>
    <xf numFmtId="0" fontId="13" fillId="0" borderId="0" xfId="0" applyFont="1" applyBorder="1"/>
    <xf numFmtId="168" fontId="5" fillId="0" borderId="0" xfId="1" applyNumberFormat="1" applyFont="1" applyBorder="1" applyProtection="1"/>
    <xf numFmtId="166" fontId="5" fillId="0" borderId="0" xfId="0" applyNumberFormat="1" applyFont="1" applyBorder="1" applyAlignment="1" applyProtection="1">
      <alignment horizontal="right"/>
    </xf>
    <xf numFmtId="166" fontId="5" fillId="0" borderId="0" xfId="0" applyNumberFormat="1" applyFont="1" applyBorder="1" applyAlignment="1">
      <alignment horizontal="right"/>
    </xf>
    <xf numFmtId="0" fontId="5" fillId="0" borderId="6" xfId="0" applyFont="1" applyBorder="1"/>
    <xf numFmtId="0" fontId="15" fillId="0" borderId="0" xfId="0" applyFont="1" applyAlignment="1">
      <alignment horizontal="right"/>
    </xf>
    <xf numFmtId="0" fontId="15" fillId="0" borderId="0" xfId="0" applyFont="1" applyAlignment="1">
      <alignment horizontal="left"/>
    </xf>
    <xf numFmtId="168" fontId="5" fillId="0" borderId="0" xfId="1" applyNumberFormat="1" applyFont="1" applyBorder="1" applyAlignment="1" applyProtection="1">
      <alignment horizontal="center"/>
    </xf>
    <xf numFmtId="0" fontId="8" fillId="0" borderId="23" xfId="0" applyFont="1" applyBorder="1"/>
    <xf numFmtId="166" fontId="8" fillId="0" borderId="25" xfId="0" applyNumberFormat="1" applyFont="1" applyBorder="1" applyAlignment="1" applyProtection="1">
      <alignment horizontal="right"/>
    </xf>
    <xf numFmtId="0" fontId="8" fillId="0" borderId="0" xfId="0" applyFont="1" applyBorder="1"/>
    <xf numFmtId="168" fontId="8" fillId="0" borderId="0" xfId="1" applyNumberFormat="1" applyFont="1" applyBorder="1" applyAlignment="1" applyProtection="1">
      <alignment horizontal="right"/>
    </xf>
    <xf numFmtId="166" fontId="8" fillId="0" borderId="0" xfId="0" applyNumberFormat="1" applyFont="1" applyBorder="1" applyAlignment="1">
      <alignment horizontal="right"/>
    </xf>
    <xf numFmtId="0" fontId="5" fillId="0" borderId="0" xfId="0" applyFont="1" applyBorder="1"/>
    <xf numFmtId="0" fontId="11" fillId="0" borderId="0" xfId="0" applyFont="1" applyBorder="1"/>
    <xf numFmtId="168" fontId="8" fillId="0" borderId="0" xfId="1" applyNumberFormat="1" applyFont="1" applyBorder="1" applyProtection="1"/>
    <xf numFmtId="3" fontId="8" fillId="0" borderId="0" xfId="1" applyNumberFormat="1" applyFont="1" applyBorder="1"/>
    <xf numFmtId="0" fontId="9" fillId="0" borderId="0" xfId="0" applyFont="1" applyBorder="1"/>
    <xf numFmtId="0" fontId="7" fillId="2" borderId="0" xfId="0" applyFont="1" applyFill="1" applyBorder="1" applyAlignment="1"/>
    <xf numFmtId="0" fontId="5" fillId="0" borderId="0" xfId="0" applyFont="1" applyAlignment="1"/>
    <xf numFmtId="0" fontId="17" fillId="0" borderId="0" xfId="0" applyFont="1"/>
    <xf numFmtId="0" fontId="18" fillId="0" borderId="0" xfId="0" applyFont="1"/>
    <xf numFmtId="0" fontId="19" fillId="0" borderId="0" xfId="0" applyFont="1"/>
    <xf numFmtId="1" fontId="19" fillId="0" borderId="0" xfId="0" applyNumberFormat="1" applyFont="1"/>
    <xf numFmtId="1" fontId="0" fillId="0" borderId="0" xfId="0" applyNumberFormat="1"/>
    <xf numFmtId="0" fontId="21" fillId="0" borderId="0" xfId="0" applyFont="1"/>
    <xf numFmtId="0" fontId="21" fillId="0" borderId="0" xfId="0" applyFont="1" applyAlignment="1">
      <alignment horizontal="center"/>
    </xf>
    <xf numFmtId="0" fontId="7" fillId="0" borderId="0" xfId="0" applyFont="1" applyAlignment="1">
      <alignment horizontal="left"/>
    </xf>
    <xf numFmtId="0" fontId="21" fillId="0" borderId="0" xfId="0" applyFont="1" applyAlignment="1">
      <alignment horizontal="left"/>
    </xf>
    <xf numFmtId="0" fontId="5" fillId="0" borderId="0" xfId="0" quotePrefix="1" applyFont="1"/>
    <xf numFmtId="0" fontId="0" fillId="0" borderId="0" xfId="0" applyAlignment="1">
      <alignment horizontal="left"/>
    </xf>
    <xf numFmtId="3" fontId="8" fillId="0" borderId="28" xfId="1" applyNumberFormat="1" applyFont="1" applyBorder="1" applyProtection="1"/>
    <xf numFmtId="167" fontId="8" fillId="0" borderId="0" xfId="1" applyNumberFormat="1" applyFont="1" applyProtection="1"/>
    <xf numFmtId="167" fontId="8" fillId="0" borderId="28" xfId="1" applyNumberFormat="1" applyFont="1" applyBorder="1" applyProtection="1"/>
    <xf numFmtId="167" fontId="8" fillId="0" borderId="14" xfId="1" applyNumberFormat="1" applyFont="1" applyBorder="1" applyProtection="1"/>
    <xf numFmtId="167" fontId="8" fillId="0" borderId="0" xfId="1" applyNumberFormat="1" applyFont="1" applyBorder="1" applyProtection="1"/>
    <xf numFmtId="167" fontId="8" fillId="0" borderId="21" xfId="1" applyNumberFormat="1" applyFont="1" applyBorder="1" applyProtection="1"/>
    <xf numFmtId="167" fontId="8" fillId="0" borderId="0" xfId="1" applyNumberFormat="1" applyFont="1"/>
    <xf numFmtId="167" fontId="8" fillId="0" borderId="25" xfId="1" applyNumberFormat="1" applyFont="1" applyBorder="1" applyProtection="1"/>
    <xf numFmtId="0" fontId="23" fillId="0" borderId="0" xfId="0" applyFont="1"/>
    <xf numFmtId="0" fontId="7" fillId="0" borderId="0" xfId="0" applyFont="1"/>
    <xf numFmtId="0" fontId="22" fillId="0" borderId="0" xfId="0" applyFont="1"/>
    <xf numFmtId="0" fontId="25" fillId="0" borderId="0" xfId="2" applyFont="1" applyAlignment="1" applyProtection="1">
      <alignment horizontal="left"/>
    </xf>
    <xf numFmtId="0" fontId="4" fillId="0" borderId="0" xfId="3" applyAlignment="1" applyProtection="1">
      <alignment horizontal="left"/>
    </xf>
    <xf numFmtId="0" fontId="4" fillId="0" borderId="0" xfId="3" applyAlignment="1" applyProtection="1"/>
    <xf numFmtId="0" fontId="24" fillId="0" borderId="0" xfId="0" applyFont="1"/>
    <xf numFmtId="0" fontId="3" fillId="0" borderId="0" xfId="4"/>
    <xf numFmtId="167" fontId="5" fillId="0" borderId="0" xfId="0" applyNumberFormat="1" applyFont="1"/>
    <xf numFmtId="0" fontId="21" fillId="0" borderId="0" xfId="0" quotePrefix="1" applyFont="1"/>
    <xf numFmtId="3" fontId="8" fillId="0" borderId="0" xfId="1" quotePrefix="1" applyNumberFormat="1" applyFont="1" applyBorder="1" applyProtection="1"/>
    <xf numFmtId="168" fontId="5" fillId="0" borderId="0" xfId="1" quotePrefix="1" applyNumberFormat="1" applyFont="1" applyBorder="1" applyProtection="1"/>
    <xf numFmtId="0" fontId="26" fillId="0" borderId="0" xfId="9" applyFont="1"/>
    <xf numFmtId="0" fontId="3" fillId="0" borderId="0" xfId="9"/>
    <xf numFmtId="0" fontId="0" fillId="0" borderId="0" xfId="9" applyFont="1"/>
    <xf numFmtId="0" fontId="27" fillId="0" borderId="0" xfId="9" applyFont="1" applyAlignment="1">
      <alignment horizontal="right"/>
    </xf>
    <xf numFmtId="0" fontId="29" fillId="0" borderId="0" xfId="9" applyFont="1" applyAlignment="1">
      <alignment horizontal="left"/>
    </xf>
    <xf numFmtId="0" fontId="32" fillId="0" borderId="0" xfId="9" applyFont="1" applyAlignment="1">
      <alignment horizontal="left"/>
    </xf>
    <xf numFmtId="0" fontId="20" fillId="0" borderId="0" xfId="4" applyFont="1" applyAlignment="1">
      <alignment horizontal="left"/>
    </xf>
    <xf numFmtId="0" fontId="10" fillId="0" borderId="0" xfId="9" applyFont="1" applyAlignment="1">
      <alignment horizontal="right"/>
    </xf>
    <xf numFmtId="0" fontId="3" fillId="0" borderId="0" xfId="9" applyAlignment="1">
      <alignment horizontal="right"/>
    </xf>
    <xf numFmtId="0" fontId="30" fillId="0" borderId="0" xfId="9" applyFont="1" applyAlignment="1">
      <alignment horizontal="left"/>
    </xf>
    <xf numFmtId="14" fontId="31" fillId="0" borderId="0" xfId="9" applyNumberFormat="1" applyFont="1" applyAlignment="1">
      <alignment horizontal="left"/>
    </xf>
    <xf numFmtId="0" fontId="31" fillId="0" borderId="0" xfId="9" applyFont="1" applyAlignment="1">
      <alignment horizontal="left"/>
    </xf>
    <xf numFmtId="0" fontId="33" fillId="0" borderId="0" xfId="4" applyFont="1" applyAlignment="1">
      <alignment vertical="center"/>
    </xf>
    <xf numFmtId="0" fontId="34" fillId="0" borderId="0" xfId="4" applyFont="1" applyAlignment="1">
      <alignment vertical="center"/>
    </xf>
    <xf numFmtId="0" fontId="35" fillId="0" borderId="0" xfId="4" applyFont="1"/>
    <xf numFmtId="14" fontId="28" fillId="0" borderId="0" xfId="9" applyNumberFormat="1" applyFont="1"/>
    <xf numFmtId="14" fontId="36" fillId="0" borderId="0" xfId="9" applyNumberFormat="1" applyFont="1" applyAlignment="1">
      <alignment horizontal="right"/>
    </xf>
    <xf numFmtId="0" fontId="5" fillId="0" borderId="0" xfId="4" applyFont="1"/>
    <xf numFmtId="0" fontId="5" fillId="0" borderId="0" xfId="4" applyFont="1" applyAlignment="1" applyProtection="1">
      <alignment horizontal="left"/>
    </xf>
    <xf numFmtId="0" fontId="7" fillId="2" borderId="0" xfId="4" applyFont="1" applyFill="1" applyBorder="1"/>
    <xf numFmtId="166" fontId="8" fillId="0" borderId="0" xfId="4" applyNumberFormat="1" applyFont="1" applyProtection="1"/>
    <xf numFmtId="0" fontId="8" fillId="0" borderId="0" xfId="4" applyFont="1"/>
    <xf numFmtId="0" fontId="9" fillId="2" borderId="1" xfId="4" applyFont="1" applyFill="1" applyBorder="1"/>
    <xf numFmtId="0" fontId="9" fillId="2" borderId="2" xfId="4" applyFont="1" applyFill="1" applyBorder="1" applyAlignment="1">
      <alignment horizontal="center"/>
    </xf>
    <xf numFmtId="0" fontId="9" fillId="2" borderId="3" xfId="4" applyFont="1" applyFill="1" applyBorder="1"/>
    <xf numFmtId="0" fontId="8" fillId="2" borderId="2" xfId="4" applyFont="1" applyFill="1" applyBorder="1"/>
    <xf numFmtId="0" fontId="8" fillId="2" borderId="4" xfId="4" applyFont="1" applyFill="1" applyBorder="1"/>
    <xf numFmtId="0" fontId="9" fillId="2" borderId="5" xfId="4" applyFont="1" applyFill="1" applyBorder="1" applyAlignment="1">
      <alignment horizontal="left"/>
    </xf>
    <xf numFmtId="14" fontId="9" fillId="2" borderId="6" xfId="4" applyNumberFormat="1" applyFont="1" applyFill="1" applyBorder="1" applyAlignment="1">
      <alignment horizontal="right"/>
    </xf>
    <xf numFmtId="1" fontId="9" fillId="2" borderId="7" xfId="4" applyNumberFormat="1" applyFont="1" applyFill="1" applyBorder="1" applyAlignment="1">
      <alignment horizontal="right"/>
    </xf>
    <xf numFmtId="1" fontId="9" fillId="2" borderId="6" xfId="4" applyNumberFormat="1" applyFont="1" applyFill="1" applyBorder="1" applyAlignment="1">
      <alignment horizontal="right"/>
    </xf>
    <xf numFmtId="1" fontId="9" fillId="2" borderId="8" xfId="4" applyNumberFormat="1" applyFont="1" applyFill="1" applyBorder="1" applyAlignment="1">
      <alignment horizontal="right"/>
    </xf>
    <xf numFmtId="14" fontId="9" fillId="2" borderId="7" xfId="4" applyNumberFormat="1" applyFont="1" applyFill="1" applyBorder="1" applyAlignment="1">
      <alignment horizontal="right"/>
    </xf>
    <xf numFmtId="14" fontId="9" fillId="2" borderId="9" xfId="4" applyNumberFormat="1" applyFont="1" applyFill="1" applyBorder="1" applyAlignment="1">
      <alignment horizontal="right"/>
    </xf>
    <xf numFmtId="0" fontId="8" fillId="0" borderId="10" xfId="4" applyFont="1" applyBorder="1"/>
    <xf numFmtId="166" fontId="8" fillId="0" borderId="0" xfId="4" applyNumberFormat="1" applyFont="1" applyAlignment="1" applyProtection="1">
      <alignment horizontal="right"/>
    </xf>
    <xf numFmtId="166" fontId="8" fillId="0" borderId="12" xfId="4" applyNumberFormat="1" applyFont="1" applyBorder="1" applyAlignment="1">
      <alignment horizontal="right"/>
    </xf>
    <xf numFmtId="0" fontId="11" fillId="0" borderId="13" xfId="4" applyFont="1" applyBorder="1"/>
    <xf numFmtId="166" fontId="8" fillId="0" borderId="14" xfId="4" applyNumberFormat="1" applyFont="1" applyBorder="1" applyAlignment="1" applyProtection="1">
      <alignment horizontal="right"/>
    </xf>
    <xf numFmtId="166" fontId="8" fillId="0" borderId="15" xfId="4" applyNumberFormat="1" applyFont="1" applyBorder="1" applyAlignment="1">
      <alignment horizontal="right"/>
    </xf>
    <xf numFmtId="0" fontId="8" fillId="0" borderId="16" xfId="4" applyFont="1" applyBorder="1"/>
    <xf numFmtId="0" fontId="8" fillId="0" borderId="11" xfId="4" applyFont="1" applyBorder="1"/>
    <xf numFmtId="166" fontId="8" fillId="0" borderId="17" xfId="4" applyNumberFormat="1" applyFont="1" applyBorder="1" applyAlignment="1" applyProtection="1">
      <alignment horizontal="right"/>
    </xf>
    <xf numFmtId="166" fontId="8" fillId="0" borderId="18" xfId="4" applyNumberFormat="1" applyFont="1" applyBorder="1" applyAlignment="1">
      <alignment horizontal="right"/>
    </xf>
    <xf numFmtId="0" fontId="8" fillId="0" borderId="19" xfId="4" applyFont="1" applyBorder="1"/>
    <xf numFmtId="166" fontId="8" fillId="0" borderId="20" xfId="4" applyNumberFormat="1" applyFont="1" applyBorder="1" applyAlignment="1" applyProtection="1">
      <alignment horizontal="right"/>
    </xf>
    <xf numFmtId="166" fontId="8" fillId="0" borderId="21" xfId="4" applyNumberFormat="1" applyFont="1" applyBorder="1" applyAlignment="1" applyProtection="1">
      <alignment horizontal="right"/>
    </xf>
    <xf numFmtId="166" fontId="8" fillId="0" borderId="0" xfId="4" applyNumberFormat="1" applyFont="1" applyBorder="1" applyAlignment="1" applyProtection="1">
      <alignment horizontal="right"/>
    </xf>
    <xf numFmtId="0" fontId="8" fillId="0" borderId="22" xfId="4" applyFont="1" applyBorder="1"/>
    <xf numFmtId="0" fontId="5" fillId="0" borderId="0" xfId="4" applyFont="1" applyBorder="1"/>
    <xf numFmtId="0" fontId="8" fillId="0" borderId="23" xfId="4" applyFont="1" applyBorder="1"/>
    <xf numFmtId="0" fontId="11" fillId="0" borderId="24" xfId="4" applyFont="1" applyBorder="1"/>
    <xf numFmtId="166" fontId="8" fillId="0" borderId="25" xfId="4" applyNumberFormat="1" applyFont="1" applyBorder="1" applyAlignment="1" applyProtection="1">
      <alignment horizontal="right"/>
    </xf>
    <xf numFmtId="166" fontId="8" fillId="0" borderId="27" xfId="4" applyNumberFormat="1" applyFont="1" applyBorder="1" applyAlignment="1">
      <alignment horizontal="right"/>
    </xf>
    <xf numFmtId="0" fontId="8" fillId="0" borderId="0" xfId="4" applyFont="1" applyBorder="1"/>
    <xf numFmtId="166" fontId="8" fillId="0" borderId="0" xfId="4" applyNumberFormat="1" applyFont="1" applyBorder="1" applyAlignment="1">
      <alignment horizontal="right"/>
    </xf>
    <xf numFmtId="0" fontId="9" fillId="0" borderId="0" xfId="4" applyFont="1" applyBorder="1"/>
    <xf numFmtId="0" fontId="11" fillId="0" borderId="0" xfId="4" applyFont="1" applyBorder="1"/>
    <xf numFmtId="0" fontId="12" fillId="0" borderId="0" xfId="4" applyFont="1" applyBorder="1"/>
    <xf numFmtId="0" fontId="13" fillId="0" borderId="0" xfId="4" applyFont="1" applyBorder="1"/>
    <xf numFmtId="166" fontId="5" fillId="0" borderId="0" xfId="4" applyNumberFormat="1" applyFont="1" applyBorder="1" applyAlignment="1" applyProtection="1">
      <alignment horizontal="right"/>
    </xf>
    <xf numFmtId="166" fontId="5" fillId="0" borderId="0" xfId="4" applyNumberFormat="1" applyFont="1" applyBorder="1" applyAlignment="1">
      <alignment horizontal="right"/>
    </xf>
    <xf numFmtId="0" fontId="5" fillId="0" borderId="6" xfId="4" applyFont="1" applyBorder="1"/>
    <xf numFmtId="0" fontId="15" fillId="0" borderId="0" xfId="4" applyFont="1" applyAlignment="1">
      <alignment horizontal="left"/>
    </xf>
    <xf numFmtId="0" fontId="15" fillId="0" borderId="0" xfId="4" applyFont="1" applyAlignment="1">
      <alignment horizontal="right"/>
    </xf>
    <xf numFmtId="0" fontId="37" fillId="0" borderId="0" xfId="0" applyFont="1"/>
    <xf numFmtId="0" fontId="38" fillId="0" borderId="0" xfId="0" applyFont="1" applyAlignment="1">
      <alignment horizontal="right"/>
    </xf>
    <xf numFmtId="0" fontId="39" fillId="0" borderId="0" xfId="0" applyFont="1"/>
    <xf numFmtId="0" fontId="40" fillId="0" borderId="0" xfId="0" applyFont="1"/>
    <xf numFmtId="0" fontId="38" fillId="0" borderId="0" xfId="0" applyFont="1"/>
    <xf numFmtId="0" fontId="38" fillId="0" borderId="0" xfId="0" quotePrefix="1" applyFont="1"/>
    <xf numFmtId="0" fontId="37" fillId="0" borderId="0" xfId="0" applyFont="1" applyAlignment="1">
      <alignment horizontal="right"/>
    </xf>
    <xf numFmtId="1" fontId="40" fillId="0" borderId="0" xfId="0" applyNumberFormat="1" applyFont="1"/>
    <xf numFmtId="167" fontId="37" fillId="0" borderId="0" xfId="0" applyNumberFormat="1" applyFont="1"/>
    <xf numFmtId="3" fontId="37" fillId="0" borderId="0" xfId="0" applyNumberFormat="1" applyFont="1"/>
    <xf numFmtId="169" fontId="40" fillId="0" borderId="0" xfId="0" applyNumberFormat="1" applyFont="1"/>
    <xf numFmtId="170" fontId="40" fillId="0" borderId="0" xfId="0" applyNumberFormat="1" applyFont="1"/>
    <xf numFmtId="167" fontId="40" fillId="0" borderId="0" xfId="0" applyNumberFormat="1" applyFont="1"/>
    <xf numFmtId="3" fontId="40" fillId="0" borderId="0" xfId="0" applyNumberFormat="1" applyFont="1"/>
    <xf numFmtId="168" fontId="40" fillId="0" borderId="0" xfId="1" applyNumberFormat="1" applyFont="1"/>
    <xf numFmtId="167" fontId="40" fillId="0" borderId="0" xfId="1" applyNumberFormat="1" applyFont="1"/>
    <xf numFmtId="170" fontId="37" fillId="0" borderId="0" xfId="0" applyNumberFormat="1" applyFont="1"/>
    <xf numFmtId="3" fontId="37" fillId="0" borderId="0" xfId="0" applyNumberFormat="1" applyFont="1" applyBorder="1"/>
    <xf numFmtId="167" fontId="37" fillId="0" borderId="0" xfId="0" applyNumberFormat="1" applyFont="1" applyBorder="1"/>
    <xf numFmtId="171" fontId="37" fillId="0" borderId="0" xfId="0" applyNumberFormat="1" applyFont="1"/>
    <xf numFmtId="1" fontId="37" fillId="0" borderId="0" xfId="0" applyNumberFormat="1" applyFont="1"/>
    <xf numFmtId="169" fontId="37" fillId="0" borderId="0" xfId="0" applyNumberFormat="1" applyFont="1"/>
    <xf numFmtId="0" fontId="37" fillId="0" borderId="28" xfId="0" applyFont="1" applyBorder="1"/>
    <xf numFmtId="0" fontId="38" fillId="0" borderId="28" xfId="0" applyFont="1" applyBorder="1" applyAlignment="1">
      <alignment horizontal="right"/>
    </xf>
    <xf numFmtId="3" fontId="37" fillId="0" borderId="28" xfId="0" applyNumberFormat="1" applyFont="1" applyBorder="1"/>
    <xf numFmtId="0" fontId="37" fillId="0" borderId="28" xfId="0" applyFont="1" applyBorder="1" applyAlignment="1">
      <alignment horizontal="left" indent="1"/>
    </xf>
    <xf numFmtId="167" fontId="37" fillId="0" borderId="28" xfId="0" applyNumberFormat="1" applyFont="1" applyBorder="1"/>
    <xf numFmtId="0" fontId="37" fillId="0" borderId="0" xfId="0" applyFont="1" applyAlignment="1">
      <alignment horizontal="left" indent="1"/>
    </xf>
    <xf numFmtId="14" fontId="20" fillId="0" borderId="0" xfId="9" applyNumberFormat="1" applyFont="1" applyAlignment="1">
      <alignment horizontal="center"/>
    </xf>
    <xf numFmtId="0" fontId="14" fillId="0" borderId="28" xfId="0" applyFont="1" applyBorder="1" applyAlignment="1">
      <alignment horizontal="right"/>
    </xf>
    <xf numFmtId="0" fontId="14" fillId="0" borderId="0" xfId="0" applyFont="1" applyAlignment="1">
      <alignment horizontal="right"/>
    </xf>
    <xf numFmtId="0" fontId="7" fillId="2" borderId="0" xfId="0" applyFont="1" applyFill="1" applyBorder="1" applyAlignment="1">
      <alignment horizontal="left" vertical="top"/>
    </xf>
    <xf numFmtId="0" fontId="9" fillId="2" borderId="2" xfId="0" applyFont="1" applyFill="1" applyBorder="1" applyAlignment="1">
      <alignment horizontal="center"/>
    </xf>
    <xf numFmtId="0" fontId="9" fillId="2" borderId="29" xfId="0" applyFont="1" applyFill="1" applyBorder="1" applyAlignment="1">
      <alignment horizontal="center"/>
    </xf>
    <xf numFmtId="0" fontId="7" fillId="0" borderId="30" xfId="0" applyFont="1" applyBorder="1" applyAlignment="1">
      <alignment vertical="top"/>
    </xf>
    <xf numFmtId="0" fontId="10" fillId="0" borderId="19" xfId="0" applyFont="1" applyBorder="1" applyAlignment="1">
      <alignment vertical="top"/>
    </xf>
    <xf numFmtId="0" fontId="14" fillId="0" borderId="0" xfId="0" applyFont="1" applyBorder="1" applyAlignment="1">
      <alignment horizontal="left"/>
    </xf>
    <xf numFmtId="0" fontId="14" fillId="0" borderId="0" xfId="0" applyFont="1" applyBorder="1" applyAlignment="1">
      <alignment horizontal="right"/>
    </xf>
    <xf numFmtId="0" fontId="9" fillId="2" borderId="3" xfId="0" applyFont="1" applyFill="1" applyBorder="1" applyAlignment="1">
      <alignment horizontal="center"/>
    </xf>
    <xf numFmtId="0" fontId="9" fillId="2" borderId="4" xfId="0" applyFont="1" applyFill="1" applyBorder="1" applyAlignment="1">
      <alignment horizontal="center"/>
    </xf>
    <xf numFmtId="0" fontId="10" fillId="0" borderId="23" xfId="0" applyFont="1" applyBorder="1" applyAlignment="1">
      <alignment vertical="top"/>
    </xf>
    <xf numFmtId="0" fontId="14" fillId="0" borderId="0" xfId="4" applyFont="1" applyBorder="1" applyAlignment="1">
      <alignment horizontal="right"/>
    </xf>
    <xf numFmtId="0" fontId="14" fillId="0" borderId="0" xfId="4" applyFont="1" applyAlignment="1">
      <alignment horizontal="right"/>
    </xf>
    <xf numFmtId="0" fontId="9" fillId="2" borderId="2" xfId="4" applyFont="1" applyFill="1" applyBorder="1" applyAlignment="1">
      <alignment horizontal="center"/>
    </xf>
    <xf numFmtId="0" fontId="9" fillId="2" borderId="29" xfId="4" applyFont="1" applyFill="1" applyBorder="1" applyAlignment="1">
      <alignment horizontal="center"/>
    </xf>
    <xf numFmtId="0" fontId="7" fillId="0" borderId="30" xfId="4" applyFont="1" applyBorder="1" applyAlignment="1">
      <alignment vertical="top"/>
    </xf>
    <xf numFmtId="0" fontId="10" fillId="0" borderId="19" xfId="4" applyFont="1" applyBorder="1" applyAlignment="1">
      <alignment vertical="top"/>
    </xf>
    <xf numFmtId="0" fontId="9" fillId="2" borderId="3" xfId="4" applyFont="1" applyFill="1" applyBorder="1" applyAlignment="1">
      <alignment horizontal="center"/>
    </xf>
    <xf numFmtId="0" fontId="9" fillId="2" borderId="4" xfId="4" applyFont="1" applyFill="1" applyBorder="1" applyAlignment="1">
      <alignment horizontal="center"/>
    </xf>
  </cellXfs>
  <cellStyles count="15">
    <cellStyle name="Comma" xfId="1" builtinId="3"/>
    <cellStyle name="Comma 2" xfId="5" xr:uid="{00000000-0005-0000-0000-000000000000}"/>
    <cellStyle name="Hyperkobling_Test_skadestat_tabeller" xfId="2" xr:uid="{00000000-0005-0000-0000-000002000000}"/>
    <cellStyle name="Hyperlink" xfId="3" builtinId="8"/>
    <cellStyle name="Hyperlink 2" xfId="6" xr:uid="{00000000-0005-0000-0000-000003000000}"/>
    <cellStyle name="Normal" xfId="0" builtinId="0"/>
    <cellStyle name="Normal 2" xfId="4" xr:uid="{00000000-0005-0000-0000-000006000000}"/>
    <cellStyle name="Normal 2 2" xfId="9" xr:uid="{00000000-0005-0000-0000-000007000000}"/>
    <cellStyle name="Normal 3" xfId="8" xr:uid="{00000000-0005-0000-0000-000008000000}"/>
    <cellStyle name="Normal 4" xfId="10" xr:uid="{00000000-0005-0000-0000-000009000000}"/>
    <cellStyle name="Normal 5" xfId="11" xr:uid="{00000000-0005-0000-0000-00000A000000}"/>
    <cellStyle name="Normal 6" xfId="12" xr:uid="{00000000-0005-0000-0000-00000B000000}"/>
    <cellStyle name="Normal 7" xfId="13" xr:uid="{00000000-0005-0000-0000-00000C000000}"/>
    <cellStyle name="Normal 8" xfId="7" xr:uid="{00000000-0005-0000-0000-00000D000000}"/>
    <cellStyle name="Tusenskille 2" xfId="14" xr:uid="{00000000-0005-0000-0000-00000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13524659460671"/>
          <c:y val="3.7594076974851641E-2"/>
          <c:w val="0.81081147956763977"/>
          <c:h val="0.79198188827020743"/>
        </c:manualLayout>
      </c:layout>
      <c:lineChart>
        <c:grouping val="standard"/>
        <c:varyColors val="0"/>
        <c:ser>
          <c:idx val="0"/>
          <c:order val="0"/>
          <c:tx>
            <c:strRef>
              <c:f>'Tab2'!$C$70</c:f>
              <c:strCache>
                <c:ptCount val="1"/>
                <c:pt idx="0">
                  <c:v>Motorvogn i alt</c:v>
                </c:pt>
              </c:strCache>
            </c:strRef>
          </c:tx>
          <c:spPr>
            <a:ln w="25400">
              <a:solidFill>
                <a:srgbClr val="000080"/>
              </a:solidFill>
              <a:prstDash val="solid"/>
            </a:ln>
          </c:spPr>
          <c:marker>
            <c:symbol val="none"/>
          </c:marker>
          <c:cat>
            <c:numRef>
              <c:f>'Tab2'!$B$71:$B$213</c:f>
              <c:numCache>
                <c:formatCode>General</c:formatCode>
                <c:ptCount val="143"/>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numCache>
            </c:numRef>
          </c:cat>
          <c:val>
            <c:numRef>
              <c:f>'Tab2'!$C$71:$C$213</c:f>
              <c:numCache>
                <c:formatCode>General</c:formatCode>
                <c:ptCount val="143"/>
                <c:pt idx="0">
                  <c:v>97</c:v>
                </c:pt>
                <c:pt idx="1">
                  <c:v>78.8</c:v>
                </c:pt>
                <c:pt idx="2">
                  <c:v>84.8</c:v>
                </c:pt>
                <c:pt idx="3">
                  <c:v>91.2</c:v>
                </c:pt>
                <c:pt idx="4">
                  <c:v>112.2</c:v>
                </c:pt>
                <c:pt idx="5">
                  <c:v>81.8</c:v>
                </c:pt>
                <c:pt idx="6">
                  <c:v>90.4</c:v>
                </c:pt>
                <c:pt idx="7">
                  <c:v>92.9</c:v>
                </c:pt>
                <c:pt idx="8">
                  <c:v>123.4</c:v>
                </c:pt>
                <c:pt idx="9">
                  <c:v>102</c:v>
                </c:pt>
                <c:pt idx="10">
                  <c:v>108.4</c:v>
                </c:pt>
                <c:pt idx="11">
                  <c:v>109.6</c:v>
                </c:pt>
                <c:pt idx="12">
                  <c:v>141</c:v>
                </c:pt>
                <c:pt idx="13">
                  <c:v>120.5</c:v>
                </c:pt>
                <c:pt idx="14">
                  <c:v>115.7</c:v>
                </c:pt>
                <c:pt idx="15">
                  <c:v>114.4</c:v>
                </c:pt>
                <c:pt idx="16">
                  <c:v>152.19999999999999</c:v>
                </c:pt>
                <c:pt idx="17">
                  <c:v>109.2</c:v>
                </c:pt>
                <c:pt idx="18">
                  <c:v>110.1</c:v>
                </c:pt>
                <c:pt idx="19">
                  <c:v>112</c:v>
                </c:pt>
                <c:pt idx="20">
                  <c:v>134.1</c:v>
                </c:pt>
                <c:pt idx="21">
                  <c:v>113.7</c:v>
                </c:pt>
                <c:pt idx="22">
                  <c:v>116.3</c:v>
                </c:pt>
                <c:pt idx="23">
                  <c:v>115.2</c:v>
                </c:pt>
                <c:pt idx="24">
                  <c:v>106.6</c:v>
                </c:pt>
                <c:pt idx="25">
                  <c:v>98</c:v>
                </c:pt>
                <c:pt idx="26">
                  <c:v>96.9</c:v>
                </c:pt>
                <c:pt idx="27">
                  <c:v>93.4</c:v>
                </c:pt>
                <c:pt idx="28">
                  <c:v>99.4</c:v>
                </c:pt>
                <c:pt idx="29">
                  <c:v>88.6</c:v>
                </c:pt>
                <c:pt idx="30">
                  <c:v>88.2</c:v>
                </c:pt>
                <c:pt idx="31">
                  <c:v>84.8</c:v>
                </c:pt>
                <c:pt idx="32">
                  <c:v>97.5</c:v>
                </c:pt>
                <c:pt idx="33">
                  <c:v>93.9</c:v>
                </c:pt>
                <c:pt idx="34">
                  <c:v>90.2</c:v>
                </c:pt>
                <c:pt idx="35">
                  <c:v>92.6</c:v>
                </c:pt>
                <c:pt idx="36">
                  <c:v>102</c:v>
                </c:pt>
                <c:pt idx="37">
                  <c:v>92.2</c:v>
                </c:pt>
                <c:pt idx="38">
                  <c:v>93.3</c:v>
                </c:pt>
                <c:pt idx="39">
                  <c:v>90.8</c:v>
                </c:pt>
                <c:pt idx="40">
                  <c:v>112.6</c:v>
                </c:pt>
                <c:pt idx="41">
                  <c:v>93</c:v>
                </c:pt>
                <c:pt idx="42">
                  <c:v>87.500000000000028</c:v>
                </c:pt>
                <c:pt idx="43">
                  <c:v>120.09999999999994</c:v>
                </c:pt>
                <c:pt idx="44">
                  <c:v>138.4</c:v>
                </c:pt>
                <c:pt idx="45">
                  <c:v>114.5</c:v>
                </c:pt>
                <c:pt idx="46">
                  <c:v>112.79999999999998</c:v>
                </c:pt>
                <c:pt idx="47">
                  <c:v>114.49999999999997</c:v>
                </c:pt>
                <c:pt idx="48">
                  <c:v>137.19999999999999</c:v>
                </c:pt>
                <c:pt idx="49">
                  <c:v>111</c:v>
                </c:pt>
                <c:pt idx="50">
                  <c:v>115.90000000000003</c:v>
                </c:pt>
                <c:pt idx="51">
                  <c:v>118.79999999999995</c:v>
                </c:pt>
                <c:pt idx="52">
                  <c:v>143.9</c:v>
                </c:pt>
                <c:pt idx="53">
                  <c:v>131.6</c:v>
                </c:pt>
                <c:pt idx="54">
                  <c:v>112</c:v>
                </c:pt>
                <c:pt idx="55">
                  <c:v>132.50000000000003</c:v>
                </c:pt>
                <c:pt idx="56">
                  <c:v>142.6</c:v>
                </c:pt>
                <c:pt idx="57">
                  <c:v>141.79999999999998</c:v>
                </c:pt>
                <c:pt idx="58">
                  <c:v>135.40000000000006</c:v>
                </c:pt>
                <c:pt idx="59">
                  <c:v>130.59999999999994</c:v>
                </c:pt>
                <c:pt idx="60">
                  <c:v>150</c:v>
                </c:pt>
                <c:pt idx="61">
                  <c:v>139.80000000000001</c:v>
                </c:pt>
                <c:pt idx="62">
                  <c:v>128.09999999999997</c:v>
                </c:pt>
                <c:pt idx="63">
                  <c:v>141.80000000000007</c:v>
                </c:pt>
                <c:pt idx="64">
                  <c:v>154.19999999999999</c:v>
                </c:pt>
                <c:pt idx="65">
                  <c:v>159.30000000000001</c:v>
                </c:pt>
                <c:pt idx="66">
                  <c:v>146.30000000000001</c:v>
                </c:pt>
                <c:pt idx="67">
                  <c:v>141.90000000000003</c:v>
                </c:pt>
                <c:pt idx="68">
                  <c:v>169.1</c:v>
                </c:pt>
                <c:pt idx="69">
                  <c:v>151.50000000000003</c:v>
                </c:pt>
                <c:pt idx="70">
                  <c:v>139</c:v>
                </c:pt>
                <c:pt idx="71">
                  <c:v>135.10000000000002</c:v>
                </c:pt>
                <c:pt idx="72">
                  <c:v>158.5</c:v>
                </c:pt>
                <c:pt idx="73">
                  <c:v>140.45999999999998</c:v>
                </c:pt>
                <c:pt idx="74">
                  <c:v>134.24</c:v>
                </c:pt>
                <c:pt idx="75">
                  <c:v>137.49520000000001</c:v>
                </c:pt>
                <c:pt idx="76">
                  <c:v>155.81399999999999</c:v>
                </c:pt>
                <c:pt idx="77">
                  <c:v>146.54300000000003</c:v>
                </c:pt>
                <c:pt idx="78">
                  <c:v>146.23099999999999</c:v>
                </c:pt>
                <c:pt idx="79">
                  <c:v>137.96699999999993</c:v>
                </c:pt>
                <c:pt idx="80" formatCode="0.000">
                  <c:v>165.679</c:v>
                </c:pt>
                <c:pt idx="81" formatCode="0.000">
                  <c:v>135.02099999999999</c:v>
                </c:pt>
                <c:pt idx="82" formatCode="0.000">
                  <c:v>134.11099999999999</c:v>
                </c:pt>
                <c:pt idx="83" formatCode="0.000">
                  <c:v>142.01299999999998</c:v>
                </c:pt>
                <c:pt idx="84" formatCode="0.000">
                  <c:v>168.309</c:v>
                </c:pt>
                <c:pt idx="85" formatCode="0.000">
                  <c:v>140.26700000000002</c:v>
                </c:pt>
                <c:pt idx="86" formatCode="0.000">
                  <c:v>137.76999999999998</c:v>
                </c:pt>
                <c:pt idx="87" formatCode="0.000">
                  <c:v>137.68499999999995</c:v>
                </c:pt>
                <c:pt idx="88" formatCode="0.000">
                  <c:v>147.31100000000001</c:v>
                </c:pt>
                <c:pt idx="89" formatCode="0.000">
                  <c:v>143.51699999999997</c:v>
                </c:pt>
                <c:pt idx="90" formatCode="0.000">
                  <c:v>134.78300000000002</c:v>
                </c:pt>
                <c:pt idx="91" formatCode="0.000">
                  <c:v>137.37</c:v>
                </c:pt>
                <c:pt idx="92" formatCode="0.000">
                  <c:v>155.21299999999999</c:v>
                </c:pt>
                <c:pt idx="93" formatCode="0.000">
                  <c:v>147.44399999999999</c:v>
                </c:pt>
                <c:pt idx="94" formatCode="0.000">
                  <c:v>143.45100000000002</c:v>
                </c:pt>
                <c:pt idx="95" formatCode="0.000">
                  <c:v>148.56090999999998</c:v>
                </c:pt>
                <c:pt idx="96" formatCode="0.000">
                  <c:v>158.09976</c:v>
                </c:pt>
                <c:pt idx="97" formatCode="0.000">
                  <c:v>161.61276000000004</c:v>
                </c:pt>
                <c:pt idx="98" formatCode="0.000">
                  <c:v>135.82058024999998</c:v>
                </c:pt>
                <c:pt idx="99" formatCode="0.000">
                  <c:v>149.79139924999998</c:v>
                </c:pt>
                <c:pt idx="100" formatCode="0.000">
                  <c:v>164.64169099999998</c:v>
                </c:pt>
                <c:pt idx="101" formatCode="0.000">
                  <c:v>197.28657850000002</c:v>
                </c:pt>
                <c:pt idx="102" formatCode="0.000">
                  <c:v>159.71767174999997</c:v>
                </c:pt>
                <c:pt idx="103" formatCode="0.000">
                  <c:v>170.05706974999998</c:v>
                </c:pt>
                <c:pt idx="104" formatCode="0.000">
                  <c:v>191.37959499999999</c:v>
                </c:pt>
                <c:pt idx="105" formatCode="0.000">
                  <c:v>178.90604250000001</c:v>
                </c:pt>
                <c:pt idx="106" formatCode="0.000">
                  <c:v>160.23377500000004</c:v>
                </c:pt>
                <c:pt idx="107" formatCode="0.000">
                  <c:v>179.8571388695641</c:v>
                </c:pt>
                <c:pt idx="108" formatCode="0.000">
                  <c:v>204.63648875000001</c:v>
                </c:pt>
                <c:pt idx="109" formatCode="0.000">
                  <c:v>188.95691625000001</c:v>
                </c:pt>
                <c:pt idx="110" formatCode="0.000">
                  <c:v>172.07737875000004</c:v>
                </c:pt>
                <c:pt idx="111" formatCode="0.000">
                  <c:v>192.96143124999992</c:v>
                </c:pt>
                <c:pt idx="112" formatCode="0.000">
                  <c:v>204.00503875000001</c:v>
                </c:pt>
                <c:pt idx="113" formatCode="0.000">
                  <c:v>188.74104374999999</c:v>
                </c:pt>
                <c:pt idx="114" formatCode="0.000">
                  <c:v>169.93391749999995</c:v>
                </c:pt>
                <c:pt idx="115" formatCode="0.000">
                  <c:v>202.17554500000006</c:v>
                </c:pt>
                <c:pt idx="116" formatCode="0.000">
                  <c:v>195.82938625</c:v>
                </c:pt>
                <c:pt idx="117" formatCode="0.000">
                  <c:v>182.75061374999999</c:v>
                </c:pt>
                <c:pt idx="118" formatCode="0.000">
                  <c:v>165.72960875000007</c:v>
                </c:pt>
                <c:pt idx="119" formatCode="0.000">
                  <c:v>166.80539124999996</c:v>
                </c:pt>
                <c:pt idx="120" formatCode="0.000">
                  <c:v>199.180995</c:v>
                </c:pt>
                <c:pt idx="121" formatCode="0.000">
                  <c:v>205.01500500000003</c:v>
                </c:pt>
                <c:pt idx="122" formatCode="0.000">
                  <c:v>172.04383408071794</c:v>
                </c:pt>
                <c:pt idx="123" formatCode="0.000">
                  <c:v>204.099832585949</c:v>
                </c:pt>
                <c:pt idx="124" formatCode="0.000">
                  <c:v>196.17699999999999</c:v>
                </c:pt>
                <c:pt idx="125" formatCode="0.000">
                  <c:v>197.965</c:v>
                </c:pt>
                <c:pt idx="126" formatCode="0.000">
                  <c:v>192.10452006852</c:v>
                </c:pt>
                <c:pt idx="127" formatCode="0.000">
                  <c:v>196.808833167682</c:v>
                </c:pt>
                <c:pt idx="128" formatCode="0.000">
                  <c:v>219.418599054541</c:v>
                </c:pt>
                <c:pt idx="129" formatCode="0.000">
                  <c:v>188.69592411436798</c:v>
                </c:pt>
                <c:pt idx="130" formatCode="0.000">
                  <c:v>180.38826158445403</c:v>
                </c:pt>
                <c:pt idx="131" formatCode="0.000">
                  <c:v>195.22963867497901</c:v>
                </c:pt>
                <c:pt idx="132" formatCode="0.000">
                  <c:v>217.297581707322</c:v>
                </c:pt>
                <c:pt idx="133" formatCode="0.000">
                  <c:v>210.94903078835901</c:v>
                </c:pt>
                <c:pt idx="134" formatCode="0.000">
                  <c:v>193.64755294266695</c:v>
                </c:pt>
                <c:pt idx="135" formatCode="0.000">
                  <c:v>194.66297676649504</c:v>
                </c:pt>
                <c:pt idx="136" formatCode="0.000">
                  <c:v>227.02914608932699</c:v>
                </c:pt>
                <c:pt idx="137" formatCode="0.000">
                  <c:v>200.76722202181199</c:v>
                </c:pt>
                <c:pt idx="138" formatCode="0.000">
                  <c:v>195.05863188886104</c:v>
                </c:pt>
                <c:pt idx="139" formatCode="0.000">
                  <c:v>225.423</c:v>
                </c:pt>
                <c:pt idx="140" formatCode="0.000">
                  <c:v>241.52799999999999</c:v>
                </c:pt>
                <c:pt idx="141" formatCode="0.000">
                  <c:v>226.77080239162902</c:v>
                </c:pt>
                <c:pt idx="142" formatCode="0.000">
                  <c:v>230.04425590433516</c:v>
                </c:pt>
              </c:numCache>
            </c:numRef>
          </c:val>
          <c:smooth val="0"/>
          <c:extLst>
            <c:ext xmlns:c16="http://schemas.microsoft.com/office/drawing/2014/chart" uri="{C3380CC4-5D6E-409C-BE32-E72D297353CC}">
              <c16:uniqueId val="{00000000-A323-4438-AB76-3A3BD5C6F162}"/>
            </c:ext>
          </c:extLst>
        </c:ser>
        <c:ser>
          <c:idx val="1"/>
          <c:order val="1"/>
          <c:tx>
            <c:strRef>
              <c:f>'Tab2'!$D$70</c:f>
              <c:strCache>
                <c:ptCount val="1"/>
                <c:pt idx="0">
                  <c:v>Personbil</c:v>
                </c:pt>
              </c:strCache>
            </c:strRef>
          </c:tx>
          <c:spPr>
            <a:ln w="25400">
              <a:solidFill>
                <a:srgbClr val="000000"/>
              </a:solidFill>
              <a:prstDash val="sysDash"/>
            </a:ln>
          </c:spPr>
          <c:marker>
            <c:symbol val="none"/>
          </c:marker>
          <c:cat>
            <c:numRef>
              <c:f>'Tab2'!$B$71:$B$213</c:f>
              <c:numCache>
                <c:formatCode>General</c:formatCode>
                <c:ptCount val="143"/>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numCache>
            </c:numRef>
          </c:cat>
          <c:val>
            <c:numRef>
              <c:f>'Tab2'!$D$71:$D$213</c:f>
              <c:numCache>
                <c:formatCode>General</c:formatCode>
                <c:ptCount val="143"/>
                <c:pt idx="0">
                  <c:v>78.3</c:v>
                </c:pt>
                <c:pt idx="1">
                  <c:v>61.3</c:v>
                </c:pt>
                <c:pt idx="2">
                  <c:v>63</c:v>
                </c:pt>
                <c:pt idx="3">
                  <c:v>70.8</c:v>
                </c:pt>
                <c:pt idx="4">
                  <c:v>90.4</c:v>
                </c:pt>
                <c:pt idx="5">
                  <c:v>64.400000000000006</c:v>
                </c:pt>
                <c:pt idx="6">
                  <c:v>71.099999999999994</c:v>
                </c:pt>
                <c:pt idx="7">
                  <c:v>73.900000000000006</c:v>
                </c:pt>
                <c:pt idx="8">
                  <c:v>100.8</c:v>
                </c:pt>
                <c:pt idx="9">
                  <c:v>81.099999999999994</c:v>
                </c:pt>
                <c:pt idx="10">
                  <c:v>86</c:v>
                </c:pt>
                <c:pt idx="11">
                  <c:v>87.1</c:v>
                </c:pt>
                <c:pt idx="12">
                  <c:v>115.2</c:v>
                </c:pt>
                <c:pt idx="13">
                  <c:v>93.2</c:v>
                </c:pt>
                <c:pt idx="14">
                  <c:v>91.1</c:v>
                </c:pt>
                <c:pt idx="15">
                  <c:v>90.8</c:v>
                </c:pt>
                <c:pt idx="16">
                  <c:v>121.3</c:v>
                </c:pt>
                <c:pt idx="17">
                  <c:v>86.1</c:v>
                </c:pt>
                <c:pt idx="18">
                  <c:v>87.3</c:v>
                </c:pt>
                <c:pt idx="19">
                  <c:v>89.8</c:v>
                </c:pt>
                <c:pt idx="20">
                  <c:v>107.5</c:v>
                </c:pt>
                <c:pt idx="21">
                  <c:v>90</c:v>
                </c:pt>
                <c:pt idx="22">
                  <c:v>93.1</c:v>
                </c:pt>
                <c:pt idx="23">
                  <c:v>93.4</c:v>
                </c:pt>
                <c:pt idx="24">
                  <c:v>86.4</c:v>
                </c:pt>
                <c:pt idx="25">
                  <c:v>79.599999999999994</c:v>
                </c:pt>
                <c:pt idx="26">
                  <c:v>79</c:v>
                </c:pt>
                <c:pt idx="27">
                  <c:v>76.8</c:v>
                </c:pt>
                <c:pt idx="28">
                  <c:v>81.3</c:v>
                </c:pt>
                <c:pt idx="29">
                  <c:v>73.099999999999994</c:v>
                </c:pt>
                <c:pt idx="30">
                  <c:v>72.5</c:v>
                </c:pt>
                <c:pt idx="31">
                  <c:v>70.2</c:v>
                </c:pt>
                <c:pt idx="32">
                  <c:v>82.4</c:v>
                </c:pt>
                <c:pt idx="33">
                  <c:v>78</c:v>
                </c:pt>
                <c:pt idx="34">
                  <c:v>76.099999999999994</c:v>
                </c:pt>
                <c:pt idx="35">
                  <c:v>78.099999999999994</c:v>
                </c:pt>
                <c:pt idx="36">
                  <c:v>87.1</c:v>
                </c:pt>
                <c:pt idx="37">
                  <c:v>78.900000000000006</c:v>
                </c:pt>
                <c:pt idx="38">
                  <c:v>79.900000000000006</c:v>
                </c:pt>
                <c:pt idx="39">
                  <c:v>77.599999999999994</c:v>
                </c:pt>
                <c:pt idx="40">
                  <c:v>96.5</c:v>
                </c:pt>
                <c:pt idx="41">
                  <c:v>80.099999999999994</c:v>
                </c:pt>
                <c:pt idx="42">
                  <c:v>73.599999999999994</c:v>
                </c:pt>
                <c:pt idx="43">
                  <c:v>106.60000000000005</c:v>
                </c:pt>
                <c:pt idx="44">
                  <c:v>120</c:v>
                </c:pt>
                <c:pt idx="45">
                  <c:v>98.1</c:v>
                </c:pt>
                <c:pt idx="46">
                  <c:v>98.799999999999983</c:v>
                </c:pt>
                <c:pt idx="47">
                  <c:v>100.20000000000005</c:v>
                </c:pt>
                <c:pt idx="48">
                  <c:v>119.3</c:v>
                </c:pt>
                <c:pt idx="49">
                  <c:v>95.399999999999991</c:v>
                </c:pt>
                <c:pt idx="50">
                  <c:v>100.99999999999999</c:v>
                </c:pt>
                <c:pt idx="51">
                  <c:v>104.40000000000005</c:v>
                </c:pt>
                <c:pt idx="52">
                  <c:v>126.9</c:v>
                </c:pt>
                <c:pt idx="53">
                  <c:v>115.69999999999999</c:v>
                </c:pt>
                <c:pt idx="54">
                  <c:v>96.700000000000017</c:v>
                </c:pt>
                <c:pt idx="55">
                  <c:v>113.1</c:v>
                </c:pt>
                <c:pt idx="56">
                  <c:v>124.8</c:v>
                </c:pt>
                <c:pt idx="57">
                  <c:v>122.50000000000001</c:v>
                </c:pt>
                <c:pt idx="58">
                  <c:v>117.3</c:v>
                </c:pt>
                <c:pt idx="59">
                  <c:v>113.7</c:v>
                </c:pt>
                <c:pt idx="60">
                  <c:v>131.9</c:v>
                </c:pt>
                <c:pt idx="61">
                  <c:v>122</c:v>
                </c:pt>
                <c:pt idx="62">
                  <c:v>112.1</c:v>
                </c:pt>
                <c:pt idx="63">
                  <c:v>125.60000000000002</c:v>
                </c:pt>
                <c:pt idx="64">
                  <c:v>137.1</c:v>
                </c:pt>
                <c:pt idx="65">
                  <c:v>140.70000000000002</c:v>
                </c:pt>
                <c:pt idx="66">
                  <c:v>128.69999999999999</c:v>
                </c:pt>
                <c:pt idx="67">
                  <c:v>126.39999999999998</c:v>
                </c:pt>
                <c:pt idx="68">
                  <c:v>150.9</c:v>
                </c:pt>
                <c:pt idx="69">
                  <c:v>133.4</c:v>
                </c:pt>
                <c:pt idx="70">
                  <c:v>123.5</c:v>
                </c:pt>
                <c:pt idx="71">
                  <c:v>121.40000000000003</c:v>
                </c:pt>
                <c:pt idx="72">
                  <c:v>143.1</c:v>
                </c:pt>
                <c:pt idx="73">
                  <c:v>125.70000000000002</c:v>
                </c:pt>
                <c:pt idx="74">
                  <c:v>119.19999999999999</c:v>
                </c:pt>
                <c:pt idx="75">
                  <c:v>124.07220000000007</c:v>
                </c:pt>
                <c:pt idx="76">
                  <c:v>141.72399999999999</c:v>
                </c:pt>
                <c:pt idx="77">
                  <c:v>133.19</c:v>
                </c:pt>
                <c:pt idx="78">
                  <c:v>127.14100000000002</c:v>
                </c:pt>
                <c:pt idx="79">
                  <c:v>124.64100000000002</c:v>
                </c:pt>
                <c:pt idx="80">
                  <c:v>150.81100000000001</c:v>
                </c:pt>
                <c:pt idx="81">
                  <c:v>121.10099999999997</c:v>
                </c:pt>
                <c:pt idx="82">
                  <c:v>119.49100000000004</c:v>
                </c:pt>
                <c:pt idx="83">
                  <c:v>125.95899999999995</c:v>
                </c:pt>
                <c:pt idx="84">
                  <c:v>153.04300000000001</c:v>
                </c:pt>
                <c:pt idx="85">
                  <c:v>125.56799999999998</c:v>
                </c:pt>
                <c:pt idx="86">
                  <c:v>123.12100000000004</c:v>
                </c:pt>
                <c:pt idx="87">
                  <c:v>124.50600000000003</c:v>
                </c:pt>
                <c:pt idx="88">
                  <c:v>133.756</c:v>
                </c:pt>
                <c:pt idx="89">
                  <c:v>128.79</c:v>
                </c:pt>
                <c:pt idx="90">
                  <c:v>120.57100000000003</c:v>
                </c:pt>
                <c:pt idx="91">
                  <c:v>124.38200000000001</c:v>
                </c:pt>
                <c:pt idx="92">
                  <c:v>139.72800000000001</c:v>
                </c:pt>
                <c:pt idx="93">
                  <c:v>129.572</c:v>
                </c:pt>
                <c:pt idx="94">
                  <c:v>126.00599999999997</c:v>
                </c:pt>
                <c:pt idx="95">
                  <c:v>131.19532799999996</c:v>
                </c:pt>
                <c:pt idx="96">
                  <c:v>141.08400800000001</c:v>
                </c:pt>
                <c:pt idx="97">
                  <c:v>142.897008</c:v>
                </c:pt>
                <c:pt idx="98">
                  <c:v>119.75308425000003</c:v>
                </c:pt>
                <c:pt idx="99">
                  <c:v>133.49839924999998</c:v>
                </c:pt>
                <c:pt idx="100">
                  <c:v>148.61369099999999</c:v>
                </c:pt>
                <c:pt idx="101">
                  <c:v>175.71357850000001</c:v>
                </c:pt>
                <c:pt idx="102">
                  <c:v>141.40667174999999</c:v>
                </c:pt>
                <c:pt idx="103">
                  <c:v>152.54014889999991</c:v>
                </c:pt>
                <c:pt idx="104">
                  <c:v>172.55938714999999</c:v>
                </c:pt>
                <c:pt idx="105">
                  <c:v>160.765232725</c:v>
                </c:pt>
                <c:pt idx="106">
                  <c:v>142.31202375000004</c:v>
                </c:pt>
                <c:pt idx="107">
                  <c:v>163.53199924456408</c:v>
                </c:pt>
                <c:pt idx="108">
                  <c:v>186.506571025</c:v>
                </c:pt>
                <c:pt idx="109">
                  <c:v>170.46253197500002</c:v>
                </c:pt>
                <c:pt idx="110">
                  <c:v>154.15607493749997</c:v>
                </c:pt>
                <c:pt idx="111">
                  <c:v>174.39946771249993</c:v>
                </c:pt>
                <c:pt idx="112">
                  <c:v>184.8599929625</c:v>
                </c:pt>
                <c:pt idx="113">
                  <c:v>171.33320521249996</c:v>
                </c:pt>
                <c:pt idx="114">
                  <c:v>151.69380182500004</c:v>
                </c:pt>
                <c:pt idx="115">
                  <c:v>178.91908595000001</c:v>
                </c:pt>
                <c:pt idx="116">
                  <c:v>177.0717714875</c:v>
                </c:pt>
                <c:pt idx="117">
                  <c:v>165.12822851249999</c:v>
                </c:pt>
                <c:pt idx="118">
                  <c:v>148.24155396250001</c:v>
                </c:pt>
                <c:pt idx="119">
                  <c:v>151.72844603749996</c:v>
                </c:pt>
                <c:pt idx="120">
                  <c:v>183.65288545000001</c:v>
                </c:pt>
                <c:pt idx="121">
                  <c:v>185.63411454999996</c:v>
                </c:pt>
                <c:pt idx="122">
                  <c:v>153.21019910313902</c:v>
                </c:pt>
                <c:pt idx="123">
                  <c:v>188.07946756352794</c:v>
                </c:pt>
                <c:pt idx="124">
                  <c:v>179.55199999999999</c:v>
                </c:pt>
                <c:pt idx="125">
                  <c:v>179.76700000000002</c:v>
                </c:pt>
                <c:pt idx="126">
                  <c:v>173.47352006851992</c:v>
                </c:pt>
                <c:pt idx="127">
                  <c:v>184.73883316768206</c:v>
                </c:pt>
                <c:pt idx="128">
                  <c:v>202.59159905454101</c:v>
                </c:pt>
                <c:pt idx="129">
                  <c:v>171.45081948058601</c:v>
                </c:pt>
                <c:pt idx="130">
                  <c:v>162.29720926756397</c:v>
                </c:pt>
                <c:pt idx="131">
                  <c:v>179.89113138755602</c:v>
                </c:pt>
                <c:pt idx="132">
                  <c:v>201.19677375494101</c:v>
                </c:pt>
                <c:pt idx="133">
                  <c:v>192.89311593057502</c:v>
                </c:pt>
                <c:pt idx="134">
                  <c:v>175.641874720337</c:v>
                </c:pt>
                <c:pt idx="135">
                  <c:v>178.45454935802093</c:v>
                </c:pt>
                <c:pt idx="136">
                  <c:v>210.737716871462</c:v>
                </c:pt>
                <c:pt idx="137">
                  <c:v>183.70797761744905</c:v>
                </c:pt>
                <c:pt idx="138">
                  <c:v>176.76630551108894</c:v>
                </c:pt>
                <c:pt idx="139">
                  <c:v>208.21799999999996</c:v>
                </c:pt>
                <c:pt idx="140">
                  <c:v>222.678</c:v>
                </c:pt>
                <c:pt idx="141">
                  <c:v>208.83864191330298</c:v>
                </c:pt>
                <c:pt idx="142">
                  <c:v>207.39460472346838</c:v>
                </c:pt>
              </c:numCache>
            </c:numRef>
          </c:val>
          <c:smooth val="0"/>
          <c:extLst>
            <c:ext xmlns:c16="http://schemas.microsoft.com/office/drawing/2014/chart" uri="{C3380CC4-5D6E-409C-BE32-E72D297353CC}">
              <c16:uniqueId val="{00000001-A323-4438-AB76-3A3BD5C6F162}"/>
            </c:ext>
          </c:extLst>
        </c:ser>
        <c:dLbls>
          <c:showLegendKey val="0"/>
          <c:showVal val="0"/>
          <c:showCatName val="0"/>
          <c:showSerName val="0"/>
          <c:showPercent val="0"/>
          <c:showBubbleSize val="0"/>
        </c:dLbls>
        <c:smooth val="0"/>
        <c:axId val="266180480"/>
        <c:axId val="266182016"/>
      </c:lineChart>
      <c:catAx>
        <c:axId val="266180480"/>
        <c:scaling>
          <c:orientation val="minMax"/>
        </c:scaling>
        <c:delete val="0"/>
        <c:axPos val="b"/>
        <c:numFmt formatCode="General" sourceLinked="1"/>
        <c:majorTickMark val="out"/>
        <c:minorTickMark val="none"/>
        <c:tickLblPos val="nextTo"/>
        <c:spPr>
          <a:ln w="3175">
            <a:solidFill>
              <a:srgbClr val="000000"/>
            </a:solidFill>
            <a:prstDash val="solid"/>
          </a:ln>
        </c:spPr>
        <c:txPr>
          <a:bodyPr rot="-3000000" vert="horz"/>
          <a:lstStyle/>
          <a:p>
            <a:pPr>
              <a:defRPr sz="800" b="0" i="0" u="none" strike="noStrike" baseline="0">
                <a:solidFill>
                  <a:srgbClr val="000000"/>
                </a:solidFill>
                <a:latin typeface="Arial"/>
                <a:ea typeface="Arial"/>
                <a:cs typeface="Arial"/>
              </a:defRPr>
            </a:pPr>
            <a:endParaRPr lang="nb-NO"/>
          </a:p>
        </c:txPr>
        <c:crossAx val="266182016"/>
        <c:crosses val="autoZero"/>
        <c:auto val="1"/>
        <c:lblAlgn val="ctr"/>
        <c:lblOffset val="100"/>
        <c:tickLblSkip val="1"/>
        <c:tickMarkSkip val="1"/>
        <c:noMultiLvlLbl val="0"/>
      </c:catAx>
      <c:valAx>
        <c:axId val="266182016"/>
        <c:scaling>
          <c:orientation val="minMax"/>
        </c:scaling>
        <c:delete val="0"/>
        <c:axPos val="l"/>
        <c:majorGridlines>
          <c:spPr>
            <a:ln>
              <a:prstDash val="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6180480"/>
        <c:crosses val="autoZero"/>
        <c:crossBetween val="between"/>
      </c:valAx>
      <c:spPr>
        <a:noFill/>
        <a:ln w="12700">
          <a:solidFill>
            <a:srgbClr val="808080"/>
          </a:solidFill>
          <a:prstDash val="solid"/>
        </a:ln>
      </c:spPr>
    </c:plotArea>
    <c:legend>
      <c:legendPos val="r"/>
      <c:layout>
        <c:manualLayout>
          <c:xMode val="edge"/>
          <c:yMode val="edge"/>
          <c:x val="0.59154731503155356"/>
          <c:y val="0.60632894572388973"/>
          <c:w val="0.26013531247783173"/>
          <c:h val="0.1228072806688637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44"/>
          <c:h val="0.81417322834645667"/>
        </c:manualLayout>
      </c:layout>
      <c:lineChart>
        <c:grouping val="standard"/>
        <c:varyColors val="0"/>
        <c:ser>
          <c:idx val="0"/>
          <c:order val="0"/>
          <c:tx>
            <c:strRef>
              <c:f>'Tab2'!$M$70</c:f>
              <c:strCache>
                <c:ptCount val="1"/>
                <c:pt idx="0">
                  <c:v>Erstatning</c:v>
                </c:pt>
              </c:strCache>
            </c:strRef>
          </c:tx>
          <c:spPr>
            <a:ln w="50800"/>
          </c:spPr>
          <c:marker>
            <c:symbol val="none"/>
          </c:marker>
          <c:cat>
            <c:numRef>
              <c:f>'Tab2'!$K$103:$K$213</c:f>
              <c:numCache>
                <c:formatCode>General</c:formatCode>
                <c:ptCount val="111"/>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numCache>
            </c:numRef>
          </c:cat>
          <c:val>
            <c:numRef>
              <c:f>'Tab2'!$T$103:$T$213</c:f>
              <c:numCache>
                <c:formatCode>#\ ##0.0</c:formatCode>
                <c:ptCount val="111"/>
                <c:pt idx="0">
                  <c:v>241.51157894736841</c:v>
                </c:pt>
                <c:pt idx="1">
                  <c:v>300.4836027713626</c:v>
                </c:pt>
                <c:pt idx="2">
                  <c:v>349.2290993071594</c:v>
                </c:pt>
                <c:pt idx="3">
                  <c:v>312.78350515463916</c:v>
                </c:pt>
                <c:pt idx="4">
                  <c:v>304.47771428571423</c:v>
                </c:pt>
                <c:pt idx="5">
                  <c:v>278.20767494356659</c:v>
                </c:pt>
                <c:pt idx="6">
                  <c:v>364.59030439684329</c:v>
                </c:pt>
                <c:pt idx="7">
                  <c:v>180.82239641657333</c:v>
                </c:pt>
                <c:pt idx="8">
                  <c:v>288.46102449888645</c:v>
                </c:pt>
                <c:pt idx="9">
                  <c:v>310.80528634361235</c:v>
                </c:pt>
                <c:pt idx="10">
                  <c:v>353.36026490066223</c:v>
                </c:pt>
                <c:pt idx="11">
                  <c:v>266.81538461538463</c:v>
                </c:pt>
                <c:pt idx="12">
                  <c:v>262.27384615384614</c:v>
                </c:pt>
                <c:pt idx="13">
                  <c:v>315.80283533260632</c:v>
                </c:pt>
                <c:pt idx="14">
                  <c:v>352.25276872964184</c:v>
                </c:pt>
                <c:pt idx="15">
                  <c:v>341.74341252699782</c:v>
                </c:pt>
                <c:pt idx="16">
                  <c:v>289.35289079229119</c:v>
                </c:pt>
                <c:pt idx="17">
                  <c:v>334.72731137088203</c:v>
                </c:pt>
                <c:pt idx="18">
                  <c:v>351.51073326248655</c:v>
                </c:pt>
                <c:pt idx="19">
                  <c:v>321.88033826638502</c:v>
                </c:pt>
                <c:pt idx="20">
                  <c:v>311.18216560509558</c:v>
                </c:pt>
                <c:pt idx="21">
                  <c:v>341.60630914826493</c:v>
                </c:pt>
                <c:pt idx="22">
                  <c:v>360.42219895287957</c:v>
                </c:pt>
                <c:pt idx="23">
                  <c:v>288.14953271028054</c:v>
                </c:pt>
                <c:pt idx="24">
                  <c:v>284.88468653648511</c:v>
                </c:pt>
                <c:pt idx="25">
                  <c:v>339.31381780962118</c:v>
                </c:pt>
                <c:pt idx="26">
                  <c:v>300.33654042988752</c:v>
                </c:pt>
                <c:pt idx="27">
                  <c:v>277.64999999999981</c:v>
                </c:pt>
                <c:pt idx="28">
                  <c:v>275.57945619335351</c:v>
                </c:pt>
                <c:pt idx="29">
                  <c:v>302.30611835506517</c:v>
                </c:pt>
                <c:pt idx="30">
                  <c:v>309.98957915831664</c:v>
                </c:pt>
                <c:pt idx="31">
                  <c:v>301.6492552135054</c:v>
                </c:pt>
                <c:pt idx="32">
                  <c:v>236.97514792899406</c:v>
                </c:pt>
                <c:pt idx="33">
                  <c:v>287.5455968688845</c:v>
                </c:pt>
                <c:pt idx="34">
                  <c:v>330.46725663716819</c:v>
                </c:pt>
                <c:pt idx="35">
                  <c:v>274.09391304347815</c:v>
                </c:pt>
                <c:pt idx="36">
                  <c:v>279.39579349904398</c:v>
                </c:pt>
                <c:pt idx="37">
                  <c:v>259.10751665080875</c:v>
                </c:pt>
                <c:pt idx="38">
                  <c:v>271.79145299145296</c:v>
                </c:pt>
                <c:pt idx="39">
                  <c:v>297.13483146067415</c:v>
                </c:pt>
                <c:pt idx="40">
                  <c:v>223.44243542435422</c:v>
                </c:pt>
                <c:pt idx="41">
                  <c:v>256.27992700729925</c:v>
                </c:pt>
                <c:pt idx="42">
                  <c:v>216.41628122109157</c:v>
                </c:pt>
                <c:pt idx="43">
                  <c:v>351.0082796688132</c:v>
                </c:pt>
                <c:pt idx="44">
                  <c:v>267.24647758462947</c:v>
                </c:pt>
                <c:pt idx="45">
                  <c:v>313.3145454545454</c:v>
                </c:pt>
                <c:pt idx="46">
                  <c:v>248.46897810218979</c:v>
                </c:pt>
                <c:pt idx="47">
                  <c:v>257.9675675675677</c:v>
                </c:pt>
                <c:pt idx="48">
                  <c:v>235.69633507853402</c:v>
                </c:pt>
                <c:pt idx="49">
                  <c:v>267.07319679430094</c:v>
                </c:pt>
                <c:pt idx="50">
                  <c:v>249.0337801608579</c:v>
                </c:pt>
                <c:pt idx="51">
                  <c:v>289.56341030195398</c:v>
                </c:pt>
                <c:pt idx="52">
                  <c:v>234.50834813499108</c:v>
                </c:pt>
                <c:pt idx="53">
                  <c:v>297.28253968253966</c:v>
                </c:pt>
                <c:pt idx="54">
                  <c:v>210.03610619469012</c:v>
                </c:pt>
                <c:pt idx="55">
                  <c:v>210.91263157894747</c:v>
                </c:pt>
                <c:pt idx="56">
                  <c:v>207.31503957783639</c:v>
                </c:pt>
                <c:pt idx="57">
                  <c:v>195.39062500000009</c:v>
                </c:pt>
                <c:pt idx="58">
                  <c:v>196.20156385751511</c:v>
                </c:pt>
                <c:pt idx="59">
                  <c:v>180.68275862068973</c:v>
                </c:pt>
                <c:pt idx="60">
                  <c:v>190.63945111492279</c:v>
                </c:pt>
                <c:pt idx="61">
                  <c:v>220.46106870229005</c:v>
                </c:pt>
                <c:pt idx="62">
                  <c:v>210.26393861892586</c:v>
                </c:pt>
                <c:pt idx="63">
                  <c:v>178.73243697478986</c:v>
                </c:pt>
                <c:pt idx="64">
                  <c:v>210.28289361702127</c:v>
                </c:pt>
                <c:pt idx="65">
                  <c:v>200.87573964497039</c:v>
                </c:pt>
                <c:pt idx="66">
                  <c:v>191.57928692699485</c:v>
                </c:pt>
                <c:pt idx="67">
                  <c:v>174.48079470198684</c:v>
                </c:pt>
                <c:pt idx="68">
                  <c:v>193.85365053322394</c:v>
                </c:pt>
                <c:pt idx="69">
                  <c:v>227.93311475409837</c:v>
                </c:pt>
                <c:pt idx="70">
                  <c:v>223.37839155158403</c:v>
                </c:pt>
                <c:pt idx="71">
                  <c:v>319.10954290296729</c:v>
                </c:pt>
                <c:pt idx="72">
                  <c:v>251.74655999999999</c:v>
                </c:pt>
                <c:pt idx="73">
                  <c:v>276.29498806682579</c:v>
                </c:pt>
                <c:pt idx="74">
                  <c:v>272.83636363636356</c:v>
                </c:pt>
                <c:pt idx="75">
                  <c:v>322.24834123222757</c:v>
                </c:pt>
                <c:pt idx="76">
                  <c:v>278.80000000000007</c:v>
                </c:pt>
                <c:pt idx="77">
                  <c:v>230.84685802948022</c:v>
                </c:pt>
                <c:pt idx="78">
                  <c:v>231.79436619718302</c:v>
                </c:pt>
                <c:pt idx="79">
                  <c:v>234.55813953488371</c:v>
                </c:pt>
                <c:pt idx="80">
                  <c:v>177.41474654377882</c:v>
                </c:pt>
                <c:pt idx="81">
                  <c:v>222.86473282442742</c:v>
                </c:pt>
                <c:pt idx="82">
                  <c:v>190.83060278207103</c:v>
                </c:pt>
                <c:pt idx="83">
                  <c:v>204.83424916836907</c:v>
                </c:pt>
                <c:pt idx="84">
                  <c:v>196.95429435122469</c:v>
                </c:pt>
                <c:pt idx="85">
                  <c:v>206.44661196828196</c:v>
                </c:pt>
                <c:pt idx="86">
                  <c:v>215.7555423998146</c:v>
                </c:pt>
                <c:pt idx="87">
                  <c:v>212.92119044237475</c:v>
                </c:pt>
                <c:pt idx="88">
                  <c:v>186.27319654739844</c:v>
                </c:pt>
                <c:pt idx="89">
                  <c:v>193.61352246894305</c:v>
                </c:pt>
                <c:pt idx="90">
                  <c:v>189.63413110494392</c:v>
                </c:pt>
                <c:pt idx="91">
                  <c:v>196.47313247691815</c:v>
                </c:pt>
                <c:pt idx="92">
                  <c:v>179.51402706492749</c:v>
                </c:pt>
                <c:pt idx="93">
                  <c:v>180.662646667373</c:v>
                </c:pt>
                <c:pt idx="94">
                  <c:v>190.72919720272557</c:v>
                </c:pt>
                <c:pt idx="95">
                  <c:v>187.76027604828124</c:v>
                </c:pt>
                <c:pt idx="96">
                  <c:v>165.69776489022124</c:v>
                </c:pt>
                <c:pt idx="97">
                  <c:v>178.52914401999143</c:v>
                </c:pt>
                <c:pt idx="98">
                  <c:v>138.58047072315915</c:v>
                </c:pt>
                <c:pt idx="99">
                  <c:v>165.16036250126285</c:v>
                </c:pt>
                <c:pt idx="100">
                  <c:v>133.00855336219763</c:v>
                </c:pt>
                <c:pt idx="101">
                  <c:v>156.10486988085654</c:v>
                </c:pt>
                <c:pt idx="102">
                  <c:v>151.5128614451975</c:v>
                </c:pt>
                <c:pt idx="103">
                  <c:v>148.77184006525155</c:v>
                </c:pt>
                <c:pt idx="104">
                  <c:v>142.30662052551639</c:v>
                </c:pt>
                <c:pt idx="105">
                  <c:v>120.10891647531614</c:v>
                </c:pt>
                <c:pt idx="106">
                  <c:v>128.26069246435844</c:v>
                </c:pt>
                <c:pt idx="107">
                  <c:v>123.33153638814017</c:v>
                </c:pt>
                <c:pt idx="108">
                  <c:v>114.37274549098197</c:v>
                </c:pt>
                <c:pt idx="109">
                  <c:v>132.73993195687001</c:v>
                </c:pt>
                <c:pt idx="110">
                  <c:v>145.6243377650832</c:v>
                </c:pt>
              </c:numCache>
            </c:numRef>
          </c:val>
          <c:smooth val="0"/>
          <c:extLst>
            <c:ext xmlns:c16="http://schemas.microsoft.com/office/drawing/2014/chart" uri="{C3380CC4-5D6E-409C-BE32-E72D297353CC}">
              <c16:uniqueId val="{00000000-A9C2-44F7-A0C1-9433E210C6CC}"/>
            </c:ext>
          </c:extLst>
        </c:ser>
        <c:dLbls>
          <c:showLegendKey val="0"/>
          <c:showVal val="0"/>
          <c:showCatName val="0"/>
          <c:showSerName val="0"/>
          <c:showPercent val="0"/>
          <c:showBubbleSize val="0"/>
        </c:dLbls>
        <c:marker val="1"/>
        <c:smooth val="0"/>
        <c:axId val="270837248"/>
        <c:axId val="270838784"/>
      </c:lineChart>
      <c:lineChart>
        <c:grouping val="standard"/>
        <c:varyColors val="0"/>
        <c:ser>
          <c:idx val="1"/>
          <c:order val="1"/>
          <c:tx>
            <c:strRef>
              <c:f>'Tab2'!$L$70</c:f>
              <c:strCache>
                <c:ptCount val="1"/>
                <c:pt idx="0">
                  <c:v>Antall</c:v>
                </c:pt>
              </c:strCache>
            </c:strRef>
          </c:tx>
          <c:spPr>
            <a:ln w="25400"/>
          </c:spPr>
          <c:marker>
            <c:symbol val="none"/>
          </c:marker>
          <c:val>
            <c:numRef>
              <c:f>'Tab2'!$R$103:$R$213</c:f>
              <c:numCache>
                <c:formatCode>#,##0</c:formatCode>
                <c:ptCount val="111"/>
                <c:pt idx="0">
                  <c:v>9077</c:v>
                </c:pt>
                <c:pt idx="1">
                  <c:v>12525</c:v>
                </c:pt>
                <c:pt idx="2">
                  <c:v>14126</c:v>
                </c:pt>
                <c:pt idx="3">
                  <c:v>13048</c:v>
                </c:pt>
                <c:pt idx="4">
                  <c:v>11030</c:v>
                </c:pt>
                <c:pt idx="5">
                  <c:v>13252</c:v>
                </c:pt>
                <c:pt idx="6">
                  <c:v>15450</c:v>
                </c:pt>
                <c:pt idx="7">
                  <c:v>12309</c:v>
                </c:pt>
                <c:pt idx="8">
                  <c:v>10571</c:v>
                </c:pt>
                <c:pt idx="9">
                  <c:v>12919</c:v>
                </c:pt>
                <c:pt idx="10">
                  <c:v>14800</c:v>
                </c:pt>
                <c:pt idx="11">
                  <c:v>11391</c:v>
                </c:pt>
                <c:pt idx="12">
                  <c:v>8795</c:v>
                </c:pt>
                <c:pt idx="13">
                  <c:v>13449</c:v>
                </c:pt>
                <c:pt idx="14">
                  <c:v>15669</c:v>
                </c:pt>
                <c:pt idx="15">
                  <c:v>14139</c:v>
                </c:pt>
                <c:pt idx="16">
                  <c:v>11007</c:v>
                </c:pt>
                <c:pt idx="17">
                  <c:v>13915</c:v>
                </c:pt>
                <c:pt idx="18">
                  <c:v>17436</c:v>
                </c:pt>
                <c:pt idx="19">
                  <c:v>15130</c:v>
                </c:pt>
                <c:pt idx="20">
                  <c:v>11785</c:v>
                </c:pt>
                <c:pt idx="21">
                  <c:v>14642</c:v>
                </c:pt>
                <c:pt idx="22">
                  <c:v>17198</c:v>
                </c:pt>
                <c:pt idx="23">
                  <c:v>13841</c:v>
                </c:pt>
                <c:pt idx="24">
                  <c:v>10571</c:v>
                </c:pt>
                <c:pt idx="25">
                  <c:v>14837</c:v>
                </c:pt>
                <c:pt idx="26">
                  <c:v>15670</c:v>
                </c:pt>
                <c:pt idx="27">
                  <c:v>13087</c:v>
                </c:pt>
                <c:pt idx="28">
                  <c:v>11958</c:v>
                </c:pt>
                <c:pt idx="29">
                  <c:v>15060</c:v>
                </c:pt>
                <c:pt idx="30">
                  <c:v>17098</c:v>
                </c:pt>
                <c:pt idx="31">
                  <c:v>14647</c:v>
                </c:pt>
                <c:pt idx="32">
                  <c:v>11175</c:v>
                </c:pt>
                <c:pt idx="33">
                  <c:v>12451</c:v>
                </c:pt>
                <c:pt idx="34">
                  <c:v>18817</c:v>
                </c:pt>
                <c:pt idx="35">
                  <c:v>13692</c:v>
                </c:pt>
                <c:pt idx="36">
                  <c:v>12421</c:v>
                </c:pt>
                <c:pt idx="37">
                  <c:v>13950</c:v>
                </c:pt>
                <c:pt idx="38">
                  <c:v>14850</c:v>
                </c:pt>
                <c:pt idx="39">
                  <c:v>13212</c:v>
                </c:pt>
                <c:pt idx="40">
                  <c:v>10538</c:v>
                </c:pt>
                <c:pt idx="41">
                  <c:v>11841</c:v>
                </c:pt>
                <c:pt idx="42">
                  <c:v>13534</c:v>
                </c:pt>
                <c:pt idx="43">
                  <c:v>12341</c:v>
                </c:pt>
                <c:pt idx="44">
                  <c:v>9371</c:v>
                </c:pt>
                <c:pt idx="45">
                  <c:v>14749</c:v>
                </c:pt>
                <c:pt idx="46">
                  <c:v>14722</c:v>
                </c:pt>
                <c:pt idx="47">
                  <c:v>14689</c:v>
                </c:pt>
                <c:pt idx="48">
                  <c:v>10626</c:v>
                </c:pt>
                <c:pt idx="49">
                  <c:v>12719</c:v>
                </c:pt>
                <c:pt idx="50">
                  <c:v>13690</c:v>
                </c:pt>
                <c:pt idx="51">
                  <c:v>11607</c:v>
                </c:pt>
                <c:pt idx="52">
                  <c:v>8913</c:v>
                </c:pt>
                <c:pt idx="53">
                  <c:v>10802</c:v>
                </c:pt>
                <c:pt idx="54">
                  <c:v>11365</c:v>
                </c:pt>
                <c:pt idx="55">
                  <c:v>9276</c:v>
                </c:pt>
                <c:pt idx="56">
                  <c:v>7498</c:v>
                </c:pt>
                <c:pt idx="57">
                  <c:v>11610</c:v>
                </c:pt>
                <c:pt idx="58">
                  <c:v>8742</c:v>
                </c:pt>
                <c:pt idx="59">
                  <c:v>11407</c:v>
                </c:pt>
                <c:pt idx="60">
                  <c:v>7106</c:v>
                </c:pt>
                <c:pt idx="61">
                  <c:v>9193</c:v>
                </c:pt>
                <c:pt idx="62">
                  <c:v>10840</c:v>
                </c:pt>
                <c:pt idx="63">
                  <c:v>9520</c:v>
                </c:pt>
                <c:pt idx="64">
                  <c:v>8112</c:v>
                </c:pt>
                <c:pt idx="65">
                  <c:v>10608</c:v>
                </c:pt>
                <c:pt idx="66">
                  <c:v>10319</c:v>
                </c:pt>
                <c:pt idx="67">
                  <c:v>8645</c:v>
                </c:pt>
                <c:pt idx="68">
                  <c:v>7939</c:v>
                </c:pt>
                <c:pt idx="69">
                  <c:v>10207</c:v>
                </c:pt>
                <c:pt idx="70">
                  <c:v>11007</c:v>
                </c:pt>
                <c:pt idx="71">
                  <c:v>10145</c:v>
                </c:pt>
                <c:pt idx="72">
                  <c:v>8619</c:v>
                </c:pt>
                <c:pt idx="73">
                  <c:v>11296</c:v>
                </c:pt>
                <c:pt idx="74">
                  <c:v>11383</c:v>
                </c:pt>
                <c:pt idx="75">
                  <c:v>10409</c:v>
                </c:pt>
                <c:pt idx="76">
                  <c:v>7227</c:v>
                </c:pt>
                <c:pt idx="77">
                  <c:v>10696</c:v>
                </c:pt>
                <c:pt idx="78">
                  <c:v>11532</c:v>
                </c:pt>
                <c:pt idx="79">
                  <c:v>9548</c:v>
                </c:pt>
                <c:pt idx="80">
                  <c:v>6732</c:v>
                </c:pt>
                <c:pt idx="81">
                  <c:v>10017</c:v>
                </c:pt>
                <c:pt idx="82">
                  <c:v>10339</c:v>
                </c:pt>
                <c:pt idx="83">
                  <c:v>9645.4866500746648</c:v>
                </c:pt>
                <c:pt idx="84">
                  <c:v>7564.3716625186662</c:v>
                </c:pt>
                <c:pt idx="85">
                  <c:v>10002.628337481334</c:v>
                </c:pt>
                <c:pt idx="86" formatCode="0">
                  <c:v>10877.781177428844</c:v>
                </c:pt>
                <c:pt idx="87" formatCode="0">
                  <c:v>8525.2188225711561</c:v>
                </c:pt>
                <c:pt idx="88" formatCode="0">
                  <c:v>5958.3970505452735</c:v>
                </c:pt>
                <c:pt idx="89" formatCode="0">
                  <c:v>10154.602949454726</c:v>
                </c:pt>
                <c:pt idx="90" formatCode="0">
                  <c:v>11786.02326086957</c:v>
                </c:pt>
                <c:pt idx="91" formatCode="0">
                  <c:v>11621.97673913043</c:v>
                </c:pt>
                <c:pt idx="92" formatCode="0">
                  <c:v>8004</c:v>
                </c:pt>
                <c:pt idx="93" formatCode="0">
                  <c:v>11579</c:v>
                </c:pt>
                <c:pt idx="94" formatCode="0">
                  <c:v>11684</c:v>
                </c:pt>
                <c:pt idx="95" formatCode="0">
                  <c:v>9690</c:v>
                </c:pt>
                <c:pt idx="96" formatCode="0">
                  <c:v>7135</c:v>
                </c:pt>
                <c:pt idx="97" formatCode="0">
                  <c:v>9988.3050621118018</c:v>
                </c:pt>
                <c:pt idx="98" formatCode="0">
                  <c:v>10649.652531055901</c:v>
                </c:pt>
                <c:pt idx="99" formatCode="0">
                  <c:v>9159.825978260902</c:v>
                </c:pt>
                <c:pt idx="100" formatCode="0">
                  <c:v>6340.7358571430004</c:v>
                </c:pt>
                <c:pt idx="101" formatCode="0">
                  <c:v>10107.700518632999</c:v>
                </c:pt>
                <c:pt idx="102" formatCode="0">
                  <c:v>10325.156290487997</c:v>
                </c:pt>
                <c:pt idx="103" formatCode="0">
                  <c:v>7957.0224983410008</c:v>
                </c:pt>
                <c:pt idx="104" formatCode="0">
                  <c:v>6121.3819215860003</c:v>
                </c:pt>
                <c:pt idx="105" formatCode="0">
                  <c:v>7194.9193664359991</c:v>
                </c:pt>
                <c:pt idx="106" formatCode="0">
                  <c:v>8727</c:v>
                </c:pt>
                <c:pt idx="107" formatCode="0">
                  <c:v>7520</c:v>
                </c:pt>
                <c:pt idx="108" formatCode="0">
                  <c:v>5433</c:v>
                </c:pt>
                <c:pt idx="109" formatCode="0">
                  <c:v>9319.6839472049996</c:v>
                </c:pt>
                <c:pt idx="110" formatCode="0">
                  <c:v>9726.2967189440697</c:v>
                </c:pt>
              </c:numCache>
            </c:numRef>
          </c:val>
          <c:smooth val="0"/>
          <c:extLst>
            <c:ext xmlns:c16="http://schemas.microsoft.com/office/drawing/2014/chart" uri="{C3380CC4-5D6E-409C-BE32-E72D297353CC}">
              <c16:uniqueId val="{00000001-A9C2-44F7-A0C1-9433E210C6CC}"/>
            </c:ext>
          </c:extLst>
        </c:ser>
        <c:dLbls>
          <c:showLegendKey val="0"/>
          <c:showVal val="0"/>
          <c:showCatName val="0"/>
          <c:showSerName val="0"/>
          <c:showPercent val="0"/>
          <c:showBubbleSize val="0"/>
        </c:dLbls>
        <c:upDownBars>
          <c:gapWidth val="150"/>
          <c:upBars/>
          <c:downBars/>
        </c:upDownBars>
        <c:marker val="1"/>
        <c:smooth val="0"/>
        <c:axId val="270851072"/>
        <c:axId val="270849152"/>
      </c:lineChart>
      <c:catAx>
        <c:axId val="270837248"/>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nb-NO"/>
          </a:p>
        </c:txPr>
        <c:crossAx val="270838784"/>
        <c:crosses val="autoZero"/>
        <c:auto val="1"/>
        <c:lblAlgn val="ctr"/>
        <c:lblOffset val="100"/>
        <c:tickLblSkip val="1"/>
        <c:tickMarkSkip val="4"/>
        <c:noMultiLvlLbl val="0"/>
      </c:catAx>
      <c:valAx>
        <c:axId val="270838784"/>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837248"/>
        <c:crosses val="autoZero"/>
        <c:crossBetween val="between"/>
      </c:valAx>
      <c:valAx>
        <c:axId val="270849152"/>
        <c:scaling>
          <c:orientation val="minMax"/>
        </c:scaling>
        <c:delete val="0"/>
        <c:axPos val="r"/>
        <c:title>
          <c:tx>
            <c:rich>
              <a:bodyPr rot="-5400000" vert="horz"/>
              <a:lstStyle/>
              <a:p>
                <a:pPr>
                  <a:defRPr/>
                </a:pPr>
                <a:r>
                  <a:rPr lang="en-US"/>
                  <a:t>Antall meldte innbrudd/tyveri/ran</a:t>
                </a:r>
              </a:p>
            </c:rich>
          </c:tx>
          <c:overlay val="0"/>
        </c:title>
        <c:numFmt formatCode="#,##0" sourceLinked="1"/>
        <c:majorTickMark val="out"/>
        <c:minorTickMark val="none"/>
        <c:tickLblPos val="nextTo"/>
        <c:crossAx val="270851072"/>
        <c:crosses val="max"/>
        <c:crossBetween val="between"/>
      </c:valAx>
      <c:catAx>
        <c:axId val="270851072"/>
        <c:scaling>
          <c:orientation val="minMax"/>
        </c:scaling>
        <c:delete val="1"/>
        <c:axPos val="b"/>
        <c:majorTickMark val="out"/>
        <c:minorTickMark val="none"/>
        <c:tickLblPos val="none"/>
        <c:crossAx val="270849152"/>
        <c:crosses val="autoZero"/>
        <c:auto val="0"/>
        <c:lblAlgn val="ctr"/>
        <c:lblOffset val="100"/>
        <c:noMultiLvlLbl val="0"/>
      </c:catAx>
    </c:plotArea>
    <c:legend>
      <c:legendPos val="r"/>
      <c:layout>
        <c:manualLayout>
          <c:xMode val="edge"/>
          <c:yMode val="edge"/>
          <c:x val="0.54813905737861102"/>
          <c:y val="5.4665550527114352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114671163575038"/>
          <c:y val="0.10875331564986535"/>
          <c:w val="0.50084317032040471"/>
          <c:h val="0.78779840848810034"/>
        </c:manualLayout>
      </c:layout>
      <c:pieChart>
        <c:varyColors val="1"/>
        <c:ser>
          <c:idx val="0"/>
          <c:order val="0"/>
          <c:spPr>
            <a:solidFill>
              <a:srgbClr val="FFFFCC"/>
            </a:solidFill>
            <a:ln w="12700">
              <a:solidFill>
                <a:srgbClr val="000000"/>
              </a:solidFill>
              <a:prstDash val="solid"/>
            </a:ln>
          </c:spPr>
          <c:dPt>
            <c:idx val="0"/>
            <c:bubble3D val="0"/>
            <c:spPr>
              <a:pattFill prst="solidDmnd">
                <a:fgClr>
                  <a:srgbClr val="9999FF"/>
                </a:fgClr>
                <a:bgClr>
                  <a:srgbClr val="FFFFFF"/>
                </a:bgClr>
              </a:pattFill>
              <a:ln w="12700">
                <a:solidFill>
                  <a:srgbClr val="000000"/>
                </a:solidFill>
                <a:prstDash val="solid"/>
              </a:ln>
            </c:spPr>
            <c:extLst>
              <c:ext xmlns:c16="http://schemas.microsoft.com/office/drawing/2014/chart" uri="{C3380CC4-5D6E-409C-BE32-E72D297353CC}">
                <c16:uniqueId val="{00000000-FBFF-464F-9449-14EEA586AEC1}"/>
              </c:ext>
            </c:extLst>
          </c:dPt>
          <c:dPt>
            <c:idx val="1"/>
            <c:bubble3D val="0"/>
            <c:spPr>
              <a:solidFill>
                <a:srgbClr val="CCFFFF"/>
              </a:solidFill>
              <a:ln w="12700">
                <a:solidFill>
                  <a:srgbClr val="000000"/>
                </a:solidFill>
                <a:prstDash val="solid"/>
              </a:ln>
            </c:spPr>
            <c:extLst>
              <c:ext xmlns:c16="http://schemas.microsoft.com/office/drawing/2014/chart" uri="{C3380CC4-5D6E-409C-BE32-E72D297353CC}">
                <c16:uniqueId val="{00000001-FBFF-464F-9449-14EEA586AEC1}"/>
              </c:ext>
            </c:extLst>
          </c:dPt>
          <c:dPt>
            <c:idx val="2"/>
            <c:bubble3D val="0"/>
            <c:spPr>
              <a:solidFill>
                <a:srgbClr val="FFFFFF"/>
              </a:solidFill>
              <a:ln w="12700">
                <a:solidFill>
                  <a:srgbClr val="000000"/>
                </a:solidFill>
                <a:prstDash val="solid"/>
              </a:ln>
            </c:spPr>
            <c:extLst>
              <c:ext xmlns:c16="http://schemas.microsoft.com/office/drawing/2014/chart" uri="{C3380CC4-5D6E-409C-BE32-E72D297353CC}">
                <c16:uniqueId val="{00000002-FBFF-464F-9449-14EEA586AEC1}"/>
              </c:ext>
            </c:extLst>
          </c:dPt>
          <c:dPt>
            <c:idx val="3"/>
            <c:bubble3D val="0"/>
            <c:spPr>
              <a:pattFill prst="wdUpDiag">
                <a:fgClr>
                  <a:srgbClr val="800000"/>
                </a:fgClr>
                <a:bgClr>
                  <a:srgbClr val="FFFFFF"/>
                </a:bgClr>
              </a:pattFill>
              <a:ln w="12700">
                <a:solidFill>
                  <a:srgbClr val="000000"/>
                </a:solidFill>
                <a:prstDash val="solid"/>
              </a:ln>
            </c:spPr>
            <c:extLst>
              <c:ext xmlns:c16="http://schemas.microsoft.com/office/drawing/2014/chart" uri="{C3380CC4-5D6E-409C-BE32-E72D297353CC}">
                <c16:uniqueId val="{00000003-FBFF-464F-9449-14EEA586AEC1}"/>
              </c:ext>
            </c:extLst>
          </c:dPt>
          <c:dLbls>
            <c:dLbl>
              <c:idx val="1"/>
              <c:layout>
                <c:manualLayout>
                  <c:x val="1.3705747641758177E-2"/>
                  <c:y val="-3.681824196645469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BFF-464F-9449-14EEA586AEC1}"/>
                </c:ext>
              </c:extLst>
            </c:dLbl>
            <c:dLbl>
              <c:idx val="2"/>
              <c:layout>
                <c:manualLayout>
                  <c:x val="5.2092856557194103E-3"/>
                  <c:y val="9.3601521919766568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BFF-464F-9449-14EEA586AEC1}"/>
                </c:ext>
              </c:extLst>
            </c:dLbl>
            <c:numFmt formatCode="0.0\ %" sourceLinked="0"/>
            <c:spPr>
              <a:noFill/>
              <a:ln w="25400">
                <a:noFill/>
              </a:ln>
            </c:spPr>
            <c:txPr>
              <a:bodyPr/>
              <a:lstStyle/>
              <a:p>
                <a:pPr>
                  <a:defRPr sz="950" b="0" i="0" u="none" strike="noStrike" baseline="0">
                    <a:solidFill>
                      <a:srgbClr val="000000"/>
                    </a:solidFill>
                    <a:latin typeface="Arial"/>
                    <a:ea typeface="Arial"/>
                    <a:cs typeface="Arial"/>
                  </a:defRPr>
                </a:pPr>
                <a:endParaRPr lang="nb-NO"/>
              </a:p>
            </c:txPr>
            <c:showLegendKey val="0"/>
            <c:showVal val="0"/>
            <c:showCatName val="1"/>
            <c:showSerName val="0"/>
            <c:showPercent val="1"/>
            <c:showBubbleSize val="0"/>
            <c:showLeaderLines val="0"/>
            <c:extLst>
              <c:ext xmlns:c15="http://schemas.microsoft.com/office/drawing/2012/chart" uri="{CE6537A1-D6FC-4f65-9D91-7224C49458BB}"/>
            </c:extLst>
          </c:dLbls>
          <c:cat>
            <c:strRef>
              <c:f>'Tab2'!$V$74:$V$78</c:f>
              <c:strCache>
                <c:ptCount val="5"/>
                <c:pt idx="0">
                  <c:v>Tyveri</c:v>
                </c:pt>
                <c:pt idx="1">
                  <c:v>Glass</c:v>
                </c:pt>
                <c:pt idx="2">
                  <c:v>Brann</c:v>
                </c:pt>
                <c:pt idx="3">
                  <c:v>Person</c:v>
                </c:pt>
                <c:pt idx="4">
                  <c:v>Materiell</c:v>
                </c:pt>
              </c:strCache>
            </c:strRef>
          </c:cat>
          <c:val>
            <c:numRef>
              <c:f>'Tab2'!$Z$74:$Z$78</c:f>
              <c:numCache>
                <c:formatCode>0.0</c:formatCode>
                <c:ptCount val="5"/>
                <c:pt idx="0">
                  <c:v>153.67243472173629</c:v>
                </c:pt>
                <c:pt idx="1">
                  <c:v>1237.7229174386357</c:v>
                </c:pt>
                <c:pt idx="2">
                  <c:v>214.20772874950049</c:v>
                </c:pt>
                <c:pt idx="3">
                  <c:v>911.72217168831219</c:v>
                </c:pt>
                <c:pt idx="4" formatCode="0.000">
                  <c:v>8800.2976186863307</c:v>
                </c:pt>
              </c:numCache>
            </c:numRef>
          </c:val>
          <c:extLst>
            <c:ext xmlns:c16="http://schemas.microsoft.com/office/drawing/2014/chart" uri="{C3380CC4-5D6E-409C-BE32-E72D297353CC}">
              <c16:uniqueId val="{00000004-FBFF-464F-9449-14EEA586AEC1}"/>
            </c:ext>
          </c:extLst>
        </c:ser>
        <c:dLbls>
          <c:showLegendKey val="0"/>
          <c:showVal val="0"/>
          <c:showCatName val="1"/>
          <c:showSerName val="0"/>
          <c:showPercent val="1"/>
          <c:showBubbleSize val="0"/>
          <c:showLeaderLines val="0"/>
        </c:dLbls>
        <c:firstSliceAng val="50"/>
      </c:pieChart>
      <c:spPr>
        <a:noFill/>
        <a:ln w="25400">
          <a:noFill/>
        </a:ln>
      </c:spPr>
    </c:plotArea>
    <c:plotVisOnly val="1"/>
    <c:dispBlanksAs val="zero"/>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774193548387247E-2"/>
          <c:y val="5.0264680123284874E-2"/>
          <c:w val="0.89081883722845134"/>
          <c:h val="0.73545163548809867"/>
        </c:manualLayout>
      </c:layout>
      <c:barChart>
        <c:barDir val="col"/>
        <c:grouping val="clustered"/>
        <c:varyColors val="0"/>
        <c:ser>
          <c:idx val="0"/>
          <c:order val="0"/>
          <c:tx>
            <c:strRef>
              <c:f>'Tab2'!$W$82</c:f>
              <c:strCache>
                <c:ptCount val="1"/>
                <c:pt idx="0">
                  <c:v>2016</c:v>
                </c:pt>
              </c:strCache>
            </c:strRef>
          </c:tx>
          <c:spPr>
            <a:pattFill prst="solidDmnd">
              <a:fgClr>
                <a:srgbClr val="9999FF"/>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'Tab2'!$W$83:$W$92</c:f>
              <c:numCache>
                <c:formatCode>0.0</c:formatCode>
                <c:ptCount val="10"/>
                <c:pt idx="0">
                  <c:v>5586.4400612353575</c:v>
                </c:pt>
                <c:pt idx="1">
                  <c:v>4034.6048600896183</c:v>
                </c:pt>
                <c:pt idx="2">
                  <c:v>1493.2386639074216</c:v>
                </c:pt>
                <c:pt idx="3">
                  <c:v>1556.1120566629634</c:v>
                </c:pt>
                <c:pt idx="4">
                  <c:v>397.93455426671096</c:v>
                </c:pt>
                <c:pt idx="5">
                  <c:v>1725.9445114489031</c:v>
                </c:pt>
                <c:pt idx="6">
                  <c:v>368.91039147919628</c:v>
                </c:pt>
                <c:pt idx="7">
                  <c:v>866.96305299337291</c:v>
                </c:pt>
                <c:pt idx="8">
                  <c:v>107.1265294507206</c:v>
                </c:pt>
                <c:pt idx="9">
                  <c:v>559.91563653964533</c:v>
                </c:pt>
              </c:numCache>
            </c:numRef>
          </c:val>
          <c:extLst>
            <c:ext xmlns:c16="http://schemas.microsoft.com/office/drawing/2014/chart" uri="{C3380CC4-5D6E-409C-BE32-E72D297353CC}">
              <c16:uniqueId val="{00000000-04B5-4D36-84E2-1FB290F926FF}"/>
            </c:ext>
          </c:extLst>
        </c:ser>
        <c:ser>
          <c:idx val="1"/>
          <c:order val="1"/>
          <c:tx>
            <c:strRef>
              <c:f>'Tab2'!$X$82</c:f>
              <c:strCache>
                <c:ptCount val="1"/>
                <c:pt idx="0">
                  <c:v>2017</c:v>
                </c:pt>
              </c:strCache>
            </c:strRef>
          </c:tx>
          <c:spPr>
            <a:pattFill prst="wdUpDiag">
              <a:fgClr>
                <a:srgbClr val="000000"/>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'Tab2'!$X$83:$X$92</c:f>
              <c:numCache>
                <c:formatCode>0.0</c:formatCode>
                <c:ptCount val="10"/>
                <c:pt idx="0">
                  <c:v>5230.8983176788379</c:v>
                </c:pt>
                <c:pt idx="1">
                  <c:v>3900.5517770320093</c:v>
                </c:pt>
                <c:pt idx="2">
                  <c:v>1415.3484573075712</c:v>
                </c:pt>
                <c:pt idx="3">
                  <c:v>1387.3754178750219</c:v>
                </c:pt>
                <c:pt idx="4">
                  <c:v>401.15314912061172</c:v>
                </c:pt>
                <c:pt idx="5">
                  <c:v>1637.6368887491637</c:v>
                </c:pt>
                <c:pt idx="6">
                  <c:v>372.4964278198899</c:v>
                </c:pt>
                <c:pt idx="7">
                  <c:v>679.31885226898271</c:v>
                </c:pt>
                <c:pt idx="8">
                  <c:v>89.789844258129705</c:v>
                </c:pt>
                <c:pt idx="9">
                  <c:v>702.4559895928378</c:v>
                </c:pt>
              </c:numCache>
            </c:numRef>
          </c:val>
          <c:extLst>
            <c:ext xmlns:c16="http://schemas.microsoft.com/office/drawing/2014/chart" uri="{C3380CC4-5D6E-409C-BE32-E72D297353CC}">
              <c16:uniqueId val="{00000001-04B5-4D36-84E2-1FB290F926FF}"/>
            </c:ext>
          </c:extLst>
        </c:ser>
        <c:ser>
          <c:idx val="2"/>
          <c:order val="2"/>
          <c:tx>
            <c:strRef>
              <c:f>'Tab2'!$Y$82</c:f>
              <c:strCache>
                <c:ptCount val="1"/>
                <c:pt idx="0">
                  <c:v>2018</c:v>
                </c:pt>
              </c:strCache>
            </c:strRef>
          </c:tx>
          <c:spPr>
            <a:solidFill>
              <a:srgbClr val="993366"/>
            </a:solid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'Tab2'!$Y$83:$Y$92</c:f>
              <c:numCache>
                <c:formatCode>0.0</c:formatCode>
                <c:ptCount val="10"/>
                <c:pt idx="0">
                  <c:v>6749.2810834624852</c:v>
                </c:pt>
                <c:pt idx="1">
                  <c:v>5286.9828060371356</c:v>
                </c:pt>
                <c:pt idx="2">
                  <c:v>1363.7842889789267</c:v>
                </c:pt>
                <c:pt idx="3">
                  <c:v>1305.4693500324836</c:v>
                </c:pt>
                <c:pt idx="4">
                  <c:v>416.25019085927642</c:v>
                </c:pt>
                <c:pt idx="5">
                  <c:v>1739.1033802745555</c:v>
                </c:pt>
                <c:pt idx="6">
                  <c:v>459.96772914450486</c:v>
                </c:pt>
                <c:pt idx="7">
                  <c:v>757.47810499964385</c:v>
                </c:pt>
                <c:pt idx="8">
                  <c:v>149.75039763065843</c:v>
                </c:pt>
                <c:pt idx="9">
                  <c:v>636.40258000706467</c:v>
                </c:pt>
              </c:numCache>
            </c:numRef>
          </c:val>
          <c:extLst>
            <c:ext xmlns:c16="http://schemas.microsoft.com/office/drawing/2014/chart" uri="{C3380CC4-5D6E-409C-BE32-E72D297353CC}">
              <c16:uniqueId val="{00000002-04B5-4D36-84E2-1FB290F926FF}"/>
            </c:ext>
          </c:extLst>
        </c:ser>
        <c:dLbls>
          <c:showLegendKey val="0"/>
          <c:showVal val="0"/>
          <c:showCatName val="0"/>
          <c:showSerName val="0"/>
          <c:showPercent val="0"/>
          <c:showBubbleSize val="0"/>
        </c:dLbls>
        <c:gapWidth val="150"/>
        <c:axId val="270552448"/>
        <c:axId val="270562432"/>
      </c:barChart>
      <c:catAx>
        <c:axId val="270552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nb-NO"/>
          </a:p>
        </c:txPr>
        <c:crossAx val="270562432"/>
        <c:crosses val="autoZero"/>
        <c:auto val="1"/>
        <c:lblAlgn val="ctr"/>
        <c:lblOffset val="100"/>
        <c:tickLblSkip val="1"/>
        <c:tickMarkSkip val="1"/>
        <c:noMultiLvlLbl val="0"/>
      </c:catAx>
      <c:valAx>
        <c:axId val="270562432"/>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9.4876660341558748E-3"/>
              <c:y val="0.3174611506894973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552448"/>
        <c:crosses val="autoZero"/>
        <c:crossBetween val="between"/>
      </c:valAx>
      <c:spPr>
        <a:noFill/>
        <a:ln w="12700">
          <a:solidFill>
            <a:srgbClr val="808080"/>
          </a:solidFill>
          <a:prstDash val="solid"/>
        </a:ln>
      </c:spPr>
    </c:plotArea>
    <c:legend>
      <c:legendPos val="r"/>
      <c:layout>
        <c:manualLayout>
          <c:xMode val="edge"/>
          <c:yMode val="edge"/>
          <c:x val="0.62998102466793171"/>
          <c:y val="0.14021191795470009"/>
          <c:w val="0.27893738140417457"/>
          <c:h val="0.1375664153091979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9552276098459"/>
          <c:y val="5.956121969475487E-2"/>
          <c:w val="0.83783931207652318"/>
          <c:h val="0.81504826950719256"/>
        </c:manualLayout>
      </c:layout>
      <c:barChart>
        <c:barDir val="col"/>
        <c:grouping val="clustered"/>
        <c:varyColors val="0"/>
        <c:ser>
          <c:idx val="0"/>
          <c:order val="0"/>
          <c:tx>
            <c:strRef>
              <c:f>'Tab2'!$W$100</c:f>
              <c:strCache>
                <c:ptCount val="1"/>
                <c:pt idx="0">
                  <c:v>2016</c:v>
                </c:pt>
              </c:strCache>
            </c:strRef>
          </c:tx>
          <c:spPr>
            <a:pattFill prst="solidDmnd">
              <a:fgClr>
                <a:srgbClr val="9999FF"/>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'Tab2'!$W$101:$W$104</c:f>
              <c:numCache>
                <c:formatCode>#,##0</c:formatCode>
                <c:ptCount val="4"/>
                <c:pt idx="0">
                  <c:v>21734.710147123653</c:v>
                </c:pt>
                <c:pt idx="1">
                  <c:v>65032.45872217897</c:v>
                </c:pt>
                <c:pt idx="2">
                  <c:v>26773.592666263976</c:v>
                </c:pt>
                <c:pt idx="3" formatCode="_ * #\ ##0_ ;_ * \-#\ ##0_ ;_ * &quot;-&quot;??_ ;_ @_ ">
                  <c:v>171109.09748597274</c:v>
                </c:pt>
              </c:numCache>
            </c:numRef>
          </c:val>
          <c:extLst>
            <c:ext xmlns:c16="http://schemas.microsoft.com/office/drawing/2014/chart" uri="{C3380CC4-5D6E-409C-BE32-E72D297353CC}">
              <c16:uniqueId val="{00000000-08CC-4A25-8D7C-9031449DBD0D}"/>
            </c:ext>
          </c:extLst>
        </c:ser>
        <c:ser>
          <c:idx val="1"/>
          <c:order val="1"/>
          <c:tx>
            <c:strRef>
              <c:f>'Tab2'!$X$100</c:f>
              <c:strCache>
                <c:ptCount val="1"/>
                <c:pt idx="0">
                  <c:v>2017</c:v>
                </c:pt>
              </c:strCache>
            </c:strRef>
          </c:tx>
          <c:spPr>
            <a:pattFill prst="wdUpDiag">
              <a:fgClr>
                <a:srgbClr val="000000"/>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'Tab2'!$X$101:$X$104</c:f>
              <c:numCache>
                <c:formatCode>#,##0</c:formatCode>
                <c:ptCount val="4"/>
                <c:pt idx="0">
                  <c:v>21024.265041689487</c:v>
                </c:pt>
                <c:pt idx="1">
                  <c:v>55947.099327646909</c:v>
                </c:pt>
                <c:pt idx="2">
                  <c:v>22044.151373225799</c:v>
                </c:pt>
                <c:pt idx="3" formatCode="_ * #\ ##0_ ;_ * \-#\ ##0_ ;_ * &quot;-&quot;??_ ;_ @_ ">
                  <c:v>164180.7065785061</c:v>
                </c:pt>
              </c:numCache>
            </c:numRef>
          </c:val>
          <c:extLst>
            <c:ext xmlns:c16="http://schemas.microsoft.com/office/drawing/2014/chart" uri="{C3380CC4-5D6E-409C-BE32-E72D297353CC}">
              <c16:uniqueId val="{00000001-08CC-4A25-8D7C-9031449DBD0D}"/>
            </c:ext>
          </c:extLst>
        </c:ser>
        <c:ser>
          <c:idx val="2"/>
          <c:order val="2"/>
          <c:tx>
            <c:strRef>
              <c:f>'Tab2'!$Y$100</c:f>
              <c:strCache>
                <c:ptCount val="1"/>
                <c:pt idx="0">
                  <c:v>2018</c:v>
                </c:pt>
              </c:strCache>
            </c:strRef>
          </c:tx>
          <c:spPr>
            <a:solidFill>
              <a:srgbClr val="993366"/>
            </a:solid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'Tab2'!$Y$101:$Y$104</c:f>
              <c:numCache>
                <c:formatCode>#,##0</c:formatCode>
                <c:ptCount val="4"/>
                <c:pt idx="0">
                  <c:v>22519.979302173913</c:v>
                </c:pt>
                <c:pt idx="1">
                  <c:v>68720.092901185766</c:v>
                </c:pt>
                <c:pt idx="2">
                  <c:v>24478.980666149069</c:v>
                </c:pt>
                <c:pt idx="3" formatCode="_ * #\ ##0_ ;_ * \-#\ ##0_ ;_ * &quot;-&quot;??_ ;_ @_ ">
                  <c:v>220900.12578111916</c:v>
                </c:pt>
              </c:numCache>
            </c:numRef>
          </c:val>
          <c:extLst>
            <c:ext xmlns:c16="http://schemas.microsoft.com/office/drawing/2014/chart" uri="{C3380CC4-5D6E-409C-BE32-E72D297353CC}">
              <c16:uniqueId val="{00000002-08CC-4A25-8D7C-9031449DBD0D}"/>
            </c:ext>
          </c:extLst>
        </c:ser>
        <c:dLbls>
          <c:showLegendKey val="0"/>
          <c:showVal val="0"/>
          <c:showCatName val="0"/>
          <c:showSerName val="0"/>
          <c:showPercent val="0"/>
          <c:showBubbleSize val="0"/>
        </c:dLbls>
        <c:gapWidth val="150"/>
        <c:axId val="269555968"/>
        <c:axId val="269565952"/>
      </c:barChart>
      <c:catAx>
        <c:axId val="2695559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565952"/>
        <c:crosses val="autoZero"/>
        <c:auto val="1"/>
        <c:lblAlgn val="ctr"/>
        <c:lblOffset val="100"/>
        <c:tickLblSkip val="1"/>
        <c:tickMarkSkip val="1"/>
        <c:noMultiLvlLbl val="0"/>
      </c:catAx>
      <c:valAx>
        <c:axId val="269565952"/>
        <c:scaling>
          <c:orientation val="minMax"/>
        </c:scaling>
        <c:delete val="0"/>
        <c:axPos val="l"/>
        <c:majorGridlines>
          <c:spPr>
            <a:ln w="3175">
              <a:solidFill>
                <a:srgbClr val="00000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555968"/>
        <c:crosses val="autoZero"/>
        <c:crossBetween val="between"/>
      </c:valAx>
      <c:spPr>
        <a:noFill/>
        <a:ln w="12700">
          <a:solidFill>
            <a:srgbClr val="808080"/>
          </a:solidFill>
          <a:prstDash val="solid"/>
        </a:ln>
      </c:spPr>
    </c:plotArea>
    <c:legend>
      <c:legendPos val="r"/>
      <c:layout>
        <c:manualLayout>
          <c:xMode val="edge"/>
          <c:yMode val="edge"/>
          <c:x val="0.51411505994183149"/>
          <c:y val="7.3111766103988021E-2"/>
          <c:w val="0.26486524319596133"/>
          <c:h val="0.1630097335011849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97690941385436"/>
          <c:y val="5.0131990708472525E-2"/>
          <c:w val="0.83303730017761957"/>
          <c:h val="0.80211185133556062"/>
        </c:manualLayout>
      </c:layout>
      <c:barChart>
        <c:barDir val="col"/>
        <c:grouping val="clustered"/>
        <c:varyColors val="0"/>
        <c:ser>
          <c:idx val="0"/>
          <c:order val="0"/>
          <c:tx>
            <c:strRef>
              <c:f>'Tab2'!$W$111</c:f>
              <c:strCache>
                <c:ptCount val="1"/>
                <c:pt idx="0">
                  <c:v>2016</c:v>
                </c:pt>
              </c:strCache>
            </c:strRef>
          </c:tx>
          <c:spPr>
            <a:pattFill prst="solidDmnd">
              <a:fgClr>
                <a:srgbClr val="9999FF"/>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'Tab2'!$W$112:$W$115</c:f>
              <c:numCache>
                <c:formatCode>#\ ##0.0</c:formatCode>
                <c:ptCount val="4"/>
                <c:pt idx="0">
                  <c:v>3751.1486136617723</c:v>
                </c:pt>
                <c:pt idx="1">
                  <c:v>3221.1451027601734</c:v>
                </c:pt>
                <c:pt idx="2">
                  <c:v>430.35956677973445</c:v>
                </c:pt>
                <c:pt idx="3">
                  <c:v>2218.3916381232957</c:v>
                </c:pt>
              </c:numCache>
            </c:numRef>
          </c:val>
          <c:extLst>
            <c:ext xmlns:c16="http://schemas.microsoft.com/office/drawing/2014/chart" uri="{C3380CC4-5D6E-409C-BE32-E72D297353CC}">
              <c16:uniqueId val="{00000000-3F4B-49F0-880E-8FA78B3D72F2}"/>
            </c:ext>
          </c:extLst>
        </c:ser>
        <c:ser>
          <c:idx val="1"/>
          <c:order val="1"/>
          <c:tx>
            <c:strRef>
              <c:f>'Tab2'!$X$111</c:f>
              <c:strCache>
                <c:ptCount val="1"/>
                <c:pt idx="0">
                  <c:v>2017</c:v>
                </c:pt>
              </c:strCache>
            </c:strRef>
          </c:tx>
          <c:spPr>
            <a:pattFill prst="wdUpDiag">
              <a:fgClr>
                <a:srgbClr val="000000"/>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'Tab2'!$X$112:$X$115</c:f>
              <c:numCache>
                <c:formatCode>#\ ##0.0</c:formatCode>
                <c:ptCount val="4"/>
                <c:pt idx="0">
                  <c:v>3932.5021641308085</c:v>
                </c:pt>
                <c:pt idx="1">
                  <c:v>2705.0580269078573</c:v>
                </c:pt>
                <c:pt idx="2">
                  <c:v>388.61805044358204</c:v>
                </c:pt>
                <c:pt idx="3">
                  <c:v>2105.271853228598</c:v>
                </c:pt>
              </c:numCache>
            </c:numRef>
          </c:val>
          <c:extLst>
            <c:ext xmlns:c16="http://schemas.microsoft.com/office/drawing/2014/chart" uri="{C3380CC4-5D6E-409C-BE32-E72D297353CC}">
              <c16:uniqueId val="{00000001-3F4B-49F0-880E-8FA78B3D72F2}"/>
            </c:ext>
          </c:extLst>
        </c:ser>
        <c:ser>
          <c:idx val="2"/>
          <c:order val="2"/>
          <c:tx>
            <c:strRef>
              <c:f>'Tab2'!$Y$111</c:f>
              <c:strCache>
                <c:ptCount val="1"/>
                <c:pt idx="0">
                  <c:v>2018</c:v>
                </c:pt>
              </c:strCache>
            </c:strRef>
          </c:tx>
          <c:spPr>
            <a:solidFill>
              <a:srgbClr val="993366"/>
            </a:solid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'Tab2'!$Y$112:$Y$115</c:f>
              <c:numCache>
                <c:formatCode>#\ ##0.0</c:formatCode>
                <c:ptCount val="4"/>
                <c:pt idx="0">
                  <c:v>4556.4177878598057</c:v>
                </c:pt>
                <c:pt idx="1">
                  <c:v>3463.9799601502996</c:v>
                </c:pt>
                <c:pt idx="2">
                  <c:v>401.88905571880639</c:v>
                </c:pt>
                <c:pt idx="3">
                  <c:v>3613.9770857707081</c:v>
                </c:pt>
              </c:numCache>
            </c:numRef>
          </c:val>
          <c:extLst>
            <c:ext xmlns:c16="http://schemas.microsoft.com/office/drawing/2014/chart" uri="{C3380CC4-5D6E-409C-BE32-E72D297353CC}">
              <c16:uniqueId val="{00000002-3F4B-49F0-880E-8FA78B3D72F2}"/>
            </c:ext>
          </c:extLst>
        </c:ser>
        <c:dLbls>
          <c:showLegendKey val="0"/>
          <c:showVal val="0"/>
          <c:showCatName val="0"/>
          <c:showSerName val="0"/>
          <c:showPercent val="0"/>
          <c:showBubbleSize val="0"/>
        </c:dLbls>
        <c:gapWidth val="150"/>
        <c:axId val="269611392"/>
        <c:axId val="269612928"/>
      </c:barChart>
      <c:catAx>
        <c:axId val="269611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612928"/>
        <c:crosses val="autoZero"/>
        <c:auto val="1"/>
        <c:lblAlgn val="ctr"/>
        <c:lblOffset val="100"/>
        <c:tickLblSkip val="1"/>
        <c:tickMarkSkip val="1"/>
        <c:noMultiLvlLbl val="0"/>
      </c:catAx>
      <c:valAx>
        <c:axId val="269612928"/>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4.7957371225577312E-2"/>
              <c:y val="0.350924036870072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611392"/>
        <c:crosses val="autoZero"/>
        <c:crossBetween val="between"/>
      </c:valAx>
      <c:spPr>
        <a:noFill/>
        <a:ln w="12700">
          <a:solidFill>
            <a:srgbClr val="808080"/>
          </a:solidFill>
          <a:prstDash val="solid"/>
        </a:ln>
      </c:spPr>
    </c:plotArea>
    <c:legend>
      <c:legendPos val="r"/>
      <c:layout>
        <c:manualLayout>
          <c:xMode val="edge"/>
          <c:yMode val="edge"/>
          <c:x val="0.58436944937832958"/>
          <c:y val="8.4432717678099983E-2"/>
          <c:w val="0.26110124333925488"/>
          <c:h val="0.13720344323714703"/>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5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4849637689473844"/>
          <c:y val="1.0723874628062159E-2"/>
          <c:w val="0.81766992340769262"/>
          <c:h val="0.80965253441863694"/>
        </c:manualLayout>
      </c:layout>
      <c:bar3DChart>
        <c:barDir val="bar"/>
        <c:grouping val="clustered"/>
        <c:varyColors val="0"/>
        <c:ser>
          <c:idx val="0"/>
          <c:order val="0"/>
          <c:tx>
            <c:strRef>
              <c:f>'Tab2'!$W$121</c:f>
              <c:strCache>
                <c:ptCount val="1"/>
                <c:pt idx="0">
                  <c:v>2016</c:v>
                </c:pt>
              </c:strCache>
            </c:strRef>
          </c:tx>
          <c:spPr>
            <a:pattFill prst="narVert">
              <a:fgClr>
                <a:srgbClr val="3366FF"/>
              </a:fgClr>
              <a:bgClr>
                <a:srgbClr val="FFFFFF"/>
              </a:bgClr>
            </a:patt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'Tab2'!$W$122:$W$125</c:f>
              <c:numCache>
                <c:formatCode>0</c:formatCode>
                <c:ptCount val="4"/>
                <c:pt idx="0">
                  <c:v>260701</c:v>
                </c:pt>
                <c:pt idx="1">
                  <c:v>84406.458586511799</c:v>
                </c:pt>
                <c:pt idx="2">
                  <c:v>103685.17555144404</c:v>
                </c:pt>
                <c:pt idx="3">
                  <c:v>30478.767038700429</c:v>
                </c:pt>
              </c:numCache>
            </c:numRef>
          </c:val>
          <c:extLst>
            <c:ext xmlns:c16="http://schemas.microsoft.com/office/drawing/2014/chart" uri="{C3380CC4-5D6E-409C-BE32-E72D297353CC}">
              <c16:uniqueId val="{00000000-D0D5-4F54-A685-BCAE46FDAC00}"/>
            </c:ext>
          </c:extLst>
        </c:ser>
        <c:ser>
          <c:idx val="1"/>
          <c:order val="1"/>
          <c:tx>
            <c:strRef>
              <c:f>'Tab2'!$X$121</c:f>
              <c:strCache>
                <c:ptCount val="1"/>
                <c:pt idx="0">
                  <c:v>2017</c:v>
                </c:pt>
              </c:strCache>
            </c:strRef>
          </c:tx>
          <c:spPr>
            <a:solidFill>
              <a:srgbClr val="FFFFCC"/>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'Tab2'!$X$122:$X$125</c:f>
              <c:numCache>
                <c:formatCode>0</c:formatCode>
                <c:ptCount val="4"/>
                <c:pt idx="0">
                  <c:v>251107</c:v>
                </c:pt>
                <c:pt idx="1">
                  <c:v>81032.69608211689</c:v>
                </c:pt>
                <c:pt idx="2">
                  <c:v>116619.9324647622</c:v>
                </c:pt>
                <c:pt idx="3">
                  <c:v>28412.88258155853</c:v>
                </c:pt>
              </c:numCache>
            </c:numRef>
          </c:val>
          <c:extLst>
            <c:ext xmlns:c16="http://schemas.microsoft.com/office/drawing/2014/chart" uri="{C3380CC4-5D6E-409C-BE32-E72D297353CC}">
              <c16:uniqueId val="{00000001-D0D5-4F54-A685-BCAE46FDAC00}"/>
            </c:ext>
          </c:extLst>
        </c:ser>
        <c:ser>
          <c:idx val="2"/>
          <c:order val="2"/>
          <c:tx>
            <c:strRef>
              <c:f>'Tab2'!$Y$121</c:f>
              <c:strCache>
                <c:ptCount val="1"/>
                <c:pt idx="0">
                  <c:v>2018</c:v>
                </c:pt>
              </c:strCache>
            </c:strRef>
          </c:tx>
          <c:spPr>
            <a:solidFill>
              <a:srgbClr val="993366"/>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'Tab2'!$Y$122:$Y$125</c:f>
              <c:numCache>
                <c:formatCode>0</c:formatCode>
                <c:ptCount val="4"/>
                <c:pt idx="0">
                  <c:v>261928</c:v>
                </c:pt>
                <c:pt idx="1">
                  <c:v>99193.467430544653</c:v>
                </c:pt>
                <c:pt idx="2">
                  <c:v>131214.51582692406</c:v>
                </c:pt>
                <c:pt idx="3">
                  <c:v>35114.516483516483</c:v>
                </c:pt>
              </c:numCache>
            </c:numRef>
          </c:val>
          <c:extLst>
            <c:ext xmlns:c16="http://schemas.microsoft.com/office/drawing/2014/chart" uri="{C3380CC4-5D6E-409C-BE32-E72D297353CC}">
              <c16:uniqueId val="{00000002-D0D5-4F54-A685-BCAE46FDAC00}"/>
            </c:ext>
          </c:extLst>
        </c:ser>
        <c:dLbls>
          <c:showLegendKey val="0"/>
          <c:showVal val="0"/>
          <c:showCatName val="0"/>
          <c:showSerName val="0"/>
          <c:showPercent val="0"/>
          <c:showBubbleSize val="0"/>
        </c:dLbls>
        <c:gapWidth val="150"/>
        <c:shape val="cylinder"/>
        <c:axId val="270634368"/>
        <c:axId val="270640256"/>
        <c:axId val="0"/>
      </c:bar3DChart>
      <c:catAx>
        <c:axId val="270634368"/>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640256"/>
        <c:crosses val="autoZero"/>
        <c:auto val="1"/>
        <c:lblAlgn val="ctr"/>
        <c:lblOffset val="100"/>
        <c:tickLblSkip val="1"/>
        <c:tickMarkSkip val="1"/>
        <c:noMultiLvlLbl val="0"/>
      </c:catAx>
      <c:valAx>
        <c:axId val="270640256"/>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634368"/>
        <c:crosses val="autoZero"/>
        <c:crossBetween val="between"/>
      </c:valAx>
      <c:spPr>
        <a:noFill/>
        <a:ln w="25400">
          <a:noFill/>
        </a:ln>
      </c:spPr>
    </c:plotArea>
    <c:legend>
      <c:legendPos val="r"/>
      <c:layout>
        <c:manualLayout>
          <c:xMode val="edge"/>
          <c:yMode val="edge"/>
          <c:x val="0.82142936080358375"/>
          <c:y val="0.11796274795409577"/>
          <c:w val="9.774436090226106E-2"/>
          <c:h val="0.2305632841471331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36"/>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7041229666341193"/>
          <c:y val="3.8990869354381667E-2"/>
          <c:w val="0.79213628009473036"/>
          <c:h val="0.80045961203995464"/>
        </c:manualLayout>
      </c:layout>
      <c:bar3DChart>
        <c:barDir val="bar"/>
        <c:grouping val="clustered"/>
        <c:varyColors val="0"/>
        <c:ser>
          <c:idx val="0"/>
          <c:order val="0"/>
          <c:tx>
            <c:strRef>
              <c:f>'Tab2'!$W$128</c:f>
              <c:strCache>
                <c:ptCount val="1"/>
                <c:pt idx="0">
                  <c:v>2016</c:v>
                </c:pt>
              </c:strCache>
            </c:strRef>
          </c:tx>
          <c:spPr>
            <a:pattFill prst="narVert">
              <a:fgClr>
                <a:srgbClr val="3366FF"/>
              </a:fgClr>
              <a:bgClr>
                <a:srgbClr val="FFFFFF"/>
              </a:bgClr>
            </a:patt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'Tab2'!$W$129:$W$133</c:f>
              <c:numCache>
                <c:formatCode>0</c:formatCode>
                <c:ptCount val="5"/>
                <c:pt idx="0">
                  <c:v>8019.1474623129679</c:v>
                </c:pt>
                <c:pt idx="1">
                  <c:v>7187.7080118100002</c:v>
                </c:pt>
                <c:pt idx="2">
                  <c:v>7122</c:v>
                </c:pt>
                <c:pt idx="3">
                  <c:v>11662.405630670224</c:v>
                </c:pt>
                <c:pt idx="4">
                  <c:v>19570.410680575002</c:v>
                </c:pt>
              </c:numCache>
            </c:numRef>
          </c:val>
          <c:extLst>
            <c:ext xmlns:c16="http://schemas.microsoft.com/office/drawing/2014/chart" uri="{C3380CC4-5D6E-409C-BE32-E72D297353CC}">
              <c16:uniqueId val="{00000000-5C52-4D4B-8DAE-66DEFB61BB20}"/>
            </c:ext>
          </c:extLst>
        </c:ser>
        <c:ser>
          <c:idx val="1"/>
          <c:order val="1"/>
          <c:tx>
            <c:strRef>
              <c:f>'Tab2'!$X$128</c:f>
              <c:strCache>
                <c:ptCount val="1"/>
                <c:pt idx="0">
                  <c:v>2017</c:v>
                </c:pt>
              </c:strCache>
            </c:strRef>
          </c:tx>
          <c:spPr>
            <a:solidFill>
              <a:srgbClr val="FFFFCC"/>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'Tab2'!$X$129:$X$133</c:f>
              <c:numCache>
                <c:formatCode>0</c:formatCode>
                <c:ptCount val="5"/>
                <c:pt idx="0">
                  <c:v>7767.2263092269322</c:v>
                </c:pt>
                <c:pt idx="1">
                  <c:v>6841.481096124834</c:v>
                </c:pt>
                <c:pt idx="2">
                  <c:v>7540.1393879673469</c:v>
                </c:pt>
                <c:pt idx="3">
                  <c:v>11429.679946476221</c:v>
                </c:pt>
                <c:pt idx="4">
                  <c:v>17298.663604999998</c:v>
                </c:pt>
              </c:numCache>
            </c:numRef>
          </c:val>
          <c:extLst>
            <c:ext xmlns:c16="http://schemas.microsoft.com/office/drawing/2014/chart" uri="{C3380CC4-5D6E-409C-BE32-E72D297353CC}">
              <c16:uniqueId val="{00000001-5C52-4D4B-8DAE-66DEFB61BB20}"/>
            </c:ext>
          </c:extLst>
        </c:ser>
        <c:ser>
          <c:idx val="2"/>
          <c:order val="2"/>
          <c:tx>
            <c:strRef>
              <c:f>'Tab2'!$Y$128</c:f>
              <c:strCache>
                <c:ptCount val="1"/>
                <c:pt idx="0">
                  <c:v>2018</c:v>
                </c:pt>
              </c:strCache>
            </c:strRef>
          </c:tx>
          <c:spPr>
            <a:solidFill>
              <a:srgbClr val="993366"/>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'Tab2'!$Y$129:$Y$133</c:f>
              <c:numCache>
                <c:formatCode>0</c:formatCode>
                <c:ptCount val="5"/>
                <c:pt idx="0">
                  <c:v>9968.6290523690768</c:v>
                </c:pt>
                <c:pt idx="1">
                  <c:v>7980.5069999999996</c:v>
                </c:pt>
                <c:pt idx="2">
                  <c:v>8017.5373224489795</c:v>
                </c:pt>
                <c:pt idx="3">
                  <c:v>15222.903625804427</c:v>
                </c:pt>
                <c:pt idx="4">
                  <c:v>17128.16</c:v>
                </c:pt>
              </c:numCache>
            </c:numRef>
          </c:val>
          <c:extLst>
            <c:ext xmlns:c16="http://schemas.microsoft.com/office/drawing/2014/chart" uri="{C3380CC4-5D6E-409C-BE32-E72D297353CC}">
              <c16:uniqueId val="{00000002-5C52-4D4B-8DAE-66DEFB61BB20}"/>
            </c:ext>
          </c:extLst>
        </c:ser>
        <c:dLbls>
          <c:showLegendKey val="0"/>
          <c:showVal val="0"/>
          <c:showCatName val="0"/>
          <c:showSerName val="0"/>
          <c:showPercent val="0"/>
          <c:showBubbleSize val="0"/>
        </c:dLbls>
        <c:gapWidth val="150"/>
        <c:shape val="cylinder"/>
        <c:axId val="270747904"/>
        <c:axId val="270757888"/>
        <c:axId val="0"/>
      </c:bar3DChart>
      <c:catAx>
        <c:axId val="270747904"/>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757888"/>
        <c:crosses val="autoZero"/>
        <c:auto val="1"/>
        <c:lblAlgn val="ctr"/>
        <c:lblOffset val="100"/>
        <c:tickLblSkip val="1"/>
        <c:tickMarkSkip val="1"/>
        <c:noMultiLvlLbl val="0"/>
      </c:catAx>
      <c:valAx>
        <c:axId val="270757888"/>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747904"/>
        <c:crosses val="autoZero"/>
        <c:crossBetween val="between"/>
      </c:valAx>
      <c:spPr>
        <a:noFill/>
        <a:ln w="25400">
          <a:noFill/>
        </a:ln>
      </c:spPr>
    </c:plotArea>
    <c:legend>
      <c:legendPos val="r"/>
      <c:layout>
        <c:manualLayout>
          <c:xMode val="edge"/>
          <c:yMode val="edge"/>
          <c:x val="0.80711767770601706"/>
          <c:y val="0.56422090587300433"/>
          <c:w val="0.10299645128629202"/>
          <c:h val="0.1582571215295344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699"/>
          <c:h val="0.75545138253069033"/>
        </c:manualLayout>
      </c:layout>
      <c:lineChart>
        <c:grouping val="standard"/>
        <c:varyColors val="0"/>
        <c:ser>
          <c:idx val="0"/>
          <c:order val="0"/>
          <c:tx>
            <c:strRef>
              <c:f>'Tab2'!$M$70</c:f>
              <c:strCache>
                <c:ptCount val="1"/>
                <c:pt idx="0">
                  <c:v>Erstatning</c:v>
                </c:pt>
              </c:strCache>
            </c:strRef>
          </c:tx>
          <c:spPr>
            <a:ln w="50800"/>
          </c:spPr>
          <c:marker>
            <c:symbol val="none"/>
          </c:marker>
          <c:cat>
            <c:numRef>
              <c:f>'Tab2'!$K$71:$K$213</c:f>
              <c:numCache>
                <c:formatCode>General</c:formatCode>
                <c:ptCount val="143"/>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numCache>
            </c:numRef>
          </c:cat>
          <c:val>
            <c:numRef>
              <c:f>'Tab2'!$N$71:$N$213</c:f>
              <c:numCache>
                <c:formatCode>#\ ##0.0</c:formatCode>
                <c:ptCount val="143"/>
                <c:pt idx="0">
                  <c:v>221.94869888475839</c:v>
                </c:pt>
                <c:pt idx="1">
                  <c:v>185.9166361974406</c:v>
                </c:pt>
                <c:pt idx="2">
                  <c:v>170.02025316455698</c:v>
                </c:pt>
                <c:pt idx="3">
                  <c:v>208.26832740213521</c:v>
                </c:pt>
                <c:pt idx="4">
                  <c:v>223.3319371727749</c:v>
                </c:pt>
                <c:pt idx="5">
                  <c:v>211.25567010309274</c:v>
                </c:pt>
                <c:pt idx="6">
                  <c:v>209.4562180579216</c:v>
                </c:pt>
                <c:pt idx="7">
                  <c:v>234.27785234899324</c:v>
                </c:pt>
                <c:pt idx="8">
                  <c:v>253.16821192052979</c:v>
                </c:pt>
                <c:pt idx="9">
                  <c:v>276.71999999999997</c:v>
                </c:pt>
                <c:pt idx="10">
                  <c:v>245.20645161290324</c:v>
                </c:pt>
                <c:pt idx="11">
                  <c:v>278.09714285714284</c:v>
                </c:pt>
                <c:pt idx="12">
                  <c:v>257.83875</c:v>
                </c:pt>
                <c:pt idx="13">
                  <c:v>275.8984615384615</c:v>
                </c:pt>
                <c:pt idx="14">
                  <c:v>222.06089552238805</c:v>
                </c:pt>
                <c:pt idx="15">
                  <c:v>259.86218978102187</c:v>
                </c:pt>
                <c:pt idx="16">
                  <c:v>283.89446808510638</c:v>
                </c:pt>
                <c:pt idx="17">
                  <c:v>280.15139664804474</c:v>
                </c:pt>
                <c:pt idx="18">
                  <c:v>229.25975103734439</c:v>
                </c:pt>
                <c:pt idx="19">
                  <c:v>269.73097826086956</c:v>
                </c:pt>
                <c:pt idx="20">
                  <c:v>256.72978723404259</c:v>
                </c:pt>
                <c:pt idx="21">
                  <c:v>183.00860495436766</c:v>
                </c:pt>
                <c:pt idx="22">
                  <c:v>285.04051948051944</c:v>
                </c:pt>
                <c:pt idx="23">
                  <c:v>377.59897567221515</c:v>
                </c:pt>
                <c:pt idx="24">
                  <c:v>266.76501901140682</c:v>
                </c:pt>
                <c:pt idx="25">
                  <c:v>215.60996264009964</c:v>
                </c:pt>
                <c:pt idx="26">
                  <c:v>189.71910669975185</c:v>
                </c:pt>
                <c:pt idx="27">
                  <c:v>239.35135135135133</c:v>
                </c:pt>
                <c:pt idx="28">
                  <c:v>256.2823815309842</c:v>
                </c:pt>
                <c:pt idx="29">
                  <c:v>206.1798561151079</c:v>
                </c:pt>
                <c:pt idx="30">
                  <c:v>178.81290322580645</c:v>
                </c:pt>
                <c:pt idx="31">
                  <c:v>208.13160987074031</c:v>
                </c:pt>
                <c:pt idx="32">
                  <c:v>224.59368421052633</c:v>
                </c:pt>
                <c:pt idx="33">
                  <c:v>215.9459584295611</c:v>
                </c:pt>
                <c:pt idx="34">
                  <c:v>226.00184757505778</c:v>
                </c:pt>
                <c:pt idx="35">
                  <c:v>233.65773195876295</c:v>
                </c:pt>
                <c:pt idx="36">
                  <c:v>218.27931428571429</c:v>
                </c:pt>
                <c:pt idx="37">
                  <c:v>188.08171557562079</c:v>
                </c:pt>
                <c:pt idx="38">
                  <c:v>217.32311161217578</c:v>
                </c:pt>
                <c:pt idx="39">
                  <c:v>179.33482642777165</c:v>
                </c:pt>
                <c:pt idx="40">
                  <c:v>225.01603563474384</c:v>
                </c:pt>
                <c:pt idx="41">
                  <c:v>187.26343612334804</c:v>
                </c:pt>
                <c:pt idx="42">
                  <c:v>216.34966887417218</c:v>
                </c:pt>
                <c:pt idx="43">
                  <c:v>255.94813186813178</c:v>
                </c:pt>
                <c:pt idx="44">
                  <c:v>306.55384615384617</c:v>
                </c:pt>
                <c:pt idx="45">
                  <c:v>267.99781897491818</c:v>
                </c:pt>
                <c:pt idx="46">
                  <c:v>272.28273615635175</c:v>
                </c:pt>
                <c:pt idx="47">
                  <c:v>224.42850971922257</c:v>
                </c:pt>
                <c:pt idx="48">
                  <c:v>270.38929336188431</c:v>
                </c:pt>
                <c:pt idx="49">
                  <c:v>232.61509032943684</c:v>
                </c:pt>
                <c:pt idx="50">
                  <c:v>282.65164718384688</c:v>
                </c:pt>
                <c:pt idx="51">
                  <c:v>268.36363636363643</c:v>
                </c:pt>
                <c:pt idx="52">
                  <c:v>588.51974522292983</c:v>
                </c:pt>
                <c:pt idx="53">
                  <c:v>364.42145110410098</c:v>
                </c:pt>
                <c:pt idx="54">
                  <c:v>370.93193717277506</c:v>
                </c:pt>
                <c:pt idx="55">
                  <c:v>357.73457943925246</c:v>
                </c:pt>
                <c:pt idx="56">
                  <c:v>387.27934224049329</c:v>
                </c:pt>
                <c:pt idx="57">
                  <c:v>424.97318321392027</c:v>
                </c:pt>
                <c:pt idx="58">
                  <c:v>450.05158648925277</c:v>
                </c:pt>
                <c:pt idx="59">
                  <c:v>401.55</c:v>
                </c:pt>
                <c:pt idx="60">
                  <c:v>423.62537764350452</c:v>
                </c:pt>
                <c:pt idx="61">
                  <c:v>375.2918756268806</c:v>
                </c:pt>
                <c:pt idx="62">
                  <c:v>381.42324649298592</c:v>
                </c:pt>
                <c:pt idx="63">
                  <c:v>438.40278053624627</c:v>
                </c:pt>
                <c:pt idx="64">
                  <c:v>478.17159763313612</c:v>
                </c:pt>
                <c:pt idx="65">
                  <c:v>480.49432485322893</c:v>
                </c:pt>
                <c:pt idx="66">
                  <c:v>646.56637168141583</c:v>
                </c:pt>
                <c:pt idx="67">
                  <c:v>585.55130434782563</c:v>
                </c:pt>
                <c:pt idx="68">
                  <c:v>488.09598470363284</c:v>
                </c:pt>
                <c:pt idx="69">
                  <c:v>354.4647002854424</c:v>
                </c:pt>
                <c:pt idx="70">
                  <c:v>439.4358974358974</c:v>
                </c:pt>
                <c:pt idx="71">
                  <c:v>670.00449438202236</c:v>
                </c:pt>
                <c:pt idx="72">
                  <c:v>919.5044280442803</c:v>
                </c:pt>
                <c:pt idx="73">
                  <c:v>608.71532846715331</c:v>
                </c:pt>
                <c:pt idx="74">
                  <c:v>546.70712303422772</c:v>
                </c:pt>
                <c:pt idx="75">
                  <c:v>691.69678012879456</c:v>
                </c:pt>
                <c:pt idx="76">
                  <c:v>629.96706312900267</c:v>
                </c:pt>
                <c:pt idx="77">
                  <c:v>548.13272727272727</c:v>
                </c:pt>
                <c:pt idx="78">
                  <c:v>677.39781021897807</c:v>
                </c:pt>
                <c:pt idx="79">
                  <c:v>617.26054054054055</c:v>
                </c:pt>
                <c:pt idx="80">
                  <c:v>807.29214659685852</c:v>
                </c:pt>
                <c:pt idx="81">
                  <c:v>533.75209260908298</c:v>
                </c:pt>
                <c:pt idx="82">
                  <c:v>567.84450402144762</c:v>
                </c:pt>
                <c:pt idx="83">
                  <c:v>618.58294849023071</c:v>
                </c:pt>
                <c:pt idx="84">
                  <c:v>678.61918294849011</c:v>
                </c:pt>
                <c:pt idx="85">
                  <c:v>448.65714285714273</c:v>
                </c:pt>
                <c:pt idx="86">
                  <c:v>593.1430088495573</c:v>
                </c:pt>
                <c:pt idx="87">
                  <c:v>554.40631578947409</c:v>
                </c:pt>
                <c:pt idx="88">
                  <c:v>542.62796833773086</c:v>
                </c:pt>
                <c:pt idx="89">
                  <c:v>414.1</c:v>
                </c:pt>
                <c:pt idx="90">
                  <c:v>574.88340573414416</c:v>
                </c:pt>
                <c:pt idx="91">
                  <c:v>609.231724137931</c:v>
                </c:pt>
                <c:pt idx="92">
                  <c:v>740.53173241852494</c:v>
                </c:pt>
                <c:pt idx="93">
                  <c:v>543.07786259541967</c:v>
                </c:pt>
                <c:pt idx="94">
                  <c:v>624.87774936061362</c:v>
                </c:pt>
                <c:pt idx="95">
                  <c:v>651.92067226890777</c:v>
                </c:pt>
                <c:pt idx="96">
                  <c:v>816.00817021276589</c:v>
                </c:pt>
                <c:pt idx="97">
                  <c:v>641.55469146238374</c:v>
                </c:pt>
                <c:pt idx="98">
                  <c:v>819.69371816638409</c:v>
                </c:pt>
                <c:pt idx="99">
                  <c:v>693.03576158940348</c:v>
                </c:pt>
                <c:pt idx="100">
                  <c:v>716.6894175553731</c:v>
                </c:pt>
                <c:pt idx="101">
                  <c:v>663.47409836065572</c:v>
                </c:pt>
                <c:pt idx="102">
                  <c:v>866.53549959382656</c:v>
                </c:pt>
                <c:pt idx="103">
                  <c:v>832.21780272654382</c:v>
                </c:pt>
                <c:pt idx="104">
                  <c:v>873.31967999999983</c:v>
                </c:pt>
                <c:pt idx="105">
                  <c:v>708.99665871121726</c:v>
                </c:pt>
                <c:pt idx="106">
                  <c:v>936.5655502392342</c:v>
                </c:pt>
                <c:pt idx="107">
                  <c:v>885.2502369668249</c:v>
                </c:pt>
                <c:pt idx="108">
                  <c:v>1941.8805510404081</c:v>
                </c:pt>
                <c:pt idx="109">
                  <c:v>990.45553107301703</c:v>
                </c:pt>
                <c:pt idx="110">
                  <c:v>995.22033258241254</c:v>
                </c:pt>
                <c:pt idx="111">
                  <c:v>1018.1527510103033</c:v>
                </c:pt>
                <c:pt idx="112">
                  <c:v>1203.2698347104526</c:v>
                </c:pt>
                <c:pt idx="113">
                  <c:v>874.98980014124868</c:v>
                </c:pt>
                <c:pt idx="114">
                  <c:v>1043.2909786798266</c:v>
                </c:pt>
                <c:pt idx="115">
                  <c:v>879.24833356910221</c:v>
                </c:pt>
                <c:pt idx="116">
                  <c:v>974.08672415823048</c:v>
                </c:pt>
                <c:pt idx="117">
                  <c:v>712.14649161270768</c:v>
                </c:pt>
                <c:pt idx="118">
                  <c:v>981.85072268821136</c:v>
                </c:pt>
                <c:pt idx="119">
                  <c:v>924.50543422004421</c:v>
                </c:pt>
                <c:pt idx="120">
                  <c:v>1135.3893759479563</c:v>
                </c:pt>
                <c:pt idx="121">
                  <c:v>1111.7605236315067</c:v>
                </c:pt>
                <c:pt idx="122">
                  <c:v>808.96819714867354</c:v>
                </c:pt>
                <c:pt idx="123">
                  <c:v>977.13916907546172</c:v>
                </c:pt>
                <c:pt idx="124">
                  <c:v>963.72200325004462</c:v>
                </c:pt>
                <c:pt idx="125">
                  <c:v>791.40600903733139</c:v>
                </c:pt>
                <c:pt idx="126">
                  <c:v>1164.2001929008434</c:v>
                </c:pt>
                <c:pt idx="127">
                  <c:v>930.84787085064363</c:v>
                </c:pt>
                <c:pt idx="128">
                  <c:v>1021.2610439293121</c:v>
                </c:pt>
                <c:pt idx="129">
                  <c:v>782.10642065455181</c:v>
                </c:pt>
                <c:pt idx="130">
                  <c:v>1035.2863238813959</c:v>
                </c:pt>
                <c:pt idx="131">
                  <c:v>919.21561196323501</c:v>
                </c:pt>
                <c:pt idx="132">
                  <c:v>1056.7105311281123</c:v>
                </c:pt>
                <c:pt idx="133">
                  <c:v>813.38946011999974</c:v>
                </c:pt>
                <c:pt idx="134">
                  <c:v>1426.5404355132714</c:v>
                </c:pt>
                <c:pt idx="135">
                  <c:v>967.90828114809881</c:v>
                </c:pt>
                <c:pt idx="136">
                  <c:v>1037.5841428044344</c:v>
                </c:pt>
                <c:pt idx="137">
                  <c:v>769.55052037161727</c:v>
                </c:pt>
                <c:pt idx="138">
                  <c:v>908.84725050916484</c:v>
                </c:pt>
                <c:pt idx="139">
                  <c:v>1134.8490566037735</c:v>
                </c:pt>
                <c:pt idx="140">
                  <c:v>1158.5170340681364</c:v>
                </c:pt>
                <c:pt idx="141">
                  <c:v>1053.9418632674801</c:v>
                </c:pt>
                <c:pt idx="142">
                  <c:v>1174.7029685342275</c:v>
                </c:pt>
              </c:numCache>
            </c:numRef>
          </c:val>
          <c:smooth val="0"/>
          <c:extLst>
            <c:ext xmlns:c16="http://schemas.microsoft.com/office/drawing/2014/chart" uri="{C3380CC4-5D6E-409C-BE32-E72D297353CC}">
              <c16:uniqueId val="{00000000-DEC7-4D76-8CFA-CE137D68656F}"/>
            </c:ext>
          </c:extLst>
        </c:ser>
        <c:dLbls>
          <c:showLegendKey val="0"/>
          <c:showVal val="0"/>
          <c:showCatName val="0"/>
          <c:showSerName val="0"/>
          <c:showPercent val="0"/>
          <c:showBubbleSize val="0"/>
        </c:dLbls>
        <c:marker val="1"/>
        <c:smooth val="0"/>
        <c:axId val="270792576"/>
        <c:axId val="270663680"/>
      </c:lineChart>
      <c:lineChart>
        <c:grouping val="standard"/>
        <c:varyColors val="0"/>
        <c:ser>
          <c:idx val="1"/>
          <c:order val="1"/>
          <c:tx>
            <c:strRef>
              <c:f>'Tab2'!$L$70</c:f>
              <c:strCache>
                <c:ptCount val="1"/>
                <c:pt idx="0">
                  <c:v>Antall</c:v>
                </c:pt>
              </c:strCache>
            </c:strRef>
          </c:tx>
          <c:spPr>
            <a:ln w="25400"/>
          </c:spPr>
          <c:marker>
            <c:symbol val="none"/>
          </c:marker>
          <c:val>
            <c:numRef>
              <c:f>'Tab2'!$L$71:$L$213</c:f>
              <c:numCache>
                <c:formatCode>#,##0</c:formatCode>
                <c:ptCount val="143"/>
                <c:pt idx="0">
                  <c:v>11621</c:v>
                </c:pt>
                <c:pt idx="1">
                  <c:v>11120</c:v>
                </c:pt>
                <c:pt idx="2">
                  <c:v>11918</c:v>
                </c:pt>
                <c:pt idx="3">
                  <c:v>11905</c:v>
                </c:pt>
                <c:pt idx="4">
                  <c:v>13205</c:v>
                </c:pt>
                <c:pt idx="5">
                  <c:v>12453</c:v>
                </c:pt>
                <c:pt idx="6">
                  <c:v>12278</c:v>
                </c:pt>
                <c:pt idx="7">
                  <c:v>11449</c:v>
                </c:pt>
                <c:pt idx="8">
                  <c:v>16918</c:v>
                </c:pt>
                <c:pt idx="9">
                  <c:v>14237</c:v>
                </c:pt>
                <c:pt idx="10">
                  <c:v>14329</c:v>
                </c:pt>
                <c:pt idx="11">
                  <c:v>13060</c:v>
                </c:pt>
                <c:pt idx="12">
                  <c:v>14314</c:v>
                </c:pt>
                <c:pt idx="13">
                  <c:v>13505</c:v>
                </c:pt>
                <c:pt idx="14">
                  <c:v>12132</c:v>
                </c:pt>
                <c:pt idx="15">
                  <c:v>11763</c:v>
                </c:pt>
                <c:pt idx="16">
                  <c:v>17280</c:v>
                </c:pt>
                <c:pt idx="17">
                  <c:v>12241</c:v>
                </c:pt>
                <c:pt idx="18">
                  <c:v>11506</c:v>
                </c:pt>
                <c:pt idx="19">
                  <c:v>12860</c:v>
                </c:pt>
                <c:pt idx="20">
                  <c:v>10180</c:v>
                </c:pt>
                <c:pt idx="21">
                  <c:v>11081</c:v>
                </c:pt>
                <c:pt idx="22">
                  <c:v>15987</c:v>
                </c:pt>
                <c:pt idx="23">
                  <c:v>12493</c:v>
                </c:pt>
                <c:pt idx="24">
                  <c:v>10988</c:v>
                </c:pt>
                <c:pt idx="25">
                  <c:v>10292</c:v>
                </c:pt>
                <c:pt idx="26">
                  <c:v>11352</c:v>
                </c:pt>
                <c:pt idx="27">
                  <c:v>11958</c:v>
                </c:pt>
                <c:pt idx="28">
                  <c:v>13741</c:v>
                </c:pt>
                <c:pt idx="29">
                  <c:v>10045</c:v>
                </c:pt>
                <c:pt idx="30">
                  <c:v>10870</c:v>
                </c:pt>
                <c:pt idx="31">
                  <c:v>11076</c:v>
                </c:pt>
                <c:pt idx="32">
                  <c:v>10172</c:v>
                </c:pt>
                <c:pt idx="33">
                  <c:v>10188</c:v>
                </c:pt>
                <c:pt idx="34">
                  <c:v>10621</c:v>
                </c:pt>
                <c:pt idx="35">
                  <c:v>11640</c:v>
                </c:pt>
                <c:pt idx="36">
                  <c:v>10520</c:v>
                </c:pt>
                <c:pt idx="37">
                  <c:v>10661</c:v>
                </c:pt>
                <c:pt idx="38">
                  <c:v>11590</c:v>
                </c:pt>
                <c:pt idx="39">
                  <c:v>11917</c:v>
                </c:pt>
                <c:pt idx="40">
                  <c:v>11275</c:v>
                </c:pt>
                <c:pt idx="41">
                  <c:v>10076</c:v>
                </c:pt>
                <c:pt idx="42">
                  <c:v>11766</c:v>
                </c:pt>
                <c:pt idx="43">
                  <c:v>12707</c:v>
                </c:pt>
                <c:pt idx="44">
                  <c:v>15224</c:v>
                </c:pt>
                <c:pt idx="45">
                  <c:v>13585</c:v>
                </c:pt>
                <c:pt idx="46">
                  <c:v>13956</c:v>
                </c:pt>
                <c:pt idx="47">
                  <c:v>14006</c:v>
                </c:pt>
                <c:pt idx="48">
                  <c:v>13188</c:v>
                </c:pt>
                <c:pt idx="49">
                  <c:v>11077</c:v>
                </c:pt>
                <c:pt idx="50">
                  <c:v>13937</c:v>
                </c:pt>
                <c:pt idx="51">
                  <c:v>13920</c:v>
                </c:pt>
                <c:pt idx="52">
                  <c:v>29850</c:v>
                </c:pt>
                <c:pt idx="53">
                  <c:v>17799</c:v>
                </c:pt>
                <c:pt idx="54">
                  <c:v>16263</c:v>
                </c:pt>
                <c:pt idx="55">
                  <c:v>16638</c:v>
                </c:pt>
                <c:pt idx="56">
                  <c:v>17837</c:v>
                </c:pt>
                <c:pt idx="57">
                  <c:v>16872</c:v>
                </c:pt>
                <c:pt idx="58">
                  <c:v>17873</c:v>
                </c:pt>
                <c:pt idx="59">
                  <c:v>15493</c:v>
                </c:pt>
                <c:pt idx="60">
                  <c:v>17629</c:v>
                </c:pt>
                <c:pt idx="61">
                  <c:v>14484</c:v>
                </c:pt>
                <c:pt idx="62">
                  <c:v>15693</c:v>
                </c:pt>
                <c:pt idx="63">
                  <c:v>16502</c:v>
                </c:pt>
                <c:pt idx="64">
                  <c:v>18095</c:v>
                </c:pt>
                <c:pt idx="65">
                  <c:v>12899</c:v>
                </c:pt>
                <c:pt idx="66">
                  <c:v>23305</c:v>
                </c:pt>
                <c:pt idx="67">
                  <c:v>18359</c:v>
                </c:pt>
                <c:pt idx="68">
                  <c:v>17570</c:v>
                </c:pt>
                <c:pt idx="69">
                  <c:v>14069</c:v>
                </c:pt>
                <c:pt idx="70">
                  <c:v>16329</c:v>
                </c:pt>
                <c:pt idx="71">
                  <c:v>21735</c:v>
                </c:pt>
                <c:pt idx="72">
                  <c:v>27280</c:v>
                </c:pt>
                <c:pt idx="73">
                  <c:v>17111</c:v>
                </c:pt>
                <c:pt idx="74">
                  <c:v>16407</c:v>
                </c:pt>
                <c:pt idx="75">
                  <c:v>16945</c:v>
                </c:pt>
                <c:pt idx="76">
                  <c:v>17523</c:v>
                </c:pt>
                <c:pt idx="77">
                  <c:v>17469</c:v>
                </c:pt>
                <c:pt idx="78">
                  <c:v>19641</c:v>
                </c:pt>
                <c:pt idx="79">
                  <c:v>17442</c:v>
                </c:pt>
                <c:pt idx="80">
                  <c:v>22781</c:v>
                </c:pt>
                <c:pt idx="81">
                  <c:v>15417</c:v>
                </c:pt>
                <c:pt idx="82">
                  <c:v>18848</c:v>
                </c:pt>
                <c:pt idx="83">
                  <c:v>16096</c:v>
                </c:pt>
                <c:pt idx="84">
                  <c:v>17805</c:v>
                </c:pt>
                <c:pt idx="85">
                  <c:v>13855</c:v>
                </c:pt>
                <c:pt idx="86">
                  <c:v>17630</c:v>
                </c:pt>
                <c:pt idx="87">
                  <c:v>16674</c:v>
                </c:pt>
                <c:pt idx="88">
                  <c:v>15151</c:v>
                </c:pt>
                <c:pt idx="89">
                  <c:v>14855</c:v>
                </c:pt>
                <c:pt idx="90">
                  <c:v>13014</c:v>
                </c:pt>
                <c:pt idx="91">
                  <c:v>22745</c:v>
                </c:pt>
                <c:pt idx="92">
                  <c:v>18196</c:v>
                </c:pt>
                <c:pt idx="93">
                  <c:v>13943</c:v>
                </c:pt>
                <c:pt idx="94">
                  <c:v>13690</c:v>
                </c:pt>
                <c:pt idx="95">
                  <c:v>16682</c:v>
                </c:pt>
                <c:pt idx="96">
                  <c:v>18623</c:v>
                </c:pt>
                <c:pt idx="97">
                  <c:v>15831</c:v>
                </c:pt>
                <c:pt idx="98">
                  <c:v>18428</c:v>
                </c:pt>
                <c:pt idx="99">
                  <c:v>15870</c:v>
                </c:pt>
                <c:pt idx="100">
                  <c:v>17004</c:v>
                </c:pt>
                <c:pt idx="101">
                  <c:v>14987</c:v>
                </c:pt>
                <c:pt idx="102">
                  <c:v>19290</c:v>
                </c:pt>
                <c:pt idx="103">
                  <c:v>16976</c:v>
                </c:pt>
                <c:pt idx="104">
                  <c:v>18865</c:v>
                </c:pt>
                <c:pt idx="105">
                  <c:v>14610</c:v>
                </c:pt>
                <c:pt idx="106">
                  <c:v>19220</c:v>
                </c:pt>
                <c:pt idx="107">
                  <c:v>16838</c:v>
                </c:pt>
                <c:pt idx="108">
                  <c:v>40484.70904761905</c:v>
                </c:pt>
                <c:pt idx="109">
                  <c:v>20633.79583333333</c:v>
                </c:pt>
                <c:pt idx="110">
                  <c:v>19149.335833333338</c:v>
                </c:pt>
                <c:pt idx="111">
                  <c:v>22322.361666666664</c:v>
                </c:pt>
                <c:pt idx="112">
                  <c:v>26141.662648809524</c:v>
                </c:pt>
                <c:pt idx="113">
                  <c:v>18851.951101190472</c:v>
                </c:pt>
                <c:pt idx="114">
                  <c:v>24107.386250000007</c:v>
                </c:pt>
                <c:pt idx="115">
                  <c:v>18022.572976190484</c:v>
                </c:pt>
                <c:pt idx="116">
                  <c:v>18517.39324404762</c:v>
                </c:pt>
                <c:pt idx="117">
                  <c:v>14087.60675595238</c:v>
                </c:pt>
                <c:pt idx="118" formatCode="0">
                  <c:v>20999.460714285713</c:v>
                </c:pt>
                <c:pt idx="119" formatCode="0">
                  <c:v>17946.539285714287</c:v>
                </c:pt>
                <c:pt idx="120" formatCode="0">
                  <c:v>21974.571815476189</c:v>
                </c:pt>
                <c:pt idx="121" formatCode="0">
                  <c:v>23960.428184523811</c:v>
                </c:pt>
                <c:pt idx="122" formatCode="0">
                  <c:v>18388.581422924897</c:v>
                </c:pt>
                <c:pt idx="123" formatCode="0">
                  <c:v>18420.418577075106</c:v>
                </c:pt>
                <c:pt idx="124" formatCode="0">
                  <c:v>19713</c:v>
                </c:pt>
                <c:pt idx="125" formatCode="0">
                  <c:v>16691</c:v>
                </c:pt>
                <c:pt idx="126" formatCode="0">
                  <c:v>21817</c:v>
                </c:pt>
                <c:pt idx="127" formatCode="0">
                  <c:v>20183</c:v>
                </c:pt>
                <c:pt idx="128" formatCode="0">
                  <c:v>19630</c:v>
                </c:pt>
                <c:pt idx="129" formatCode="0">
                  <c:v>15703.949675889351</c:v>
                </c:pt>
                <c:pt idx="130" formatCode="0">
                  <c:v>22728.974837944646</c:v>
                </c:pt>
                <c:pt idx="131" formatCode="0">
                  <c:v>17661.404213438705</c:v>
                </c:pt>
                <c:pt idx="132" formatCode="0">
                  <c:v>20668.165818181998</c:v>
                </c:pt>
                <c:pt idx="133" formatCode="0">
                  <c:v>19039.287573122998</c:v>
                </c:pt>
                <c:pt idx="134" formatCode="0">
                  <c:v>25325.005330874006</c:v>
                </c:pt>
                <c:pt idx="135" formatCode="0">
                  <c:v>18369.446222722992</c:v>
                </c:pt>
                <c:pt idx="136" formatCode="0">
                  <c:v>20188.970584052</c:v>
                </c:pt>
                <c:pt idx="137" formatCode="0">
                  <c:v>16357.538075795001</c:v>
                </c:pt>
                <c:pt idx="138" formatCode="0">
                  <c:v>19399</c:v>
                </c:pt>
                <c:pt idx="139" formatCode="0">
                  <c:v>23333</c:v>
                </c:pt>
                <c:pt idx="140" formatCode="0">
                  <c:v>25111</c:v>
                </c:pt>
                <c:pt idx="141" formatCode="0">
                  <c:v>20973.437462450995</c:v>
                </c:pt>
                <c:pt idx="142" formatCode="0">
                  <c:v>22635.655438734771</c:v>
                </c:pt>
              </c:numCache>
            </c:numRef>
          </c:val>
          <c:smooth val="0"/>
          <c:extLst>
            <c:ext xmlns:c16="http://schemas.microsoft.com/office/drawing/2014/chart" uri="{C3380CC4-5D6E-409C-BE32-E72D297353CC}">
              <c16:uniqueId val="{00000001-DEC7-4D76-8CFA-CE137D68656F}"/>
            </c:ext>
          </c:extLst>
        </c:ser>
        <c:dLbls>
          <c:showLegendKey val="0"/>
          <c:showVal val="0"/>
          <c:showCatName val="0"/>
          <c:showSerName val="0"/>
          <c:showPercent val="0"/>
          <c:showBubbleSize val="0"/>
        </c:dLbls>
        <c:upDownBars>
          <c:gapWidth val="150"/>
          <c:upBars/>
          <c:downBars/>
        </c:upDownBars>
        <c:marker val="1"/>
        <c:smooth val="0"/>
        <c:axId val="270667776"/>
        <c:axId val="270665600"/>
      </c:lineChart>
      <c:catAx>
        <c:axId val="270792576"/>
        <c:scaling>
          <c:orientation val="minMax"/>
        </c:scaling>
        <c:delete val="0"/>
        <c:axPos val="b"/>
        <c:majorGridlines>
          <c:spPr>
            <a:ln>
              <a:solidFill>
                <a:srgbClr val="4F81BD">
                  <a:alpha val="25000"/>
                </a:srgbClr>
              </a:solidFill>
            </a:ln>
          </c:spPr>
        </c:majorGridlines>
        <c:title>
          <c:tx>
            <c:rich>
              <a:bodyPr/>
              <a:lstStyle/>
              <a:p>
                <a:pPr>
                  <a:defRPr sz="1200"/>
                </a:pPr>
                <a:r>
                  <a:rPr lang="en-US" sz="1200"/>
                  <a:t>År</a:t>
                </a:r>
              </a:p>
            </c:rich>
          </c:tx>
          <c:layout>
            <c:manualLayout>
              <c:xMode val="edge"/>
              <c:yMode val="edge"/>
              <c:x val="0.48913710180525038"/>
              <c:y val="0.92512795900512435"/>
            </c:manualLayout>
          </c:layout>
          <c:overlay val="0"/>
        </c:title>
        <c:numFmt formatCode="General" sourceLinked="1"/>
        <c:majorTickMark val="out"/>
        <c:minorTickMark val="out"/>
        <c:tickLblPos val="nextTo"/>
        <c:txPr>
          <a:bodyPr rot="-3000000" vert="horz"/>
          <a:lstStyle/>
          <a:p>
            <a:pPr>
              <a:defRPr/>
            </a:pPr>
            <a:endParaRPr lang="nb-NO"/>
          </a:p>
        </c:txPr>
        <c:crossAx val="270663680"/>
        <c:crosses val="autoZero"/>
        <c:auto val="1"/>
        <c:lblAlgn val="ctr"/>
        <c:lblOffset val="100"/>
        <c:tickLblSkip val="1"/>
        <c:tickMarkSkip val="4"/>
        <c:noMultiLvlLbl val="0"/>
      </c:catAx>
      <c:valAx>
        <c:axId val="27066368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92576"/>
        <c:crosses val="autoZero"/>
        <c:crossBetween val="between"/>
      </c:valAx>
      <c:valAx>
        <c:axId val="270665600"/>
        <c:scaling>
          <c:orientation val="minMax"/>
        </c:scaling>
        <c:delete val="0"/>
        <c:axPos val="r"/>
        <c:title>
          <c:tx>
            <c:rich>
              <a:bodyPr rot="-5400000" vert="horz"/>
              <a:lstStyle/>
              <a:p>
                <a:pPr>
                  <a:defRPr/>
                </a:pPr>
                <a:r>
                  <a:rPr lang="en-US"/>
                  <a:t>Antall meldte vannskader</a:t>
                </a:r>
              </a:p>
            </c:rich>
          </c:tx>
          <c:overlay val="0"/>
        </c:title>
        <c:numFmt formatCode="#,##0" sourceLinked="1"/>
        <c:majorTickMark val="out"/>
        <c:minorTickMark val="none"/>
        <c:tickLblPos val="nextTo"/>
        <c:crossAx val="270667776"/>
        <c:crosses val="max"/>
        <c:crossBetween val="between"/>
      </c:valAx>
      <c:catAx>
        <c:axId val="270667776"/>
        <c:scaling>
          <c:orientation val="minMax"/>
        </c:scaling>
        <c:delete val="1"/>
        <c:axPos val="b"/>
        <c:majorTickMark val="out"/>
        <c:minorTickMark val="none"/>
        <c:tickLblPos val="none"/>
        <c:crossAx val="270665600"/>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21"/>
          <c:h val="0.80035630261243251"/>
        </c:manualLayout>
      </c:layout>
      <c:lineChart>
        <c:grouping val="standard"/>
        <c:varyColors val="0"/>
        <c:ser>
          <c:idx val="0"/>
          <c:order val="0"/>
          <c:tx>
            <c:strRef>
              <c:f>'Tab2'!$M$70</c:f>
              <c:strCache>
                <c:ptCount val="1"/>
                <c:pt idx="0">
                  <c:v>Erstatning</c:v>
                </c:pt>
              </c:strCache>
            </c:strRef>
          </c:tx>
          <c:spPr>
            <a:ln w="50800"/>
          </c:spPr>
          <c:marker>
            <c:symbol val="none"/>
          </c:marker>
          <c:cat>
            <c:numRef>
              <c:f>'Tab2'!$K$103:$K$213</c:f>
              <c:numCache>
                <c:formatCode>General</c:formatCode>
                <c:ptCount val="111"/>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numCache>
            </c:numRef>
          </c:cat>
          <c:val>
            <c:numRef>
              <c:f>'Tab2'!$Q$103:$Q$213</c:f>
              <c:numCache>
                <c:formatCode>#\ ##0.0</c:formatCode>
                <c:ptCount val="111"/>
                <c:pt idx="0">
                  <c:v>650.64842105263142</c:v>
                </c:pt>
                <c:pt idx="1">
                  <c:v>629.43048498845258</c:v>
                </c:pt>
                <c:pt idx="2">
                  <c:v>734.42078521939948</c:v>
                </c:pt>
                <c:pt idx="3">
                  <c:v>721.93814432989734</c:v>
                </c:pt>
                <c:pt idx="4">
                  <c:v>690.76799999999992</c:v>
                </c:pt>
                <c:pt idx="5">
                  <c:v>686.35665914221215</c:v>
                </c:pt>
                <c:pt idx="6">
                  <c:v>732.84148816234517</c:v>
                </c:pt>
                <c:pt idx="7">
                  <c:v>703.45531914893593</c:v>
                </c:pt>
                <c:pt idx="8">
                  <c:v>738.65746102449884</c:v>
                </c:pt>
                <c:pt idx="9">
                  <c:v>573.65682819383255</c:v>
                </c:pt>
                <c:pt idx="10">
                  <c:v>632.92052980132485</c:v>
                </c:pt>
                <c:pt idx="11">
                  <c:v>757.46373626373588</c:v>
                </c:pt>
                <c:pt idx="12">
                  <c:v>693.55780219780218</c:v>
                </c:pt>
                <c:pt idx="13">
                  <c:v>795.6235550708833</c:v>
                </c:pt>
                <c:pt idx="14">
                  <c:v>681.90879478827367</c:v>
                </c:pt>
                <c:pt idx="15">
                  <c:v>622.59784017278605</c:v>
                </c:pt>
                <c:pt idx="16">
                  <c:v>858.10278372591006</c:v>
                </c:pt>
                <c:pt idx="17">
                  <c:v>725.29479277364521</c:v>
                </c:pt>
                <c:pt idx="18">
                  <c:v>765.29266737513262</c:v>
                </c:pt>
                <c:pt idx="19">
                  <c:v>577.13784355179689</c:v>
                </c:pt>
                <c:pt idx="20">
                  <c:v>751.94522292993622</c:v>
                </c:pt>
                <c:pt idx="21">
                  <c:v>908.41514195583602</c:v>
                </c:pt>
                <c:pt idx="22">
                  <c:v>899.3553926701569</c:v>
                </c:pt>
                <c:pt idx="23">
                  <c:v>1020.4785046728974</c:v>
                </c:pt>
                <c:pt idx="24">
                  <c:v>949.16053442959924</c:v>
                </c:pt>
                <c:pt idx="25">
                  <c:v>1003.7404298874101</c:v>
                </c:pt>
                <c:pt idx="26">
                  <c:v>1088.1911975435007</c:v>
                </c:pt>
                <c:pt idx="27">
                  <c:v>845.99999999999989</c:v>
                </c:pt>
                <c:pt idx="28">
                  <c:v>891.24833836858011</c:v>
                </c:pt>
                <c:pt idx="29">
                  <c:v>854.06659979939809</c:v>
                </c:pt>
                <c:pt idx="30">
                  <c:v>640.09298597194413</c:v>
                </c:pt>
                <c:pt idx="31">
                  <c:v>1082.5954319761659</c:v>
                </c:pt>
                <c:pt idx="32">
                  <c:v>1003.0686390532544</c:v>
                </c:pt>
                <c:pt idx="33">
                  <c:v>1263.120939334638</c:v>
                </c:pt>
                <c:pt idx="34">
                  <c:v>822.90265486725627</c:v>
                </c:pt>
                <c:pt idx="35">
                  <c:v>1334.104347826087</c:v>
                </c:pt>
                <c:pt idx="36">
                  <c:v>1156.9525812619504</c:v>
                </c:pt>
                <c:pt idx="37">
                  <c:v>946.83082778306368</c:v>
                </c:pt>
                <c:pt idx="38">
                  <c:v>989.88717948717976</c:v>
                </c:pt>
                <c:pt idx="39">
                  <c:v>1021.5910112359547</c:v>
                </c:pt>
                <c:pt idx="40">
                  <c:v>1194.1439114391142</c:v>
                </c:pt>
                <c:pt idx="41">
                  <c:v>1243.0182481751824</c:v>
                </c:pt>
                <c:pt idx="42">
                  <c:v>1600.5246993524513</c:v>
                </c:pt>
                <c:pt idx="43">
                  <c:v>1090.7735050597978</c:v>
                </c:pt>
                <c:pt idx="44">
                  <c:v>1107.8777676120769</c:v>
                </c:pt>
                <c:pt idx="45">
                  <c:v>924.64690909090893</c:v>
                </c:pt>
                <c:pt idx="46">
                  <c:v>1206.5222627737228</c:v>
                </c:pt>
                <c:pt idx="47">
                  <c:v>1247.9513513513514</c:v>
                </c:pt>
                <c:pt idx="48">
                  <c:v>1400.2680628272253</c:v>
                </c:pt>
                <c:pt idx="49">
                  <c:v>1074.8644701691896</c:v>
                </c:pt>
                <c:pt idx="50">
                  <c:v>1134.6337801608577</c:v>
                </c:pt>
                <c:pt idx="51">
                  <c:v>999.24937833037325</c:v>
                </c:pt>
                <c:pt idx="52">
                  <c:v>963.7257548845472</c:v>
                </c:pt>
                <c:pt idx="53">
                  <c:v>921.9142857142856</c:v>
                </c:pt>
                <c:pt idx="54">
                  <c:v>852.55327433628293</c:v>
                </c:pt>
                <c:pt idx="55">
                  <c:v>918.48631578947436</c:v>
                </c:pt>
                <c:pt idx="56">
                  <c:v>928.43905013192602</c:v>
                </c:pt>
                <c:pt idx="57">
                  <c:v>955.17187499999989</c:v>
                </c:pt>
                <c:pt idx="58">
                  <c:v>1067.05438748914</c:v>
                </c:pt>
                <c:pt idx="59">
                  <c:v>1012.5868965517237</c:v>
                </c:pt>
                <c:pt idx="60">
                  <c:v>1199.0284734133793</c:v>
                </c:pt>
                <c:pt idx="61">
                  <c:v>1015.5480916030534</c:v>
                </c:pt>
                <c:pt idx="62">
                  <c:v>1076.9892583120206</c:v>
                </c:pt>
                <c:pt idx="63">
                  <c:v>1024.5176470588235</c:v>
                </c:pt>
                <c:pt idx="64">
                  <c:v>1371.9891063829784</c:v>
                </c:pt>
                <c:pt idx="65">
                  <c:v>1299.703465765004</c:v>
                </c:pt>
                <c:pt idx="66">
                  <c:v>851.51918505942319</c:v>
                </c:pt>
                <c:pt idx="67">
                  <c:v>1113.9645695364236</c:v>
                </c:pt>
                <c:pt idx="68">
                  <c:v>1166.7543888433142</c:v>
                </c:pt>
                <c:pt idx="69">
                  <c:v>1395.9088524590168</c:v>
                </c:pt>
                <c:pt idx="70">
                  <c:v>1782.350934199837</c:v>
                </c:pt>
                <c:pt idx="71">
                  <c:v>1373.0232558139535</c:v>
                </c:pt>
                <c:pt idx="72">
                  <c:v>1239.72192</c:v>
                </c:pt>
                <c:pt idx="73">
                  <c:v>1265.6964200477328</c:v>
                </c:pt>
                <c:pt idx="74">
                  <c:v>1504.3665071770331</c:v>
                </c:pt>
                <c:pt idx="75">
                  <c:v>1389.958293838863</c:v>
                </c:pt>
                <c:pt idx="76">
                  <c:v>1890.5874125874127</c:v>
                </c:pt>
                <c:pt idx="77">
                  <c:v>1582.1483320403411</c:v>
                </c:pt>
                <c:pt idx="78">
                  <c:v>1485.4704225352111</c:v>
                </c:pt>
                <c:pt idx="79">
                  <c:v>1499.7990697674429</c:v>
                </c:pt>
                <c:pt idx="80">
                  <c:v>1925.7152073732721</c:v>
                </c:pt>
                <c:pt idx="81">
                  <c:v>1727.7087022900764</c:v>
                </c:pt>
                <c:pt idx="82">
                  <c:v>1466.1904173106641</c:v>
                </c:pt>
                <c:pt idx="83">
                  <c:v>1455.4860854504245</c:v>
                </c:pt>
                <c:pt idx="84">
                  <c:v>1289.1902418896912</c:v>
                </c:pt>
                <c:pt idx="85">
                  <c:v>1163.0891952467791</c:v>
                </c:pt>
                <c:pt idx="86">
                  <c:v>1285.3245537943262</c:v>
                </c:pt>
                <c:pt idx="87">
                  <c:v>1197.5859863603714</c:v>
                </c:pt>
                <c:pt idx="88">
                  <c:v>1274.225340367952</c:v>
                </c:pt>
                <c:pt idx="89">
                  <c:v>1245.9797627336802</c:v>
                </c:pt>
                <c:pt idx="90">
                  <c:v>1455.5306241203248</c:v>
                </c:pt>
                <c:pt idx="91">
                  <c:v>1322.905135829651</c:v>
                </c:pt>
                <c:pt idx="92">
                  <c:v>1613.9429927660501</c:v>
                </c:pt>
                <c:pt idx="93">
                  <c:v>1251.1640201397388</c:v>
                </c:pt>
                <c:pt idx="94">
                  <c:v>1357.3533551016872</c:v>
                </c:pt>
                <c:pt idx="95">
                  <c:v>1184.7075595202489</c:v>
                </c:pt>
                <c:pt idx="96">
                  <c:v>1364.9118132011204</c:v>
                </c:pt>
                <c:pt idx="97">
                  <c:v>1275.8950467874574</c:v>
                </c:pt>
                <c:pt idx="98">
                  <c:v>1416.9441236133371</c:v>
                </c:pt>
                <c:pt idx="99">
                  <c:v>1484.6848053043157</c:v>
                </c:pt>
                <c:pt idx="100">
                  <c:v>1310.6889399275572</c:v>
                </c:pt>
                <c:pt idx="101">
                  <c:v>1014.1934156816633</c:v>
                </c:pt>
                <c:pt idx="102">
                  <c:v>1516.0778648725718</c:v>
                </c:pt>
                <c:pt idx="103">
                  <c:v>1229.6125920121724</c:v>
                </c:pt>
                <c:pt idx="104">
                  <c:v>1307.0734920938605</c:v>
                </c:pt>
                <c:pt idx="105">
                  <c:v>1684.1010139086432</c:v>
                </c:pt>
                <c:pt idx="106">
                  <c:v>955.94297352342141</c:v>
                </c:pt>
                <c:pt idx="107">
                  <c:v>1198.5040431266843</c:v>
                </c:pt>
                <c:pt idx="108">
                  <c:v>1244.2965931863728</c:v>
                </c:pt>
                <c:pt idx="109">
                  <c:v>1440.7307253684667</c:v>
                </c:pt>
                <c:pt idx="110">
                  <c:v>1766.0946234819939</c:v>
                </c:pt>
              </c:numCache>
            </c:numRef>
          </c:val>
          <c:smooth val="0"/>
          <c:extLst>
            <c:ext xmlns:c16="http://schemas.microsoft.com/office/drawing/2014/chart" uri="{C3380CC4-5D6E-409C-BE32-E72D297353CC}">
              <c16:uniqueId val="{00000000-E0D7-4248-80EF-997285299449}"/>
            </c:ext>
          </c:extLst>
        </c:ser>
        <c:dLbls>
          <c:showLegendKey val="0"/>
          <c:showVal val="0"/>
          <c:showCatName val="0"/>
          <c:showSerName val="0"/>
          <c:showPercent val="0"/>
          <c:showBubbleSize val="0"/>
        </c:dLbls>
        <c:marker val="1"/>
        <c:smooth val="0"/>
        <c:axId val="270702464"/>
        <c:axId val="270704000"/>
      </c:lineChart>
      <c:lineChart>
        <c:grouping val="standard"/>
        <c:varyColors val="0"/>
        <c:ser>
          <c:idx val="1"/>
          <c:order val="1"/>
          <c:tx>
            <c:strRef>
              <c:f>'Tab2'!$L$70</c:f>
              <c:strCache>
                <c:ptCount val="1"/>
                <c:pt idx="0">
                  <c:v>Antall</c:v>
                </c:pt>
              </c:strCache>
            </c:strRef>
          </c:tx>
          <c:spPr>
            <a:ln w="25400"/>
          </c:spPr>
          <c:marker>
            <c:symbol val="none"/>
          </c:marker>
          <c:val>
            <c:numRef>
              <c:f>'Tab2'!$O$103:$O$213</c:f>
              <c:numCache>
                <c:formatCode>#,##0</c:formatCode>
                <c:ptCount val="111"/>
                <c:pt idx="0">
                  <c:v>6727</c:v>
                </c:pt>
                <c:pt idx="1">
                  <c:v>5864</c:v>
                </c:pt>
                <c:pt idx="2">
                  <c:v>7951</c:v>
                </c:pt>
                <c:pt idx="3">
                  <c:v>13048</c:v>
                </c:pt>
                <c:pt idx="4">
                  <c:v>6509</c:v>
                </c:pt>
                <c:pt idx="5">
                  <c:v>5632</c:v>
                </c:pt>
                <c:pt idx="6">
                  <c:v>8642</c:v>
                </c:pt>
                <c:pt idx="7">
                  <c:v>7139</c:v>
                </c:pt>
                <c:pt idx="8">
                  <c:v>6982</c:v>
                </c:pt>
                <c:pt idx="9">
                  <c:v>6332</c:v>
                </c:pt>
                <c:pt idx="10">
                  <c:v>6675</c:v>
                </c:pt>
                <c:pt idx="11">
                  <c:v>6319</c:v>
                </c:pt>
                <c:pt idx="12">
                  <c:v>6291</c:v>
                </c:pt>
                <c:pt idx="13">
                  <c:v>5517</c:v>
                </c:pt>
                <c:pt idx="14">
                  <c:v>8952</c:v>
                </c:pt>
                <c:pt idx="15">
                  <c:v>8189</c:v>
                </c:pt>
                <c:pt idx="16">
                  <c:v>7699</c:v>
                </c:pt>
                <c:pt idx="17">
                  <c:v>5465</c:v>
                </c:pt>
                <c:pt idx="18">
                  <c:v>9139</c:v>
                </c:pt>
                <c:pt idx="19">
                  <c:v>7500</c:v>
                </c:pt>
                <c:pt idx="20">
                  <c:v>7239</c:v>
                </c:pt>
                <c:pt idx="21">
                  <c:v>6503</c:v>
                </c:pt>
                <c:pt idx="22">
                  <c:v>8934</c:v>
                </c:pt>
                <c:pt idx="23">
                  <c:v>7966</c:v>
                </c:pt>
                <c:pt idx="24">
                  <c:v>7574</c:v>
                </c:pt>
                <c:pt idx="25">
                  <c:v>7284</c:v>
                </c:pt>
                <c:pt idx="26">
                  <c:v>14581</c:v>
                </c:pt>
                <c:pt idx="27">
                  <c:v>9445</c:v>
                </c:pt>
                <c:pt idx="28">
                  <c:v>7614</c:v>
                </c:pt>
                <c:pt idx="29">
                  <c:v>6009</c:v>
                </c:pt>
                <c:pt idx="30">
                  <c:v>8328</c:v>
                </c:pt>
                <c:pt idx="31">
                  <c:v>7526</c:v>
                </c:pt>
                <c:pt idx="32">
                  <c:v>8863</c:v>
                </c:pt>
                <c:pt idx="33">
                  <c:v>5920</c:v>
                </c:pt>
                <c:pt idx="34">
                  <c:v>11181</c:v>
                </c:pt>
                <c:pt idx="35">
                  <c:v>9544</c:v>
                </c:pt>
                <c:pt idx="36">
                  <c:v>9154</c:v>
                </c:pt>
                <c:pt idx="37">
                  <c:v>10238</c:v>
                </c:pt>
                <c:pt idx="38">
                  <c:v>13877</c:v>
                </c:pt>
                <c:pt idx="39">
                  <c:v>9978</c:v>
                </c:pt>
                <c:pt idx="40">
                  <c:v>7776</c:v>
                </c:pt>
                <c:pt idx="41">
                  <c:v>5711</c:v>
                </c:pt>
                <c:pt idx="42">
                  <c:v>15359</c:v>
                </c:pt>
                <c:pt idx="43">
                  <c:v>9601</c:v>
                </c:pt>
                <c:pt idx="44">
                  <c:v>6856</c:v>
                </c:pt>
                <c:pt idx="45">
                  <c:v>9323</c:v>
                </c:pt>
                <c:pt idx="46">
                  <c:v>17422</c:v>
                </c:pt>
                <c:pt idx="47">
                  <c:v>8123</c:v>
                </c:pt>
                <c:pt idx="48">
                  <c:v>6823</c:v>
                </c:pt>
                <c:pt idx="49">
                  <c:v>5618</c:v>
                </c:pt>
                <c:pt idx="50">
                  <c:v>16056</c:v>
                </c:pt>
                <c:pt idx="51">
                  <c:v>7652</c:v>
                </c:pt>
                <c:pt idx="52">
                  <c:v>7033</c:v>
                </c:pt>
                <c:pt idx="53">
                  <c:v>6436</c:v>
                </c:pt>
                <c:pt idx="54">
                  <c:v>11805</c:v>
                </c:pt>
                <c:pt idx="55">
                  <c:v>10088</c:v>
                </c:pt>
                <c:pt idx="56">
                  <c:v>7287</c:v>
                </c:pt>
                <c:pt idx="57">
                  <c:v>6172</c:v>
                </c:pt>
                <c:pt idx="58">
                  <c:v>6734</c:v>
                </c:pt>
                <c:pt idx="59">
                  <c:v>8144</c:v>
                </c:pt>
                <c:pt idx="60">
                  <c:v>6106</c:v>
                </c:pt>
                <c:pt idx="61">
                  <c:v>5246</c:v>
                </c:pt>
                <c:pt idx="62">
                  <c:v>9450</c:v>
                </c:pt>
                <c:pt idx="63">
                  <c:v>10233</c:v>
                </c:pt>
                <c:pt idx="64">
                  <c:v>7737</c:v>
                </c:pt>
                <c:pt idx="65">
                  <c:v>5067</c:v>
                </c:pt>
                <c:pt idx="66">
                  <c:v>6417</c:v>
                </c:pt>
                <c:pt idx="67">
                  <c:v>5114</c:v>
                </c:pt>
                <c:pt idx="68">
                  <c:v>6274</c:v>
                </c:pt>
                <c:pt idx="69">
                  <c:v>5831</c:v>
                </c:pt>
                <c:pt idx="70">
                  <c:v>12252</c:v>
                </c:pt>
                <c:pt idx="71">
                  <c:v>7247</c:v>
                </c:pt>
                <c:pt idx="72">
                  <c:v>6194</c:v>
                </c:pt>
                <c:pt idx="73">
                  <c:v>5486</c:v>
                </c:pt>
                <c:pt idx="74">
                  <c:v>13278</c:v>
                </c:pt>
                <c:pt idx="75">
                  <c:v>6227</c:v>
                </c:pt>
                <c:pt idx="76">
                  <c:v>6690</c:v>
                </c:pt>
                <c:pt idx="77">
                  <c:v>5716</c:v>
                </c:pt>
                <c:pt idx="78">
                  <c:v>9089</c:v>
                </c:pt>
                <c:pt idx="79">
                  <c:v>5858</c:v>
                </c:pt>
                <c:pt idx="80">
                  <c:v>5959</c:v>
                </c:pt>
                <c:pt idx="81">
                  <c:v>7524</c:v>
                </c:pt>
                <c:pt idx="82">
                  <c:v>10171</c:v>
                </c:pt>
                <c:pt idx="83">
                  <c:v>8775.7956028314002</c:v>
                </c:pt>
                <c:pt idx="84">
                  <c:v>6822.44890070785</c:v>
                </c:pt>
                <c:pt idx="85">
                  <c:v>4838.55109929215</c:v>
                </c:pt>
                <c:pt idx="86" formatCode="0">
                  <c:v>6828.0536397386386</c:v>
                </c:pt>
                <c:pt idx="87" formatCode="0">
                  <c:v>5621.9463602613596</c:v>
                </c:pt>
                <c:pt idx="88" formatCode="0">
                  <c:v>5520.4451678348678</c:v>
                </c:pt>
                <c:pt idx="89" formatCode="0">
                  <c:v>6388.5548321651322</c:v>
                </c:pt>
                <c:pt idx="90" formatCode="0">
                  <c:v>11492.955434782609</c:v>
                </c:pt>
                <c:pt idx="91" formatCode="0">
                  <c:v>7745.0445652173912</c:v>
                </c:pt>
                <c:pt idx="92" formatCode="0">
                  <c:v>7032</c:v>
                </c:pt>
                <c:pt idx="93" formatCode="0">
                  <c:v>6228</c:v>
                </c:pt>
                <c:pt idx="94" formatCode="0">
                  <c:v>20407</c:v>
                </c:pt>
                <c:pt idx="95" formatCode="0">
                  <c:v>12863</c:v>
                </c:pt>
                <c:pt idx="96" formatCode="0">
                  <c:v>9848</c:v>
                </c:pt>
                <c:pt idx="97" formatCode="0">
                  <c:v>5422.7168724637304</c:v>
                </c:pt>
                <c:pt idx="98" formatCode="0">
                  <c:v>8619.8584362319707</c:v>
                </c:pt>
                <c:pt idx="99" formatCode="0">
                  <c:v>7193.856491304301</c:v>
                </c:pt>
                <c:pt idx="100" formatCode="0">
                  <c:v>6682.5362000000005</c:v>
                </c:pt>
                <c:pt idx="101" formatCode="0">
                  <c:v>5385.3991579709982</c:v>
                </c:pt>
                <c:pt idx="102" formatCode="0">
                  <c:v>9666.7747891530034</c:v>
                </c:pt>
                <c:pt idx="103" formatCode="0">
                  <c:v>6575.4640743699983</c:v>
                </c:pt>
                <c:pt idx="104" formatCode="0">
                  <c:v>7124.2571060979999</c:v>
                </c:pt>
                <c:pt idx="105" formatCode="0">
                  <c:v>5007.3623026510004</c:v>
                </c:pt>
                <c:pt idx="106" formatCode="0">
                  <c:v>8892</c:v>
                </c:pt>
                <c:pt idx="107" formatCode="0">
                  <c:v>6366</c:v>
                </c:pt>
                <c:pt idx="108" formatCode="0">
                  <c:v>6317</c:v>
                </c:pt>
                <c:pt idx="109" formatCode="0">
                  <c:v>5869.5992710140017</c:v>
                </c:pt>
                <c:pt idx="110" formatCode="0">
                  <c:v>10333.380031159912</c:v>
                </c:pt>
              </c:numCache>
            </c:numRef>
          </c:val>
          <c:smooth val="0"/>
          <c:extLst>
            <c:ext xmlns:c16="http://schemas.microsoft.com/office/drawing/2014/chart" uri="{C3380CC4-5D6E-409C-BE32-E72D297353CC}">
              <c16:uniqueId val="{00000001-E0D7-4248-80EF-997285299449}"/>
            </c:ext>
          </c:extLst>
        </c:ser>
        <c:dLbls>
          <c:showLegendKey val="0"/>
          <c:showVal val="0"/>
          <c:showCatName val="0"/>
          <c:showSerName val="0"/>
          <c:showPercent val="0"/>
          <c:showBubbleSize val="0"/>
        </c:dLbls>
        <c:upDownBars>
          <c:gapWidth val="150"/>
          <c:upBars/>
          <c:downBars/>
        </c:upDownBars>
        <c:marker val="1"/>
        <c:smooth val="0"/>
        <c:axId val="270716288"/>
        <c:axId val="270714368"/>
      </c:lineChart>
      <c:catAx>
        <c:axId val="270702464"/>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nb-NO"/>
          </a:p>
        </c:txPr>
        <c:crossAx val="270704000"/>
        <c:crosses val="autoZero"/>
        <c:auto val="1"/>
        <c:lblAlgn val="ctr"/>
        <c:lblOffset val="100"/>
        <c:tickLblSkip val="1"/>
        <c:tickMarkSkip val="4"/>
        <c:noMultiLvlLbl val="0"/>
      </c:catAx>
      <c:valAx>
        <c:axId val="27070400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02464"/>
        <c:crosses val="autoZero"/>
        <c:crossBetween val="between"/>
      </c:valAx>
      <c:valAx>
        <c:axId val="270714368"/>
        <c:scaling>
          <c:orientation val="minMax"/>
        </c:scaling>
        <c:delete val="0"/>
        <c:axPos val="r"/>
        <c:title>
          <c:tx>
            <c:rich>
              <a:bodyPr rot="-5400000" vert="horz"/>
              <a:lstStyle/>
              <a:p>
                <a:pPr>
                  <a:defRPr/>
                </a:pPr>
                <a:r>
                  <a:rPr lang="en-US"/>
                  <a:t>Antall meldte brannskader</a:t>
                </a:r>
              </a:p>
            </c:rich>
          </c:tx>
          <c:overlay val="0"/>
        </c:title>
        <c:numFmt formatCode="#,##0" sourceLinked="1"/>
        <c:majorTickMark val="out"/>
        <c:minorTickMark val="none"/>
        <c:tickLblPos val="nextTo"/>
        <c:crossAx val="270716288"/>
        <c:crosses val="max"/>
        <c:crossBetween val="between"/>
      </c:valAx>
      <c:catAx>
        <c:axId val="270716288"/>
        <c:scaling>
          <c:orientation val="minMax"/>
        </c:scaling>
        <c:delete val="1"/>
        <c:axPos val="b"/>
        <c:majorTickMark val="out"/>
        <c:minorTickMark val="none"/>
        <c:tickLblPos val="none"/>
        <c:crossAx val="270714368"/>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7</xdr:col>
      <xdr:colOff>689610</xdr:colOff>
      <xdr:row>54</xdr:row>
      <xdr:rowOff>137160</xdr:rowOff>
    </xdr:to>
    <xdr:pic>
      <xdr:nvPicPr>
        <xdr:cNvPr id="8" name="Picture 7" descr="Statistikk_forside.pdf">
          <a:extLst>
            <a:ext uri="{FF2B5EF4-FFF2-40B4-BE49-F238E27FC236}">
              <a16:creationId xmlns:a16="http://schemas.microsoft.com/office/drawing/2014/main" id="{E554EBFC-516D-4BCF-990C-BC1D34E537A6}"/>
            </a:ext>
          </a:extLst>
        </xdr:cNvPr>
        <xdr:cNvPicPr>
          <a:picLocks noChangeAspect="1"/>
        </xdr:cNvPicPr>
      </xdr:nvPicPr>
      <xdr:blipFill>
        <a:blip xmlns:r="http://schemas.openxmlformats.org/officeDocument/2006/relationships" r:embed="rId1" cstate="print"/>
        <a:srcRect/>
        <a:stretch>
          <a:fillRect/>
        </a:stretch>
      </xdr:blipFill>
      <xdr:spPr bwMode="auto">
        <a:xfrm>
          <a:off x="0" y="9525"/>
          <a:ext cx="6779860" cy="11807801"/>
        </a:xfrm>
        <a:prstGeom prst="rect">
          <a:avLst/>
        </a:prstGeom>
        <a:noFill/>
        <a:ln w="9525">
          <a:noFill/>
          <a:miter lim="800000"/>
          <a:headEnd/>
          <a:tailEnd/>
        </a:ln>
      </xdr:spPr>
    </xdr:pic>
    <xdr:clientData/>
  </xdr:twoCellAnchor>
  <xdr:twoCellAnchor>
    <xdr:from>
      <xdr:col>0</xdr:col>
      <xdr:colOff>695325</xdr:colOff>
      <xdr:row>41</xdr:row>
      <xdr:rowOff>123825</xdr:rowOff>
    </xdr:from>
    <xdr:to>
      <xdr:col>4</xdr:col>
      <xdr:colOff>815992</xdr:colOff>
      <xdr:row>44</xdr:row>
      <xdr:rowOff>85725</xdr:rowOff>
    </xdr:to>
    <xdr:sp macro="" textlink="">
      <xdr:nvSpPr>
        <xdr:cNvPr id="3" name="Text Box 6">
          <a:extLst>
            <a:ext uri="{FF2B5EF4-FFF2-40B4-BE49-F238E27FC236}">
              <a16:creationId xmlns:a16="http://schemas.microsoft.com/office/drawing/2014/main" id="{00000000-0008-0000-0000-000003000000}"/>
            </a:ext>
          </a:extLst>
        </xdr:cNvPr>
        <xdr:cNvSpPr txBox="1"/>
      </xdr:nvSpPr>
      <xdr:spPr>
        <a:xfrm>
          <a:off x="695325" y="9172575"/>
          <a:ext cx="3492517" cy="523875"/>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1600" b="1">
              <a:effectLst/>
              <a:latin typeface="Arial"/>
              <a:ea typeface="ＭＳ 明朝"/>
              <a:cs typeface="Times New Roman"/>
            </a:rPr>
            <a:t>3. KVARTAL 2018 </a:t>
          </a:r>
          <a:r>
            <a:rPr lang="nb-NO" sz="1000">
              <a:effectLst/>
              <a:latin typeface="Arial"/>
              <a:ea typeface="ＭＳ 明朝"/>
              <a:cs typeface="Times New Roman"/>
            </a:rPr>
            <a:t>(27. november 2018)</a:t>
          </a:r>
          <a:endParaRPr lang="nb-NO" sz="1200">
            <a:effectLst/>
            <a:ea typeface="ＭＳ 明朝"/>
            <a:cs typeface="Times New Roman"/>
          </a:endParaRPr>
        </a:p>
      </xdr:txBody>
    </xdr:sp>
    <xdr:clientData/>
  </xdr:twoCellAnchor>
  <xdr:twoCellAnchor>
    <xdr:from>
      <xdr:col>0</xdr:col>
      <xdr:colOff>666750</xdr:colOff>
      <xdr:row>33</xdr:row>
      <xdr:rowOff>0</xdr:rowOff>
    </xdr:from>
    <xdr:to>
      <xdr:col>7</xdr:col>
      <xdr:colOff>466725</xdr:colOff>
      <xdr:row>38</xdr:row>
      <xdr:rowOff>101600</xdr:rowOff>
    </xdr:to>
    <xdr:sp macro="" textlink="">
      <xdr:nvSpPr>
        <xdr:cNvPr id="4" name="Text Box 4">
          <a:extLst>
            <a:ext uri="{FF2B5EF4-FFF2-40B4-BE49-F238E27FC236}">
              <a16:creationId xmlns:a16="http://schemas.microsoft.com/office/drawing/2014/main" id="{00000000-0008-0000-0000-000004000000}"/>
            </a:ext>
          </a:extLst>
        </xdr:cNvPr>
        <xdr:cNvSpPr txBox="1"/>
      </xdr:nvSpPr>
      <xdr:spPr>
        <a:xfrm>
          <a:off x="666750" y="7353300"/>
          <a:ext cx="5638800" cy="1168400"/>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2800" b="1">
              <a:solidFill>
                <a:srgbClr val="54758C"/>
              </a:solidFill>
              <a:effectLst/>
              <a:latin typeface="Arial"/>
              <a:ea typeface="ＭＳ 明朝"/>
              <a:cs typeface="Times New Roman"/>
            </a:rPr>
            <a:t>SKADESTATISTIKK	</a:t>
          </a:r>
          <a:endParaRPr lang="nb-NO" sz="1200">
            <a:effectLst/>
            <a:ea typeface="ＭＳ 明朝"/>
            <a:cs typeface="Times New Roman"/>
          </a:endParaRPr>
        </a:p>
        <a:p>
          <a:pPr>
            <a:lnSpc>
              <a:spcPct val="120000"/>
            </a:lnSpc>
            <a:spcAft>
              <a:spcPts val="0"/>
            </a:spcAft>
          </a:pPr>
          <a:r>
            <a:rPr lang="en-GB" sz="2600">
              <a:solidFill>
                <a:srgbClr val="54758C"/>
              </a:solidFill>
              <a:effectLst/>
              <a:latin typeface="Arial"/>
              <a:ea typeface="ＭＳ 明朝"/>
              <a:cs typeface="MinionPro-Regular"/>
            </a:rPr>
            <a:t>landbasert forsikring</a:t>
          </a:r>
          <a:endParaRPr lang="nb-NO" sz="1200">
            <a:solidFill>
              <a:srgbClr val="000000"/>
            </a:solidFill>
            <a:effectLst/>
            <a:latin typeface="MinionPro-Regular"/>
            <a:ea typeface="ＭＳ 明朝"/>
            <a:cs typeface="MinionPro-Regular"/>
          </a:endParaRPr>
        </a:p>
        <a:p>
          <a:pPr>
            <a:spcAft>
              <a:spcPts val="0"/>
            </a:spcAft>
          </a:pPr>
          <a:r>
            <a:rPr lang="nb-NO" sz="1200">
              <a:effectLst/>
              <a:ea typeface="ＭＳ 明朝"/>
              <a:cs typeface="Times New Roman"/>
            </a:rPr>
            <a:t> </a:t>
          </a:r>
        </a:p>
      </xdr:txBody>
    </xdr:sp>
    <xdr:clientData/>
  </xdr:twoCellAnchor>
  <xdr:twoCellAnchor>
    <xdr:from>
      <xdr:col>0</xdr:col>
      <xdr:colOff>654050</xdr:colOff>
      <xdr:row>37</xdr:row>
      <xdr:rowOff>101600</xdr:rowOff>
    </xdr:from>
    <xdr:to>
      <xdr:col>7</xdr:col>
      <xdr:colOff>295303</xdr:colOff>
      <xdr:row>39</xdr:row>
      <xdr:rowOff>85809</xdr:rowOff>
    </xdr:to>
    <xdr:sp macro="" textlink="">
      <xdr:nvSpPr>
        <xdr:cNvPr id="5" name="Text Box 5">
          <a:extLst>
            <a:ext uri="{FF2B5EF4-FFF2-40B4-BE49-F238E27FC236}">
              <a16:creationId xmlns:a16="http://schemas.microsoft.com/office/drawing/2014/main" id="{00000000-0008-0000-0000-000005000000}"/>
            </a:ext>
          </a:extLst>
        </xdr:cNvPr>
        <xdr:cNvSpPr txBox="1"/>
      </xdr:nvSpPr>
      <xdr:spPr>
        <a:xfrm>
          <a:off x="654050" y="8359775"/>
          <a:ext cx="5480078" cy="374734"/>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20000"/>
            </a:lnSpc>
            <a:spcAft>
              <a:spcPts val="0"/>
            </a:spcAft>
          </a:pPr>
          <a:r>
            <a:rPr lang="nb-NO" sz="1400">
              <a:solidFill>
                <a:srgbClr val="000000"/>
              </a:solidFill>
              <a:effectLst/>
              <a:latin typeface="Arial"/>
              <a:ea typeface="ＭＳ 明朝"/>
              <a:cs typeface="MinionPro-Regular"/>
            </a:rPr>
            <a:t>Statistikk over antall meldte skader og totalt anslåtte erstatninger</a:t>
          </a:r>
          <a:endParaRPr lang="nb-NO" sz="1200">
            <a:solidFill>
              <a:srgbClr val="000000"/>
            </a:solidFill>
            <a:effectLst/>
            <a:latin typeface="MinionPro-Regular"/>
            <a:ea typeface="ＭＳ 明朝"/>
            <a:cs typeface="MinionPro-Regular"/>
          </a:endParaRPr>
        </a:p>
        <a:p>
          <a:pPr>
            <a:spcAft>
              <a:spcPts val="0"/>
            </a:spcAft>
          </a:pPr>
          <a:r>
            <a:rPr lang="nb-NO" sz="1200">
              <a:effectLst/>
              <a:ea typeface="ＭＳ 明朝"/>
              <a:cs typeface="Times New Roman"/>
            </a:rPr>
            <a:t> </a:t>
          </a:r>
        </a:p>
      </xdr:txBody>
    </xdr:sp>
    <xdr:clientData/>
  </xdr:twoCellAnchor>
  <xdr:twoCellAnchor>
    <xdr:from>
      <xdr:col>0</xdr:col>
      <xdr:colOff>108858</xdr:colOff>
      <xdr:row>4</xdr:row>
      <xdr:rowOff>123825</xdr:rowOff>
    </xdr:from>
    <xdr:to>
      <xdr:col>2</xdr:col>
      <xdr:colOff>346333</xdr:colOff>
      <xdr:row>7</xdr:row>
      <xdr:rowOff>149678</xdr:rowOff>
    </xdr:to>
    <xdr:sp macro="" textlink="">
      <xdr:nvSpPr>
        <xdr:cNvPr id="6" name="Text Box 3">
          <a:extLst>
            <a:ext uri="{FF2B5EF4-FFF2-40B4-BE49-F238E27FC236}">
              <a16:creationId xmlns:a16="http://schemas.microsoft.com/office/drawing/2014/main" id="{00000000-0008-0000-0000-000006000000}"/>
            </a:ext>
          </a:extLst>
        </xdr:cNvPr>
        <xdr:cNvSpPr txBox="1"/>
      </xdr:nvSpPr>
      <xdr:spPr>
        <a:xfrm>
          <a:off x="108858" y="771525"/>
          <a:ext cx="2085325" cy="644978"/>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ct val="120000"/>
            </a:lnSpc>
            <a:spcAft>
              <a:spcPts val="0"/>
            </a:spcAft>
          </a:pPr>
          <a:r>
            <a:rPr lang="nb-NO" sz="1400" cap="all">
              <a:ln w="0" cap="flat" cmpd="sng" algn="ctr">
                <a:noFill/>
                <a:prstDash val="solid"/>
                <a:round/>
              </a:ln>
              <a:solidFill>
                <a:schemeClr val="bg1"/>
              </a:solidFill>
              <a:effectLst/>
              <a:latin typeface="Arial"/>
              <a:ea typeface="ＭＳ 明朝"/>
              <a:cs typeface="Arial"/>
            </a:rPr>
            <a:t>SKADEFORSIKRING</a:t>
          </a:r>
          <a:endParaRPr lang="nb-NO" sz="1400">
            <a:ln w="0" cap="flat" cmpd="sng" algn="ctr">
              <a:noFill/>
              <a:prstDash val="solid"/>
              <a:round/>
            </a:ln>
            <a:solidFill>
              <a:schemeClr val="bg1"/>
            </a:solidFill>
            <a:effectLst/>
            <a:latin typeface="Arial"/>
            <a:ea typeface="ＭＳ 明朝"/>
            <a:cs typeface="Arial"/>
          </a:endParaRPr>
        </a:p>
        <a:p>
          <a:pPr>
            <a:spcAft>
              <a:spcPts val="0"/>
            </a:spcAft>
          </a:pPr>
          <a:r>
            <a:rPr lang="nb-NO" sz="1200">
              <a:effectLst/>
              <a:ea typeface="ＭＳ 明朝"/>
              <a:cs typeface="Times New Roman"/>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276225</xdr:colOff>
      <xdr:row>109</xdr:row>
      <xdr:rowOff>7908</xdr:rowOff>
    </xdr:from>
    <xdr:to>
      <xdr:col>7</xdr:col>
      <xdr:colOff>342900</xdr:colOff>
      <xdr:row>120</xdr:row>
      <xdr:rowOff>95249</xdr:rowOff>
    </xdr:to>
    <xdr:sp macro="" textlink="">
      <xdr:nvSpPr>
        <xdr:cNvPr id="3310" name="Text Box 4">
          <a:extLst>
            <a:ext uri="{FF2B5EF4-FFF2-40B4-BE49-F238E27FC236}">
              <a16:creationId xmlns:a16="http://schemas.microsoft.com/office/drawing/2014/main" id="{00000000-0008-0000-0100-0000EE0C0000}"/>
            </a:ext>
          </a:extLst>
        </xdr:cNvPr>
        <xdr:cNvSpPr txBox="1">
          <a:spLocks noChangeArrowheads="1"/>
        </xdr:cNvSpPr>
      </xdr:nvSpPr>
      <xdr:spPr bwMode="auto">
        <a:xfrm>
          <a:off x="3552825" y="17657733"/>
          <a:ext cx="2524125" cy="1868516"/>
        </a:xfrm>
        <a:prstGeom prst="rect">
          <a:avLst/>
        </a:prstGeom>
        <a:solidFill>
          <a:srgbClr val="FFFFFF"/>
        </a:solidFill>
        <a:ln w="9525">
          <a:noFill/>
          <a:miter lim="800000"/>
          <a:headEnd/>
          <a:tailEnd/>
        </a:ln>
      </xdr:spPr>
      <xdr:txBody>
        <a:bodyPr/>
        <a:lstStyle/>
        <a:p>
          <a:endParaRPr lang="nb-NO" sz="1100" b="0" i="0" baseline="0">
            <a:solidFill>
              <a:schemeClr val="dk1"/>
            </a:solidFill>
            <a:latin typeface="Times New Roman" pitchFamily="18" charset="0"/>
            <a:ea typeface="+mn-ea"/>
            <a:cs typeface="Times New Roman" pitchFamily="18" charset="0"/>
          </a:endParaRPr>
        </a:p>
      </xdr:txBody>
    </xdr:sp>
    <xdr:clientData/>
  </xdr:twoCellAnchor>
  <xdr:twoCellAnchor>
    <xdr:from>
      <xdr:col>1</xdr:col>
      <xdr:colOff>38100</xdr:colOff>
      <xdr:row>91</xdr:row>
      <xdr:rowOff>38101</xdr:rowOff>
    </xdr:from>
    <xdr:to>
      <xdr:col>7</xdr:col>
      <xdr:colOff>457200</xdr:colOff>
      <xdr:row>102</xdr:row>
      <xdr:rowOff>142876</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790575" y="14773276"/>
          <a:ext cx="5400675" cy="1885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eaLnBrk="1" fontAlgn="auto" latinLnBrk="0" hangingPunct="1"/>
          <a:endParaRPr lang="en-US" sz="1200" b="1" i="0" baseline="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87951</xdr:colOff>
      <xdr:row>3</xdr:row>
      <xdr:rowOff>89715</xdr:rowOff>
    </xdr:from>
    <xdr:to>
      <xdr:col>2</xdr:col>
      <xdr:colOff>129397</xdr:colOff>
      <xdr:row>45</xdr:row>
      <xdr:rowOff>161746</xdr:rowOff>
    </xdr:to>
    <xdr:sp macro="" textlink="">
      <xdr:nvSpPr>
        <xdr:cNvPr id="5121" name="Text Box 1">
          <a:extLst>
            <a:ext uri="{FF2B5EF4-FFF2-40B4-BE49-F238E27FC236}">
              <a16:creationId xmlns:a16="http://schemas.microsoft.com/office/drawing/2014/main" id="{00000000-0008-0000-0200-000001140000}"/>
            </a:ext>
          </a:extLst>
        </xdr:cNvPr>
        <xdr:cNvSpPr txBox="1">
          <a:spLocks noChangeArrowheads="1"/>
        </xdr:cNvSpPr>
      </xdr:nvSpPr>
      <xdr:spPr bwMode="auto">
        <a:xfrm>
          <a:off x="87951" y="413205"/>
          <a:ext cx="2650936" cy="8223994"/>
        </a:xfrm>
        <a:prstGeom prst="rect">
          <a:avLst/>
        </a:prstGeom>
        <a:solidFill>
          <a:srgbClr val="FFFFFF"/>
        </a:solidFill>
        <a:ln w="9525">
          <a:noFill/>
          <a:miter lim="800000"/>
          <a:headEnd/>
          <a:tailEnd/>
        </a:ln>
      </xdr:spPr>
      <xdr:txBody>
        <a:bodyPr vertOverflow="clip" wrap="square" lIns="27432" tIns="27432" rIns="0" bIns="0" anchor="t" upright="1"/>
        <a:lstStyle/>
        <a:p>
          <a:pPr marL="0" marR="0" lvl="0" indent="0" defTabSz="914400" rtl="0" eaLnBrk="1" fontAlgn="auto" latinLnBrk="0" hangingPunct="1">
            <a:lnSpc>
              <a:spcPct val="100000"/>
            </a:lnSpc>
            <a:spcBef>
              <a:spcPts val="0"/>
            </a:spcBef>
            <a:spcAft>
              <a:spcPts val="0"/>
            </a:spcAft>
            <a:buClrTx/>
            <a:buSzTx/>
            <a:buFontTx/>
            <a:buNone/>
            <a:tabLst/>
            <a:defRPr/>
          </a:pPr>
          <a:r>
            <a:rPr lang="nb-NO" sz="1200" b="1" i="0">
              <a:effectLst/>
              <a:latin typeface="Times New Roman" panose="02020603050405020304" pitchFamily="18" charset="0"/>
              <a:ea typeface="+mn-ea"/>
              <a:cs typeface="Times New Roman" panose="02020603050405020304" pitchFamily="18" charset="0"/>
            </a:rPr>
            <a:t>1. </a:t>
          </a:r>
          <a:r>
            <a:rPr lang="en-US" sz="1200" b="1" i="0" baseline="0">
              <a:effectLst/>
              <a:latin typeface="Times New Roman" panose="02020603050405020304" pitchFamily="18" charset="0"/>
              <a:ea typeface="+mn-ea"/>
              <a:cs typeface="Times New Roman" panose="02020603050405020304" pitchFamily="18" charset="0"/>
            </a:rPr>
            <a:t>HOVEDTREKK</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1">
              <a:effectLst/>
              <a:latin typeface="Times New Roman" panose="02020603050405020304" pitchFamily="18" charset="0"/>
              <a:ea typeface="+mn-ea"/>
              <a:cs typeface="Times New Roman" panose="02020603050405020304" pitchFamily="18" charset="0"/>
            </a:rPr>
            <a:t>- Streng vinter, tørr sommer og våt september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a:effectLst/>
              <a:latin typeface="Times New Roman" panose="02020603050405020304" pitchFamily="18" charset="0"/>
              <a:ea typeface="+mn-ea"/>
              <a:cs typeface="Times New Roman" panose="02020603050405020304" pitchFamily="18" charset="0"/>
            </a:rPr>
            <a:t>Erstatningene for landbasert forsikring hittil i år er på 32,1 milliarder kr, hele 4,2 milliarder kr mer enn tilsvarende periode i fjor. Det er bygningsskadene som har økt mest, hvor erstatningene er på 12,0 milliarder kr hittil i år noe som er 32 prosent høyere enn i fjor; mye kan tilskrives frost og snøtyngde i årets første fire måneder, deretter en tørr sommer og en våt september. Erstatning etter vannskader ble på nesten 3,5 milliarder kr hittil i år som er 28 prosent mer enn i fjor til samme tid. Også erstatning etter brann økte mye fra i fjor – fra 3,9 milliarder kr til nesten 4,6 milliarder kr. Den fine sommeren ga mange båt- og reiseskader og en del avlingsskader i landbruket. På motorvognforsikring er det sesongvariasjoner, vinteren 2018 førte til mange skader og isolert i 3.kvartal i år har det også vært en stor økning av antall skader i trafikken; hittil i år er det meldt 12 prosent flere skader og nesten 9 prosent høyere erstatning enn i fjor. </a:t>
          </a:r>
        </a:p>
        <a:p>
          <a:pPr rtl="0"/>
          <a:endParaRPr lang="en-US" sz="1100" b="1" i="0">
            <a:latin typeface="Times New Roman" pitchFamily="18" charset="0"/>
            <a:ea typeface="+mn-ea"/>
            <a:cs typeface="Times New Roman" pitchFamily="18"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1" i="0">
              <a:latin typeface="Times New Roman" pitchFamily="18" charset="0"/>
              <a:ea typeface="+mn-ea"/>
              <a:cs typeface="Times New Roman" pitchFamily="18" charset="0"/>
            </a:rPr>
            <a:t>Motorvogn - økte tingskader</a:t>
          </a:r>
        </a:p>
        <a:p>
          <a:r>
            <a:rPr lang="nb-NO" sz="1100">
              <a:effectLst/>
              <a:latin typeface="Times New Roman" panose="02020603050405020304" pitchFamily="18" charset="0"/>
              <a:ea typeface="+mn-ea"/>
              <a:cs typeface="Times New Roman" panose="02020603050405020304" pitchFamily="18" charset="0"/>
            </a:rPr>
            <a:t>Totale motorvognerstatninger hittil i år ble på 11,3 milliarder kr som er 916 mill.kr mer enn i fjor. Antall meldte skader totalt er på 698 000 som er 75 000 flere enn i fjor. Relativt til bestandsveksten på 1 prosent fra i fjor, viser skadeutviklingen at skadefrekvens har økt hittil i år. Størst økning var det på kaskoskadene; nesten 21 prosent flere skader og 14 prosent større erstatningsbeløp.  </a:t>
          </a:r>
          <a:endParaRPr lang="en-US" sz="1100" b="1" i="0">
            <a:latin typeface="Times New Roman" pitchFamily="18" charset="0"/>
            <a:ea typeface="+mn-ea"/>
            <a:cs typeface="Times New Roman" pitchFamily="18" charset="0"/>
          </a:endParaRPr>
        </a:p>
        <a:p>
          <a:pPr rtl="0"/>
          <a:endParaRPr lang="en-US" sz="1100" b="1" i="0">
            <a:latin typeface="Times New Roman" pitchFamily="18" charset="0"/>
            <a:ea typeface="+mn-ea"/>
            <a:cs typeface="Times New Roman" pitchFamily="18" charset="0"/>
          </a:endParaRPr>
        </a:p>
        <a:p>
          <a:pPr rtl="0"/>
          <a:r>
            <a:rPr lang="en-US" sz="1100" b="1" i="0">
              <a:latin typeface="Times New Roman" pitchFamily="18" charset="0"/>
              <a:ea typeface="+mn-ea"/>
              <a:cs typeface="Times New Roman" pitchFamily="18" charset="0"/>
            </a:rPr>
            <a:t>Brann-kombinert privatmarkedet - vann i september, brann i sommer</a:t>
          </a:r>
        </a:p>
        <a:p>
          <a:pPr rtl="0"/>
          <a:r>
            <a:rPr lang="en-US" sz="1100" b="0" i="0">
              <a:latin typeface="Times New Roman" pitchFamily="18" charset="0"/>
              <a:ea typeface="+mn-ea"/>
              <a:cs typeface="Times New Roman" pitchFamily="18" charset="0"/>
            </a:rPr>
            <a:t>Totalt ble det erstattet skader på private bygninger og innbo hittil i år med 6,7 milliarder kr, noe som er 29 prosent økning fra i fjor. Størst erstatningsøkning er det på skadetype kasko som økte med nesten 69 prosent fra i fjor til samme tid – fra 613 mill. kr til 1 033 mill. kr; blant annet inneholder «kasko-begrepet» takskader etter snøtyngde. </a:t>
          </a:r>
          <a:endParaRPr lang="en-US" sz="1100" b="1" i="0">
            <a:latin typeface="Times New Roman" pitchFamily="18" charset="0"/>
            <a:ea typeface="+mn-ea"/>
            <a:cs typeface="Times New Roman" pitchFamily="18"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lang="nb-NO" sz="1100" b="1" i="0">
            <a:latin typeface="Times New Roman" pitchFamily="18" charset="0"/>
            <a:ea typeface="+mn-ea"/>
            <a:cs typeface="Times New Roman" pitchFamily="18" charset="0"/>
          </a:endParaRPr>
        </a:p>
        <a:p>
          <a:pPr rtl="0"/>
          <a:endParaRPr lang="nb-NO" sz="1100" b="0" i="0" baseline="0">
            <a:latin typeface="Times New Roman" pitchFamily="18" charset="0"/>
            <a:ea typeface="+mn-ea"/>
            <a:cs typeface="Times New Roman" pitchFamily="18" charset="0"/>
          </a:endParaRPr>
        </a:p>
      </xdr:txBody>
    </xdr:sp>
    <xdr:clientData/>
  </xdr:twoCellAnchor>
  <xdr:twoCellAnchor>
    <xdr:from>
      <xdr:col>2</xdr:col>
      <xdr:colOff>316302</xdr:colOff>
      <xdr:row>2</xdr:row>
      <xdr:rowOff>53915</xdr:rowOff>
    </xdr:from>
    <xdr:to>
      <xdr:col>6</xdr:col>
      <xdr:colOff>452815</xdr:colOff>
      <xdr:row>46</xdr:row>
      <xdr:rowOff>7187</xdr:rowOff>
    </xdr:to>
    <xdr:sp macro="" textlink="">
      <xdr:nvSpPr>
        <xdr:cNvPr id="5122" name="Text Box 2">
          <a:extLst>
            <a:ext uri="{FF2B5EF4-FFF2-40B4-BE49-F238E27FC236}">
              <a16:creationId xmlns:a16="http://schemas.microsoft.com/office/drawing/2014/main" id="{00000000-0008-0000-0200-000002140000}"/>
            </a:ext>
          </a:extLst>
        </xdr:cNvPr>
        <xdr:cNvSpPr txBox="1">
          <a:spLocks noChangeArrowheads="1"/>
        </xdr:cNvSpPr>
      </xdr:nvSpPr>
      <xdr:spPr bwMode="auto">
        <a:xfrm>
          <a:off x="2925792" y="312708"/>
          <a:ext cx="2659741" cy="8364027"/>
        </a:xfrm>
        <a:prstGeom prst="rect">
          <a:avLst/>
        </a:prstGeom>
        <a:solidFill>
          <a:srgbClr val="FFFFFF"/>
        </a:solidFill>
        <a:ln w="9525">
          <a:noFill/>
          <a:miter lim="800000"/>
          <a:headEnd/>
          <a:tailEnd/>
        </a:ln>
      </xdr:spPr>
      <xdr:txBody>
        <a:bodyPr vertOverflow="clip" wrap="square" lIns="27432" tIns="27432" rIns="0" bIns="0" anchor="t" upright="1"/>
        <a:lstStyle/>
        <a:p>
          <a:pPr marL="0" marR="0" lvl="0" indent="0" defTabSz="914400" rtl="0" eaLnBrk="1" fontAlgn="auto" latinLnBrk="0" hangingPunct="1">
            <a:lnSpc>
              <a:spcPct val="100000"/>
            </a:lnSpc>
            <a:spcBef>
              <a:spcPts val="0"/>
            </a:spcBef>
            <a:spcAft>
              <a:spcPts val="0"/>
            </a:spcAft>
            <a:buClrTx/>
            <a:buSzTx/>
            <a:buFontTx/>
            <a:buNone/>
            <a:tabLst/>
            <a:defRPr/>
          </a:pPr>
          <a:r>
            <a:rPr lang="en-US" sz="1100" b="0" i="0">
              <a:effectLst/>
              <a:latin typeface="Times New Roman" panose="02020603050405020304" pitchFamily="18" charset="0"/>
              <a:ea typeface="+mn-ea"/>
              <a:cs typeface="Times New Roman" panose="02020603050405020304" pitchFamily="18" charset="0"/>
            </a:rPr>
            <a:t>Erstatning etter vannskader ble på 2,2 milliarder kr som er en økning på 28 prosent fra i fjor. Noe av økningen skyldes ettervirkning av den kalde vinteren på østlandsområdet, og at det i september var mye regnvær særlig på Vestlandet, noe som forårsaket store skader etter vanninntrenging utenfra. Erstatning etter brann er på nesten 2,3 milliarder kr hittil i år, mot 1,9 milliarder i fjor. Sommeren 2018 var tørr i store deler av landet så det ble en del bygningsbranner.</a:t>
          </a:r>
          <a:endParaRPr lang="nb-NO" sz="1100" b="1" i="0">
            <a:effectLst/>
            <a:latin typeface="Times New Roman" panose="02020603050405020304" pitchFamily="18" charset="0"/>
            <a:ea typeface="+mn-ea"/>
            <a:cs typeface="Times New Roman" panose="02020603050405020304" pitchFamily="18" charset="0"/>
          </a:endParaRPr>
        </a:p>
        <a:p>
          <a:pPr rtl="0" eaLnBrk="1" fontAlgn="auto" latinLnBrk="0" hangingPunct="1"/>
          <a:endParaRPr lang="nb-NO" sz="1100" b="1" i="0">
            <a:effectLst/>
            <a:latin typeface="Times New Roman" panose="02020603050405020304" pitchFamily="18" charset="0"/>
            <a:ea typeface="+mn-ea"/>
            <a:cs typeface="Times New Roman" panose="02020603050405020304" pitchFamily="18" charset="0"/>
          </a:endParaRPr>
        </a:p>
        <a:p>
          <a:pPr rtl="0" eaLnBrk="1" fontAlgn="auto" latinLnBrk="0" hangingPunct="1"/>
          <a:r>
            <a:rPr lang="nb-NO" sz="1100" b="1" i="0">
              <a:effectLst/>
              <a:latin typeface="Times New Roman" panose="02020603050405020304" pitchFamily="18" charset="0"/>
              <a:ea typeface="+mn-ea"/>
              <a:cs typeface="Times New Roman" panose="02020603050405020304" pitchFamily="18" charset="0"/>
            </a:rPr>
            <a:t>Brann-kombinert næring - snøtyngde, sommerbranner og september-nedbør</a:t>
          </a:r>
          <a:endParaRPr lang="nb-NO">
            <a:effectLst/>
            <a:latin typeface="Times New Roman" panose="02020603050405020304" pitchFamily="18" charset="0"/>
            <a:cs typeface="Times New Roman" panose="02020603050405020304" pitchFamily="18" charset="0"/>
          </a:endParaRPr>
        </a:p>
        <a:p>
          <a:r>
            <a:rPr lang="nb-NO" sz="1100">
              <a:effectLst/>
              <a:latin typeface="Times New Roman" panose="02020603050405020304" pitchFamily="18" charset="0"/>
              <a:ea typeface="+mn-ea"/>
              <a:cs typeface="Times New Roman" panose="02020603050405020304" pitchFamily="18" charset="0"/>
            </a:rPr>
            <a:t>På næringsrelaterte bransjer ble totale erstatninger drøye 35 prosent høyere enn i fjor – erstatningene økte fra 3,9 til nesten 5,3 milliarder kr. Hittil i år har det vært vesentlig mer vann-/frost-skader og snøtyngdeskader (registreres under skadetype kasko) enn i fjor. Brannerstatningene på 2,3 milliarder kr er ca. 240 mill. kr høyere enn på samme tid i fjor. Det er særlig i juli-august hvor brannskadene var store med rundt 1 milliard i erstatningsbeløp.</a:t>
          </a:r>
          <a:endParaRPr lang="nb-NO">
            <a:effectLst/>
            <a:latin typeface="Times New Roman" panose="02020603050405020304" pitchFamily="18" charset="0"/>
            <a:cs typeface="Times New Roman" panose="02020603050405020304" pitchFamily="18" charset="0"/>
          </a:endParaRPr>
        </a:p>
        <a:p>
          <a:r>
            <a:rPr lang="nb-NO" sz="1100">
              <a:effectLst/>
              <a:latin typeface="Times New Roman" panose="02020603050405020304" pitchFamily="18" charset="0"/>
              <a:ea typeface="+mn-ea"/>
              <a:cs typeface="Times New Roman" panose="02020603050405020304" pitchFamily="18" charset="0"/>
            </a:rPr>
            <a:t>Erstatninger etter vannskader hittil i år er på 1,2 milliarder kr som er 28 prosent mer enn i fjor, og her var det spesielt regnværet i september som ga mye vannskader. Erstatninger som går under skadetype kasko (hvor blant annet vinterens snøtyngdeskader inngår) var over dobbelt så store som fjoråret og ble på 811 mill. kr. </a:t>
          </a:r>
          <a:endParaRPr lang="nb-NO">
            <a:effectLst/>
            <a:latin typeface="Times New Roman" panose="02020603050405020304" pitchFamily="18" charset="0"/>
            <a:cs typeface="Times New Roman" panose="02020603050405020304" pitchFamily="18" charset="0"/>
          </a:endParaRPr>
        </a:p>
        <a:p>
          <a:pPr rtl="0"/>
          <a:endParaRPr lang="en-US" sz="1100" b="1" i="0">
            <a:latin typeface="Times New Roman" pitchFamily="18" charset="0"/>
            <a:ea typeface="+mn-ea"/>
            <a:cs typeface="Times New Roman" pitchFamily="18" charset="0"/>
          </a:endParaRPr>
        </a:p>
        <a:p>
          <a:pPr rtl="0"/>
          <a:r>
            <a:rPr lang="en-US" sz="1100" b="1" i="0">
              <a:latin typeface="Times New Roman" pitchFamily="18" charset="0"/>
              <a:ea typeface="+mn-ea"/>
              <a:cs typeface="Times New Roman" pitchFamily="18" charset="0"/>
            </a:rPr>
            <a:t>Reiseforsikring - økt reiseaktivitet</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a:effectLst/>
              <a:latin typeface="Times New Roman" panose="02020603050405020304" pitchFamily="18" charset="0"/>
              <a:ea typeface="+mn-ea"/>
              <a:cs typeface="Times New Roman" panose="02020603050405020304" pitchFamily="18" charset="0"/>
            </a:rPr>
            <a:t>Hittil i år har antall reiseskader økt med nesten 4 prosent og erstatningene med 6 prosent sammenlignet med antallet på samme tid i fjor. Totalt ble det erstattet reiseskader for 1,7 milliarder kr i årets tre første kvartaler. Etter en nedgang i fjor er det nå igjen en økning på reisesykdom – antallet økte med 4 prosent og erstatningsbeløpet med nesten 8 prosent. </a:t>
          </a:r>
        </a:p>
        <a:p>
          <a:pPr marL="0" marR="0" lvl="0" indent="0" defTabSz="914400" rtl="0" eaLnBrk="1" fontAlgn="auto" latinLnBrk="0" hangingPunct="1">
            <a:lnSpc>
              <a:spcPct val="100000"/>
            </a:lnSpc>
            <a:spcBef>
              <a:spcPts val="0"/>
            </a:spcBef>
            <a:spcAft>
              <a:spcPts val="0"/>
            </a:spcAft>
            <a:buClrTx/>
            <a:buSzTx/>
            <a:buFontTx/>
            <a:buNone/>
            <a:tabLst/>
            <a:defRPr/>
          </a:pPr>
          <a:endParaRPr lang="nb-NO" sz="1100">
            <a:latin typeface="Times New Roman" pitchFamily="18" charset="0"/>
            <a:ea typeface="+mn-ea"/>
            <a:cs typeface="Times New Roman" pitchFamily="18" charset="0"/>
          </a:endParaRPr>
        </a:p>
        <a:p>
          <a:pPr rtl="0"/>
          <a:r>
            <a:rPr lang="nb-NO" sz="1100" b="1" i="0" baseline="0">
              <a:latin typeface="Times New Roman" pitchFamily="18" charset="0"/>
              <a:ea typeface="+mn-ea"/>
              <a:cs typeface="Times New Roman" pitchFamily="18" charset="0"/>
            </a:rPr>
            <a:t>Fritidsbåtforsikring - god sommer for båtbruk</a:t>
          </a:r>
        </a:p>
        <a:p>
          <a:pPr rtl="0"/>
          <a:r>
            <a:rPr lang="nb-NO" sz="1100" b="0" i="0" baseline="0">
              <a:latin typeface="Times New Roman" pitchFamily="18" charset="0"/>
              <a:ea typeface="+mn-ea"/>
              <a:cs typeface="Times New Roman" pitchFamily="18" charset="0"/>
            </a:rPr>
            <a:t>Erstatningene hittil i år ble på 460 mill. kr som er 23,5 prosent høyere enn i fjor og antall meldte skader økte med 28 prosent. Økningen skyldes hovedsakelig havariskadene; 56 prosent av totale båterstatninger skyldes havari og disse erstatningene økte med 44 prosent fra i fjor – men da var det en dårlig sommer for båtliv i store deler av Norge. </a:t>
          </a:r>
        </a:p>
        <a:p>
          <a:pPr rtl="0"/>
          <a:endParaRPr lang="nb-NO" sz="1100" b="0" i="0" baseline="0">
            <a:latin typeface="Times New Roman" pitchFamily="18" charset="0"/>
            <a:ea typeface="+mn-ea"/>
            <a:cs typeface="Times New Roman" pitchFamily="18" charset="0"/>
          </a:endParaRPr>
        </a:p>
        <a:p>
          <a:pPr rtl="0"/>
          <a:endParaRPr lang="nb-NO" sz="1100" b="0" i="0" baseline="0">
            <a:latin typeface="Times New Roman" pitchFamily="18" charset="0"/>
            <a:ea typeface="+mn-ea"/>
            <a:cs typeface="Times New Roman" pitchFamily="18" charset="0"/>
          </a:endParaRPr>
        </a:p>
        <a:p>
          <a:pPr rtl="0"/>
          <a:endParaRPr lang="nb-NO" sz="1100" b="1" i="0" baseline="0">
            <a:latin typeface="Times New Roman" pitchFamily="18" charset="0"/>
            <a:ea typeface="+mn-ea"/>
            <a:cs typeface="Times New Roman" pitchFamily="18" charset="0"/>
          </a:endParaRPr>
        </a:p>
      </xdr:txBody>
    </xdr:sp>
    <xdr:clientData/>
  </xdr:twoCellAnchor>
  <xdr:twoCellAnchor>
    <xdr:from>
      <xdr:col>0</xdr:col>
      <xdr:colOff>43133</xdr:colOff>
      <xdr:row>46</xdr:row>
      <xdr:rowOff>97046</xdr:rowOff>
    </xdr:from>
    <xdr:to>
      <xdr:col>6</xdr:col>
      <xdr:colOff>506801</xdr:colOff>
      <xdr:row>49</xdr:row>
      <xdr:rowOff>43132</xdr:rowOff>
    </xdr:to>
    <xdr:sp macro="" textlink="">
      <xdr:nvSpPr>
        <xdr:cNvPr id="5" name="Text Box 2">
          <a:extLst>
            <a:ext uri="{FF2B5EF4-FFF2-40B4-BE49-F238E27FC236}">
              <a16:creationId xmlns:a16="http://schemas.microsoft.com/office/drawing/2014/main" id="{5161BB85-9507-434C-B650-50A520953080}"/>
            </a:ext>
          </a:extLst>
        </xdr:cNvPr>
        <xdr:cNvSpPr txBox="1">
          <a:spLocks noChangeArrowheads="1"/>
        </xdr:cNvSpPr>
      </xdr:nvSpPr>
      <xdr:spPr bwMode="auto">
        <a:xfrm>
          <a:off x="43133" y="8766594"/>
          <a:ext cx="5596386" cy="528368"/>
        </a:xfrm>
        <a:prstGeom prst="rect">
          <a:avLst/>
        </a:prstGeom>
        <a:solidFill>
          <a:srgbClr val="FFFFFF"/>
        </a:solidFill>
        <a:ln w="9525">
          <a:noFill/>
          <a:miter lim="800000"/>
          <a:headEnd/>
          <a:tailEnd/>
        </a:ln>
      </xdr:spPr>
      <xdr:txBody>
        <a:bodyPr vertOverflow="clip" wrap="square" lIns="27432" tIns="27432" rIns="0" bIns="0" anchor="t" upright="1"/>
        <a:lstStyle/>
        <a:p>
          <a:pPr rtl="0"/>
          <a:r>
            <a:rPr lang="nb-NO" sz="1100" i="1">
              <a:effectLst/>
              <a:latin typeface="Times New Roman" panose="02020603050405020304" pitchFamily="18" charset="0"/>
              <a:ea typeface="+mn-ea"/>
              <a:cs typeface="Times New Roman" panose="02020603050405020304" pitchFamily="18" charset="0"/>
            </a:rPr>
            <a:t>NB. Datagrunnlaget er levert fra Finans Norges medlemsselskaper. Enkelte tall kan bli justert i etterkant dersom et selskap oppdager feil eller mangler ved sine data. For mer detaljert beskrivelse av statistikkens innhold henviser vi til punkt 4. Prinsipper, begreper og definisjoner på side 27.</a:t>
          </a:r>
          <a:endParaRPr lang="nb-NO" sz="1100" b="1" i="0" baseline="0">
            <a:latin typeface="Times New Roman" pitchFamily="18" charset="0"/>
            <a:ea typeface="+mn-ea"/>
            <a:cs typeface="Times New Roman"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27214</xdr:colOff>
      <xdr:row>6</xdr:row>
      <xdr:rowOff>201386</xdr:rowOff>
    </xdr:from>
    <xdr:to>
      <xdr:col>22</xdr:col>
      <xdr:colOff>57151</xdr:colOff>
      <xdr:row>30</xdr:row>
      <xdr:rowOff>76201</xdr:rowOff>
    </xdr:to>
    <xdr:graphicFrame macro="">
      <xdr:nvGraphicFramePr>
        <xdr:cNvPr id="1953" name="Chart 1">
          <a:extLst>
            <a:ext uri="{FF2B5EF4-FFF2-40B4-BE49-F238E27FC236}">
              <a16:creationId xmlns:a16="http://schemas.microsoft.com/office/drawing/2014/main" id="{00000000-0008-0000-0300-0000A1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639535</xdr:colOff>
      <xdr:row>33</xdr:row>
      <xdr:rowOff>136071</xdr:rowOff>
    </xdr:from>
    <xdr:to>
      <xdr:col>21</xdr:col>
      <xdr:colOff>951139</xdr:colOff>
      <xdr:row>56</xdr:row>
      <xdr:rowOff>1361</xdr:rowOff>
    </xdr:to>
    <xdr:graphicFrame macro="">
      <xdr:nvGraphicFramePr>
        <xdr:cNvPr id="1954" name="Chart 2">
          <a:extLst>
            <a:ext uri="{FF2B5EF4-FFF2-40B4-BE49-F238E27FC236}">
              <a16:creationId xmlns:a16="http://schemas.microsoft.com/office/drawing/2014/main" id="{00000000-0008-0000-0300-0000A2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63501</xdr:colOff>
      <xdr:row>6</xdr:row>
      <xdr:rowOff>127000</xdr:rowOff>
    </xdr:from>
    <xdr:to>
      <xdr:col>14</xdr:col>
      <xdr:colOff>609600</xdr:colOff>
      <xdr:row>28</xdr:row>
      <xdr:rowOff>127000</xdr:rowOff>
    </xdr:to>
    <xdr:graphicFrame macro="">
      <xdr:nvGraphicFramePr>
        <xdr:cNvPr id="1956" name="Chart 4">
          <a:extLst>
            <a:ext uri="{FF2B5EF4-FFF2-40B4-BE49-F238E27FC236}">
              <a16:creationId xmlns:a16="http://schemas.microsoft.com/office/drawing/2014/main" id="{00000000-0008-0000-0300-0000A4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54430</xdr:colOff>
      <xdr:row>7</xdr:row>
      <xdr:rowOff>40821</xdr:rowOff>
    </xdr:from>
    <xdr:to>
      <xdr:col>29</xdr:col>
      <xdr:colOff>6805</xdr:colOff>
      <xdr:row>26</xdr:row>
      <xdr:rowOff>1360</xdr:rowOff>
    </xdr:to>
    <xdr:graphicFrame macro="">
      <xdr:nvGraphicFramePr>
        <xdr:cNvPr id="1957" name="Chart 5">
          <a:extLst>
            <a:ext uri="{FF2B5EF4-FFF2-40B4-BE49-F238E27FC236}">
              <a16:creationId xmlns:a16="http://schemas.microsoft.com/office/drawing/2014/main" id="{00000000-0008-0000-0300-0000A5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27215</xdr:colOff>
      <xdr:row>34</xdr:row>
      <xdr:rowOff>0</xdr:rowOff>
    </xdr:from>
    <xdr:to>
      <xdr:col>29</xdr:col>
      <xdr:colOff>55790</xdr:colOff>
      <xdr:row>56</xdr:row>
      <xdr:rowOff>47625</xdr:rowOff>
    </xdr:to>
    <xdr:graphicFrame macro="">
      <xdr:nvGraphicFramePr>
        <xdr:cNvPr id="1958" name="Chart 6">
          <a:extLst>
            <a:ext uri="{FF2B5EF4-FFF2-40B4-BE49-F238E27FC236}">
              <a16:creationId xmlns:a16="http://schemas.microsoft.com/office/drawing/2014/main" id="{00000000-0008-0000-0300-0000A6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95250</xdr:colOff>
      <xdr:row>7</xdr:row>
      <xdr:rowOff>40821</xdr:rowOff>
    </xdr:from>
    <xdr:to>
      <xdr:col>7</xdr:col>
      <xdr:colOff>168729</xdr:colOff>
      <xdr:row>29</xdr:row>
      <xdr:rowOff>29935</xdr:rowOff>
    </xdr:to>
    <xdr:graphicFrame macro="">
      <xdr:nvGraphicFramePr>
        <xdr:cNvPr id="1959" name="Chart 7">
          <a:extLst>
            <a:ext uri="{FF2B5EF4-FFF2-40B4-BE49-F238E27FC236}">
              <a16:creationId xmlns:a16="http://schemas.microsoft.com/office/drawing/2014/main" id="{00000000-0008-0000-0300-0000A7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33</xdr:row>
      <xdr:rowOff>16328</xdr:rowOff>
    </xdr:from>
    <xdr:to>
      <xdr:col>7</xdr:col>
      <xdr:colOff>92529</xdr:colOff>
      <xdr:row>58</xdr:row>
      <xdr:rowOff>122464</xdr:rowOff>
    </xdr:to>
    <xdr:graphicFrame macro="">
      <xdr:nvGraphicFramePr>
        <xdr:cNvPr id="1960" name="Chart 8">
          <a:extLst>
            <a:ext uri="{FF2B5EF4-FFF2-40B4-BE49-F238E27FC236}">
              <a16:creationId xmlns:a16="http://schemas.microsoft.com/office/drawing/2014/main" id="{00000000-0008-0000-0300-0000A8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38100</xdr:colOff>
      <xdr:row>32</xdr:row>
      <xdr:rowOff>127000</xdr:rowOff>
    </xdr:from>
    <xdr:to>
      <xdr:col>15</xdr:col>
      <xdr:colOff>12700</xdr:colOff>
      <xdr:row>55</xdr:row>
      <xdr:rowOff>152400</xdr:rowOff>
    </xdr:to>
    <xdr:graphicFrame macro="">
      <xdr:nvGraphicFramePr>
        <xdr:cNvPr id="10" name="Chart 9">
          <a:extLst>
            <a:ext uri="{FF2B5EF4-FFF2-40B4-BE49-F238E27FC236}">
              <a16:creationId xmlns:a16="http://schemas.microsoft.com/office/drawing/2014/main" id="{00000000-0008-0000-03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29</xdr:col>
      <xdr:colOff>0</xdr:colOff>
      <xdr:row>7</xdr:row>
      <xdr:rowOff>0</xdr:rowOff>
    </xdr:from>
    <xdr:to>
      <xdr:col>35</xdr:col>
      <xdr:colOff>736600</xdr:colOff>
      <xdr:row>29</xdr:row>
      <xdr:rowOff>71438</xdr:rowOff>
    </xdr:to>
    <xdr:graphicFrame macro="">
      <xdr:nvGraphicFramePr>
        <xdr:cNvPr id="14" name="Chart 13">
          <a:extLst>
            <a:ext uri="{FF2B5EF4-FFF2-40B4-BE49-F238E27FC236}">
              <a16:creationId xmlns:a16="http://schemas.microsoft.com/office/drawing/2014/main" id="{00000000-0008-0000-03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29</xdr:col>
      <xdr:colOff>0</xdr:colOff>
      <xdr:row>34</xdr:row>
      <xdr:rowOff>0</xdr:rowOff>
    </xdr:from>
    <xdr:to>
      <xdr:col>35</xdr:col>
      <xdr:colOff>736600</xdr:colOff>
      <xdr:row>56</xdr:row>
      <xdr:rowOff>47625</xdr:rowOff>
    </xdr:to>
    <xdr:graphicFrame macro="">
      <xdr:nvGraphicFramePr>
        <xdr:cNvPr id="15" name="Chart 14">
          <a:extLst>
            <a:ext uri="{FF2B5EF4-FFF2-40B4-BE49-F238E27FC236}">
              <a16:creationId xmlns:a16="http://schemas.microsoft.com/office/drawing/2014/main" id="{00000000-0008-0000-03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104775</xdr:rowOff>
    </xdr:from>
    <xdr:to>
      <xdr:col>2</xdr:col>
      <xdr:colOff>28575</xdr:colOff>
      <xdr:row>51</xdr:row>
      <xdr:rowOff>0</xdr:rowOff>
    </xdr:to>
    <xdr:sp macro="" textlink="">
      <xdr:nvSpPr>
        <xdr:cNvPr id="6145" name="Text Box 1">
          <a:extLst>
            <a:ext uri="{FF2B5EF4-FFF2-40B4-BE49-F238E27FC236}">
              <a16:creationId xmlns:a16="http://schemas.microsoft.com/office/drawing/2014/main" id="{00000000-0008-0000-1600-000001180000}"/>
            </a:ext>
          </a:extLst>
        </xdr:cNvPr>
        <xdr:cNvSpPr txBox="1">
          <a:spLocks noChangeArrowheads="1"/>
        </xdr:cNvSpPr>
      </xdr:nvSpPr>
      <xdr:spPr bwMode="auto">
        <a:xfrm>
          <a:off x="0" y="609600"/>
          <a:ext cx="2552700" cy="92583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1" i="0" strike="noStrike">
              <a:solidFill>
                <a:srgbClr val="000000"/>
              </a:solidFill>
              <a:latin typeface="Times New Roman"/>
              <a:cs typeface="Times New Roman"/>
            </a:rPr>
            <a:t>Formål</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Hovedformålet med statistikken er å skaffe en oversikt over utviklingen av antall skader og erstatningsnivå over tid innen de forskjellige bransjene i landbasert skadeforsikring, fordelt på skadetyper. </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Datagrunnlag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Følgende selskaper inngår i statistikken:</a:t>
          </a:r>
        </a:p>
        <a:p>
          <a:pPr algn="l" rtl="0">
            <a:defRPr sz="1000"/>
          </a:pPr>
          <a:r>
            <a:rPr lang="en-US" sz="1050" b="0" i="0" strike="noStrike">
              <a:solidFill>
                <a:srgbClr val="000000"/>
              </a:solidFill>
              <a:latin typeface="Times New Roman" pitchFamily="18" charset="0"/>
              <a:ea typeface="+mn-ea"/>
              <a:cs typeface="Times New Roman" pitchFamily="18" charset="0"/>
            </a:rPr>
            <a:t>     ACE European Group</a:t>
          </a:r>
        </a:p>
        <a:p>
          <a:pPr algn="l" rtl="0">
            <a:defRPr sz="1000"/>
          </a:pPr>
          <a:r>
            <a:rPr lang="en-US" sz="1050" b="0" i="0" strike="noStrike">
              <a:solidFill>
                <a:srgbClr val="000000"/>
              </a:solidFill>
              <a:latin typeface="Times New Roman" pitchFamily="18" charset="0"/>
              <a:ea typeface="+mn-ea"/>
              <a:cs typeface="Times New Roman" pitchFamily="18" charset="0"/>
            </a:rPr>
            <a:t>     AIG Europe</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Codan Forsikring</a:t>
          </a:r>
        </a:p>
        <a:p>
          <a:pPr algn="l" rtl="0">
            <a:defRPr sz="1000"/>
          </a:pPr>
          <a:r>
            <a:rPr lang="en-US" sz="1050" b="0" i="0" strike="noStrike">
              <a:solidFill>
                <a:srgbClr val="000000"/>
              </a:solidFill>
              <a:latin typeface="Times New Roman" pitchFamily="18" charset="0"/>
              <a:cs typeface="Times New Roman" pitchFamily="18" charset="0"/>
            </a:rPr>
            <a:t>     Danica Pensjonsforsikring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DNB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Eika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Euro Insurance LTD</a:t>
          </a:r>
          <a:endParaRPr lang="nb-NO" sz="1050" b="0" i="0" strike="noStrike">
            <a:solidFill>
              <a:srgbClr val="000000"/>
            </a:solidFill>
            <a:latin typeface="Times New Roman" pitchFamily="18" charset="0"/>
            <a:ea typeface="+mn-ea"/>
            <a:cs typeface="Times New Roman" pitchFamily="18" charset="0"/>
          </a:endParaRPr>
        </a:p>
        <a:p>
          <a:pPr algn="l" rtl="0">
            <a:defRPr sz="1000"/>
          </a:pPr>
          <a:r>
            <a:rPr lang="en-US" sz="1050" b="0" i="0" strike="noStrike">
              <a:solidFill>
                <a:srgbClr val="000000"/>
              </a:solidFill>
              <a:latin typeface="Times New Roman" pitchFamily="18" charset="0"/>
              <a:ea typeface="+mn-ea"/>
              <a:cs typeface="Times New Roman" pitchFamily="18" charset="0"/>
            </a:rPr>
            <a:t>     Frende Skadeforsikring</a:t>
          </a:r>
        </a:p>
        <a:p>
          <a:pPr algn="l" rtl="0">
            <a:defRPr sz="1000"/>
          </a:pPr>
          <a:r>
            <a:rPr lang="en-US" sz="1050" b="0" i="0" strike="noStrike">
              <a:solidFill>
                <a:srgbClr val="000000"/>
              </a:solidFill>
              <a:latin typeface="Times New Roman" pitchFamily="18" charset="0"/>
              <a:ea typeface="+mn-ea"/>
              <a:cs typeface="Times New Roman" pitchFamily="18" charset="0"/>
            </a:rPr>
            <a:t>     Gjensidige</a:t>
          </a:r>
        </a:p>
        <a:p>
          <a:pPr algn="l" rtl="0">
            <a:defRPr sz="1000"/>
          </a:pPr>
          <a:r>
            <a:rPr lang="en-US" sz="1050" b="0" i="0" strike="noStrike">
              <a:solidFill>
                <a:srgbClr val="000000"/>
              </a:solidFill>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If Skadeforsikring</a:t>
          </a:r>
        </a:p>
        <a:p>
          <a:pPr algn="l" rtl="0">
            <a:defRPr sz="1000"/>
          </a:pPr>
          <a:r>
            <a:rPr lang="en-US" sz="1050" b="0" i="0" strike="noStrike">
              <a:solidFill>
                <a:srgbClr val="000000"/>
              </a:solidFill>
              <a:latin typeface="Times New Roman" pitchFamily="18" charset="0"/>
              <a:cs typeface="Times New Roman" pitchFamily="18" charset="0"/>
            </a:rPr>
            <a:t>     Insr (inkl. NEMI)</a:t>
          </a:r>
        </a:p>
        <a:p>
          <a:pPr algn="l" rtl="0">
            <a:defRPr sz="1000"/>
          </a:pPr>
          <a:r>
            <a:rPr lang="en-US" sz="1050" b="0" i="0" strike="noStrike">
              <a:solidFill>
                <a:srgbClr val="000000"/>
              </a:solidFill>
              <a:latin typeface="Times New Roman" pitchFamily="18" charset="0"/>
              <a:cs typeface="Times New Roman" pitchFamily="18" charset="0"/>
            </a:rPr>
            <a:t>     Inter Hannover</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Jernbanepersonalets bank og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KLP skadeforsikring</a:t>
          </a:r>
        </a:p>
        <a:p>
          <a:pPr algn="l" rtl="0">
            <a:defRPr sz="1000"/>
          </a:pPr>
          <a:r>
            <a:rPr lang="en-US" sz="1050" b="0" i="0" strike="noStrike">
              <a:solidFill>
                <a:srgbClr val="000000"/>
              </a:solidFill>
              <a:latin typeface="Times New Roman" pitchFamily="18" charset="0"/>
              <a:cs typeface="Times New Roman" pitchFamily="18" charset="0"/>
            </a:rPr>
            <a:t>     KNIF</a:t>
          </a:r>
          <a:r>
            <a:rPr lang="en-US" sz="1050" b="0" i="0" strike="noStrike" baseline="0">
              <a:solidFill>
                <a:srgbClr val="000000"/>
              </a:solidFill>
              <a:latin typeface="Times New Roman" pitchFamily="18" charset="0"/>
              <a:cs typeface="Times New Roman" pitchFamily="18" charset="0"/>
            </a:rPr>
            <a:t> Trygghet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Landbruksforsikring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Møretrygd</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NEMI</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Nordea Liv</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OBOS Skadeforsikring</a:t>
          </a:r>
          <a:endParaRPr lang="nb-NO" sz="1050" b="0" i="0" strike="noStrike">
            <a:solidFill>
              <a:srgbClr val="000000"/>
            </a:solidFill>
            <a:latin typeface="Times New Roman" pitchFamily="18" charset="0"/>
            <a:ea typeface="+mn-ea"/>
            <a:cs typeface="Times New Roman" pitchFamily="18" charset="0"/>
          </a:endParaRPr>
        </a:p>
        <a:p>
          <a:pPr algn="l" rtl="0">
            <a:defRPr sz="1000"/>
          </a:pPr>
          <a:r>
            <a:rPr lang="en-US" sz="1050" b="0" i="0" strike="noStrike">
              <a:solidFill>
                <a:srgbClr val="000000"/>
              </a:solidFill>
              <a:latin typeface="Times New Roman" pitchFamily="18" charset="0"/>
              <a:ea typeface="+mn-ea"/>
              <a:cs typeface="Times New Roman" pitchFamily="18" charset="0"/>
            </a:rPr>
            <a:t>     Oslo Forsikring</a:t>
          </a:r>
        </a:p>
        <a:p>
          <a:pPr algn="l" rtl="0">
            <a:defRPr sz="1000"/>
          </a:pPr>
          <a:r>
            <a:rPr lang="en-US" sz="1050" b="0" i="0" strike="noStrike">
              <a:solidFill>
                <a:srgbClr val="000000"/>
              </a:solidFill>
              <a:latin typeface="Times New Roman" pitchFamily="18" charset="0"/>
              <a:ea typeface="+mn-ea"/>
              <a:cs typeface="Times New Roman" pitchFamily="18" charset="0"/>
            </a:rPr>
            <a:t>     Oslo Pensjonsforsikring</a:t>
          </a:r>
        </a:p>
        <a:p>
          <a:pPr algn="l" rtl="0">
            <a:defRPr sz="1000"/>
          </a:pPr>
          <a:r>
            <a:rPr lang="en-US" sz="1050" b="0" i="0" strike="noStrike">
              <a:solidFill>
                <a:srgbClr val="000000"/>
              </a:solidFill>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Protector Forsikring</a:t>
          </a:r>
        </a:p>
        <a:p>
          <a:pPr algn="l" rtl="0">
            <a:defRPr sz="1000"/>
          </a:pPr>
          <a:r>
            <a:rPr lang="en-US" sz="1050" b="0" i="0" strike="noStrike">
              <a:solidFill>
                <a:srgbClr val="000000"/>
              </a:solidFill>
              <a:latin typeface="Times New Roman" pitchFamily="18" charset="0"/>
              <a:cs typeface="Times New Roman" pitchFamily="18" charset="0"/>
            </a:rPr>
            <a:t>     Skogbrand</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SpareBank 1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Storebrand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Telenor Forsikring</a:t>
          </a:r>
        </a:p>
        <a:p>
          <a:pPr algn="l" rtl="0">
            <a:defRPr sz="1000"/>
          </a:pPr>
          <a:r>
            <a:rPr lang="en-US" sz="1050" b="0" i="0" strike="noStrike">
              <a:solidFill>
                <a:srgbClr val="000000"/>
              </a:solidFill>
              <a:latin typeface="Times New Roman" pitchFamily="18" charset="0"/>
              <a:cs typeface="Times New Roman" pitchFamily="18" charset="0"/>
            </a:rPr>
            <a:t>     Troll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Tryg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W. R. Berkley</a:t>
          </a:r>
        </a:p>
        <a:p>
          <a:pPr algn="l" rtl="0">
            <a:defRPr sz="1000"/>
          </a:pPr>
          <a:r>
            <a:rPr lang="en-US" sz="1200" b="0" i="0" strike="noStrike">
              <a:solidFill>
                <a:srgbClr val="000000"/>
              </a:solidFill>
              <a:latin typeface="Times New Roman"/>
              <a:cs typeface="Times New Roman"/>
            </a:rPr>
            <a:t>Disse selskapene utgjør hovedtyngden av det norske markedet for landbasert skadeforsikring, men vi gjør oppmerksom på at dette varierer fra bransje til bransje. F.eks. vil disse selskapene utgjøre så å si hele motorvognmarkedet, mens for industriforsikring eksisterer det en rekke andre aktører (captives og utenlandske selskaper) som ikke rapporterer til denne statistikken.</a:t>
          </a: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2</xdr:col>
      <xdr:colOff>352425</xdr:colOff>
      <xdr:row>4</xdr:row>
      <xdr:rowOff>96537</xdr:rowOff>
    </xdr:from>
    <xdr:to>
      <xdr:col>7</xdr:col>
      <xdr:colOff>0</xdr:colOff>
      <xdr:row>50</xdr:row>
      <xdr:rowOff>142874</xdr:rowOff>
    </xdr:to>
    <xdr:sp macro="" textlink="">
      <xdr:nvSpPr>
        <xdr:cNvPr id="6146" name="Text Box 2">
          <a:extLst>
            <a:ext uri="{FF2B5EF4-FFF2-40B4-BE49-F238E27FC236}">
              <a16:creationId xmlns:a16="http://schemas.microsoft.com/office/drawing/2014/main" id="{00000000-0008-0000-1600-000002180000}"/>
            </a:ext>
          </a:extLst>
        </xdr:cNvPr>
        <xdr:cNvSpPr txBox="1">
          <a:spLocks noChangeArrowheads="1"/>
        </xdr:cNvSpPr>
      </xdr:nvSpPr>
      <xdr:spPr bwMode="auto">
        <a:xfrm>
          <a:off x="2876550" y="601362"/>
          <a:ext cx="2647950" cy="9247487"/>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1"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Naturskadeutbetalingene</a:t>
          </a:r>
          <a:r>
            <a:rPr lang="en-US" sz="1200" b="0" i="0" strike="noStrike">
              <a:solidFill>
                <a:srgbClr val="000000"/>
              </a:solidFill>
              <a:latin typeface="Times New Roman"/>
              <a:cs typeface="Times New Roman"/>
            </a:rPr>
            <a:t> er holdt utenfor statistikken. Det samme gjelder </a:t>
          </a:r>
          <a:r>
            <a:rPr lang="en-US" sz="1200" b="0" i="1" strike="noStrike">
              <a:solidFill>
                <a:srgbClr val="000000"/>
              </a:solidFill>
              <a:latin typeface="Times New Roman"/>
              <a:cs typeface="Times New Roman"/>
            </a:rPr>
            <a:t>kreditt</a:t>
          </a:r>
          <a:r>
            <a:rPr lang="en-US" sz="1200" b="0" i="0" strike="noStrike">
              <a:solidFill>
                <a:srgbClr val="000000"/>
              </a:solidFill>
              <a:latin typeface="Times New Roman"/>
              <a:cs typeface="Times New Roman"/>
            </a:rPr>
            <a:t>- og </a:t>
          </a:r>
          <a:r>
            <a:rPr lang="en-US" sz="1200" b="0" i="1" strike="noStrike">
              <a:solidFill>
                <a:srgbClr val="000000"/>
              </a:solidFill>
              <a:latin typeface="Times New Roman"/>
              <a:cs typeface="Times New Roman"/>
            </a:rPr>
            <a:t>sjøforsikring.</a:t>
          </a:r>
          <a:endParaRPr lang="en-US" sz="1200" b="0" i="0" strike="noStrike">
            <a:solidFill>
              <a:srgbClr val="000000"/>
            </a:solidFill>
            <a:latin typeface="Times New Roman"/>
            <a:cs typeface="Times New Roman"/>
          </a:endParaRPr>
        </a:p>
        <a:p>
          <a:pPr algn="l" rtl="0">
            <a:defRPr sz="1000"/>
          </a:pPr>
          <a:endParaRPr lang="en-US" sz="1200" b="1" i="0" strike="noStrike">
            <a:solidFill>
              <a:srgbClr val="000000"/>
            </a:solidFill>
            <a:latin typeface="Times New Roman" pitchFamily="18" charset="0"/>
            <a:cs typeface="Times New Roman" pitchFamily="18" charset="0"/>
          </a:endParaRPr>
        </a:p>
        <a:p>
          <a:pPr rtl="0"/>
          <a:r>
            <a:rPr lang="en-US" sz="1200" b="1" i="0">
              <a:latin typeface="Times New Roman" pitchFamily="18" charset="0"/>
              <a:ea typeface="+mn-ea"/>
              <a:cs typeface="Times New Roman" pitchFamily="18" charset="0"/>
            </a:rPr>
            <a:t>Prinsipper</a:t>
          </a:r>
          <a:endParaRPr lang="en-US" sz="1200" b="0" i="0">
            <a:latin typeface="Times New Roman" pitchFamily="18" charset="0"/>
            <a:ea typeface="+mn-ea"/>
            <a:cs typeface="Times New Roman" pitchFamily="18" charset="0"/>
          </a:endParaRPr>
        </a:p>
        <a:p>
          <a:pPr rtl="0"/>
          <a:r>
            <a:rPr lang="en-US" sz="1200" b="0" i="0">
              <a:latin typeface="Times New Roman" pitchFamily="18" charset="0"/>
              <a:ea typeface="+mn-ea"/>
              <a:cs typeface="Times New Roman" pitchFamily="18" charset="0"/>
            </a:rPr>
            <a:t>Det er lagt vekt på å kunne presentere så aktuelle tall som mulig. Tidligere tall oppdateres ikke, men presenteres for å vise hva man trodde på tilsvarende tidspunkt for de to foregående år. </a:t>
          </a:r>
          <a:endParaRPr lang="nb-NO" sz="1200">
            <a:latin typeface="Times New Roman" pitchFamily="18" charset="0"/>
            <a:cs typeface="Times New Roman" pitchFamily="18" charset="0"/>
          </a:endParaRPr>
        </a:p>
        <a:p>
          <a:pPr rtl="0"/>
          <a:endParaRPr lang="en-US" sz="1200" b="0" i="0">
            <a:latin typeface="Times New Roman" pitchFamily="18" charset="0"/>
            <a:ea typeface="+mn-ea"/>
            <a:cs typeface="Times New Roman" pitchFamily="18" charset="0"/>
          </a:endParaRPr>
        </a:p>
        <a:p>
          <a:pPr algn="l" rtl="0">
            <a:defRPr sz="1000"/>
          </a:pPr>
          <a:r>
            <a:rPr lang="en-US" sz="1200" b="1" i="0" strike="noStrike">
              <a:solidFill>
                <a:srgbClr val="000000"/>
              </a:solidFill>
              <a:latin typeface="Times New Roman"/>
              <a:cs typeface="Times New Roman"/>
            </a:rPr>
            <a:t>Begreper </a:t>
          </a:r>
        </a:p>
        <a:p>
          <a:pPr algn="l" rtl="0">
            <a:defRPr sz="1000"/>
          </a:pPr>
          <a:r>
            <a:rPr lang="en-US" sz="1200" b="0" i="1" strike="noStrike">
              <a:solidFill>
                <a:srgbClr val="000000"/>
              </a:solidFill>
              <a:latin typeface="Times New Roman"/>
              <a:cs typeface="Times New Roman"/>
            </a:rPr>
            <a:t>Bransjene</a:t>
          </a:r>
          <a:r>
            <a:rPr lang="en-US" sz="1200" b="0" i="0" strike="noStrike">
              <a:solidFill>
                <a:srgbClr val="000000"/>
              </a:solidFill>
              <a:latin typeface="Times New Roman"/>
              <a:cs typeface="Times New Roman"/>
            </a:rPr>
            <a:t> angir hovedforretnings-områdene i henhold til bransjeinndeling utarbeidet i samarbeid med Finanstilsynet.</a:t>
          </a:r>
        </a:p>
        <a:p>
          <a:pPr algn="l" rtl="0">
            <a:defRPr sz="1000"/>
          </a:pP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Hver bransje er så gruppert etter </a:t>
          </a:r>
          <a:r>
            <a:rPr lang="en-US" sz="1200" b="0" i="1" strike="noStrike">
              <a:solidFill>
                <a:srgbClr val="000000"/>
              </a:solidFill>
              <a:latin typeface="Times New Roman"/>
              <a:cs typeface="Times New Roman"/>
            </a:rPr>
            <a:t>skadetype. </a:t>
          </a:r>
          <a:r>
            <a:rPr lang="en-US" sz="1200" b="0" i="0" strike="noStrike">
              <a:solidFill>
                <a:srgbClr val="000000"/>
              </a:solidFill>
              <a:latin typeface="Times New Roman"/>
              <a:cs typeface="Times New Roman"/>
            </a:rPr>
            <a:t>Det gjøres oppmerksom på at antall skader for de ulike skadetypene under en bransje ikke nødvendigvis er lik totalen, siden en skade kan fordele seg på flere skadetyper.</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Anslått erstatning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anslått erstatning menes betalte erstatninger pluss erstatningsavsetninger for de skader som har skjedd i den tidsperioden statistikken omfatter. Dette omfatter også skader som ennå ikke er meldt til selskapene. </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Meldt 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meldt skade menes skade på en forsikring </a:t>
          </a:r>
          <a:r>
            <a:rPr lang="en-US" sz="1200" b="0" i="1" strike="noStrike">
              <a:solidFill>
                <a:srgbClr val="000000"/>
              </a:solidFill>
              <a:latin typeface="Times New Roman"/>
              <a:cs typeface="Times New Roman"/>
            </a:rPr>
            <a:t>meldt</a:t>
          </a:r>
          <a:r>
            <a:rPr lang="en-US" sz="1200" b="0" i="0" strike="noStrike">
              <a:solidFill>
                <a:srgbClr val="000000"/>
              </a:solidFill>
              <a:latin typeface="Times New Roman"/>
              <a:cs typeface="Times New Roman"/>
            </a:rPr>
            <a:t> til selskapet i den tidsperiode statistikken omfatter. I dette begrepet inngår </a:t>
          </a:r>
          <a:r>
            <a:rPr lang="en-US" sz="1200" b="0" i="1" strike="noStrike">
              <a:solidFill>
                <a:srgbClr val="000000"/>
              </a:solidFill>
              <a:latin typeface="Times New Roman"/>
              <a:cs typeface="Times New Roman"/>
            </a:rPr>
            <a:t>ikke</a:t>
          </a:r>
          <a:r>
            <a:rPr lang="en-US" sz="1200" b="0" i="0" strike="noStrike">
              <a:solidFill>
                <a:srgbClr val="000000"/>
              </a:solidFill>
              <a:latin typeface="Times New Roman"/>
              <a:cs typeface="Times New Roman"/>
            </a:rPr>
            <a:t> de skader som ennå ikke er meldt, j.fr. definisjonen av anslått erstatning. I antall skader inngår også såkalte </a:t>
          </a:r>
          <a:r>
            <a:rPr lang="en-US" sz="1200" b="0" i="1" strike="noStrike">
              <a:solidFill>
                <a:srgbClr val="000000"/>
              </a:solidFill>
              <a:latin typeface="Times New Roman"/>
              <a:cs typeface="Times New Roman"/>
            </a:rPr>
            <a:t>nullskader.</a:t>
          </a: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Gjennomsnittsskade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Vi gjør oppmerksom på at siden tallene for antall anmeldte skader og anslåtte erstatninger har ulik tidsavgrensning er de ikke direkte sammenlignbare. En nøyaktig beregning av gjennomsnittsskaden kan derfor ikke gjøres ut fra dette materialet. Spesielt gjelder dette ”langhalede” bransjer som yrkesskade og personskade motorvogn.</a:t>
          </a:r>
        </a:p>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7</xdr:col>
      <xdr:colOff>104775</xdr:colOff>
      <xdr:row>4</xdr:row>
      <xdr:rowOff>96437</xdr:rowOff>
    </xdr:from>
    <xdr:to>
      <xdr:col>10</xdr:col>
      <xdr:colOff>371475</xdr:colOff>
      <xdr:row>50</xdr:row>
      <xdr:rowOff>152518</xdr:rowOff>
    </xdr:to>
    <xdr:sp macro="" textlink="">
      <xdr:nvSpPr>
        <xdr:cNvPr id="6151" name="Text Box 7">
          <a:extLst>
            <a:ext uri="{FF2B5EF4-FFF2-40B4-BE49-F238E27FC236}">
              <a16:creationId xmlns:a16="http://schemas.microsoft.com/office/drawing/2014/main" id="{00000000-0008-0000-1600-000007180000}"/>
            </a:ext>
          </a:extLst>
        </xdr:cNvPr>
        <xdr:cNvSpPr txBox="1">
          <a:spLocks noChangeArrowheads="1"/>
        </xdr:cNvSpPr>
      </xdr:nvSpPr>
      <xdr:spPr bwMode="auto">
        <a:xfrm>
          <a:off x="5629275" y="601262"/>
          <a:ext cx="2552700" cy="9257231"/>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0" i="1" strike="noStrike">
              <a:solidFill>
                <a:srgbClr val="000000"/>
              </a:solidFill>
              <a:latin typeface="Times New Roman"/>
              <a:cs typeface="Times New Roman"/>
            </a:rPr>
            <a:t>Prognose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I rapporten for 1., 2. og 3. kvartal gis det en prognose for antall skader og anslått erstatning for inneværende skadeår. Alle prognosetall er merket med *. Prognosen gir uttrykk for hva årsresultatet blir om den gjenværende del av året utvikler seg  på samme vis som de de to foregående skadeår, gitt volumet for antall skader og anslått erstatning hittil i år. Prognosen blir derfor særlig sårbar hvis det er meldt storskader tidlig i året. Dette vil normalt bli omtalt i rapportens kommentardel.</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Usikkerhet i erstatningsanslagene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De anslåtte erstatningene tar høyde for skader som er inntruffet, men som ennå ikke er meldt selskapene. Videre er det usikkerhet i hva de skadesakene som ikke er ferdig oppgjort vil koste. Tidligere skadehistorikk m.m. brukes for å gjøre denne usikkerheten så liten som mulig, men spesielt for ”langhalet” forretning vil erstatningsanslagene variere over tid.</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Spesielle merknader</a:t>
          </a:r>
          <a:endParaRPr lang="en-US" sz="1200" b="0" i="0" strike="noStrike">
            <a:solidFill>
              <a:srgbClr val="000000"/>
            </a:solidFill>
            <a:latin typeface="Times New Roman"/>
            <a:cs typeface="Times New Roman"/>
          </a:endParaRPr>
        </a:p>
        <a:p>
          <a:pPr rtl="0"/>
          <a:r>
            <a:rPr lang="en-US" sz="1200" b="0" i="1" strike="noStrike">
              <a:solidFill>
                <a:srgbClr val="000000"/>
              </a:solidFill>
              <a:latin typeface="Times New Roman"/>
              <a:ea typeface="+mn-ea"/>
              <a:cs typeface="Times New Roman"/>
            </a:rPr>
            <a:t>Brann</a:t>
          </a:r>
        </a:p>
        <a:p>
          <a:pPr rtl="0"/>
          <a:r>
            <a:rPr lang="en-US" sz="1200" b="0" i="0" strike="noStrike">
              <a:solidFill>
                <a:srgbClr val="000000"/>
              </a:solidFill>
              <a:latin typeface="Times New Roman"/>
              <a:ea typeface="+mn-ea"/>
              <a:cs typeface="Times New Roman"/>
            </a:rPr>
            <a:t>Ved å summere brann-tallene fra de to Brann-kombinerte bransjene vil totalen bli forskjellig fra Brannstatistikken utgitt av Finans Norge (BRASK). Det henvises til den statistikken hvis totale skadetall for hele markedet skal benyttes. </a:t>
          </a:r>
          <a:endParaRPr lang="nb-NO" sz="1200" b="0" i="0" strike="noStrike">
            <a:solidFill>
              <a:srgbClr val="000000"/>
            </a:solidFill>
            <a:latin typeface="Times New Roman"/>
            <a:ea typeface="+mn-ea"/>
            <a:cs typeface="Times New Roman"/>
          </a:endParaRPr>
        </a:p>
        <a:p>
          <a:pPr rtl="0"/>
          <a:endParaRPr lang="en-US" sz="1100" b="0" i="0">
            <a:latin typeface="+mn-lt"/>
            <a:ea typeface="+mn-ea"/>
            <a:cs typeface="+mn-cs"/>
          </a:endParaRPr>
        </a:p>
        <a:p>
          <a:pPr marL="0" indent="0" rtl="0"/>
          <a:r>
            <a:rPr lang="en-US" sz="1200" b="0" i="1" strike="noStrike">
              <a:solidFill>
                <a:srgbClr val="000000"/>
              </a:solidFill>
              <a:latin typeface="Times New Roman"/>
              <a:ea typeface="+mn-ea"/>
              <a:cs typeface="Times New Roman"/>
            </a:rPr>
            <a:t>Yrkesskadeforsikring</a:t>
          </a:r>
        </a:p>
        <a:p>
          <a:pPr rtl="0"/>
          <a:r>
            <a:rPr lang="en-US" sz="1200" b="0" i="0" strike="noStrike">
              <a:solidFill>
                <a:srgbClr val="000000"/>
              </a:solidFill>
              <a:latin typeface="Times New Roman"/>
              <a:ea typeface="+mn-ea"/>
              <a:cs typeface="Times New Roman"/>
            </a:rPr>
            <a:t>Her vises yrkesskader etter lov om yrkesskadeforsikring. Tilleggsdekninger rapporteres under trygghetsforsikring.</a:t>
          </a:r>
          <a:endParaRPr lang="nb-NO" sz="1200" b="0" i="0" strike="noStrike">
            <a:solidFill>
              <a:srgbClr val="000000"/>
            </a:solidFill>
            <a:latin typeface="Times New Roman"/>
            <a:ea typeface="+mn-ea"/>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10</xdr:col>
      <xdr:colOff>421804</xdr:colOff>
      <xdr:row>4</xdr:row>
      <xdr:rowOff>66675</xdr:rowOff>
    </xdr:from>
    <xdr:to>
      <xdr:col>13</xdr:col>
      <xdr:colOff>717259</xdr:colOff>
      <xdr:row>50</xdr:row>
      <xdr:rowOff>133350</xdr:rowOff>
    </xdr:to>
    <xdr:sp macro="" textlink="">
      <xdr:nvSpPr>
        <xdr:cNvPr id="6152" name="Text Box 8">
          <a:extLst>
            <a:ext uri="{FF2B5EF4-FFF2-40B4-BE49-F238E27FC236}">
              <a16:creationId xmlns:a16="http://schemas.microsoft.com/office/drawing/2014/main" id="{00000000-0008-0000-1600-000008180000}"/>
            </a:ext>
          </a:extLst>
        </xdr:cNvPr>
        <xdr:cNvSpPr txBox="1">
          <a:spLocks noChangeArrowheads="1"/>
        </xdr:cNvSpPr>
      </xdr:nvSpPr>
      <xdr:spPr bwMode="auto">
        <a:xfrm>
          <a:off x="8487502" y="569883"/>
          <a:ext cx="2667719" cy="9325694"/>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0" i="0" strike="noStrike">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Kvartalstatistikkene\Premiestatistikk\Rapport\premiestatistikk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
      <sheetName val="Innhold"/>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Tab16"/>
      <sheetName val="Tab17"/>
      <sheetName val="Tab18"/>
      <sheetName val="DATA_11"/>
      <sheetName val="DATA_12"/>
      <sheetName val="DATA_21"/>
      <sheetName val="DATA_31"/>
      <sheetName val="DATA_32"/>
      <sheetName val="DATA_41"/>
      <sheetName val="DATA_42"/>
      <sheetName val="DATA_51"/>
      <sheetName val="DATA_52"/>
      <sheetName val="DATA_61"/>
      <sheetName val="DATA_62"/>
      <sheetName val="DATA_63"/>
      <sheetName val="DATA_64"/>
      <sheetName val="DATA_71"/>
      <sheetName val="DATA_72"/>
      <sheetName val="DATA_81"/>
      <sheetName val="DATA_82"/>
      <sheetName val="DATA_91"/>
      <sheetName val="DATA_92"/>
      <sheetName val="DATA_93"/>
      <sheetName val="DATA_B1"/>
      <sheetName val="DATA_B2"/>
      <sheetName val="DATA_K1"/>
      <sheetName val="DATA_K2"/>
      <sheetName val="DATA_M1"/>
      <sheetName val="DATA_M2"/>
      <sheetName val="Forside"/>
      <sheetName val="DATA_P1"/>
      <sheetName val="DATA_P2"/>
    </sheetNames>
    <sheetDataSet>
      <sheetData sheetId="0"/>
      <sheetData sheetId="1"/>
      <sheetData sheetId="2"/>
      <sheetData sheetId="3"/>
      <sheetData sheetId="4"/>
      <sheetData sheetId="5"/>
      <sheetData sheetId="6">
        <row r="6">
          <cell r="B6" t="str">
            <v>31.12.2011</v>
          </cell>
          <cell r="C6" t="str">
            <v>31.12.2012</v>
          </cell>
          <cell r="D6" t="str">
            <v>31.12.2013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J57"/>
  <sheetViews>
    <sheetView showGridLines="0" showRowColHeaders="0" tabSelected="1" zoomScale="50" zoomScaleNormal="50" zoomScaleSheetLayoutView="100" workbookViewId="0"/>
  </sheetViews>
  <sheetFormatPr defaultColWidth="11.5" defaultRowHeight="12.9" x14ac:dyDescent="0.2"/>
  <cols>
    <col min="1" max="1" width="16.375" style="100" customWidth="1"/>
    <col min="2" max="4" width="11.5" style="100"/>
    <col min="5" max="5" width="14.125" style="100" bestFit="1" customWidth="1"/>
    <col min="6" max="7" width="11.5" style="100"/>
    <col min="8" max="8" width="13.5" style="100" customWidth="1"/>
    <col min="9" max="9" width="11.5" style="100"/>
    <col min="10" max="10" width="13.5" style="100" bestFit="1" customWidth="1"/>
    <col min="11" max="256" width="11.5" style="100"/>
    <col min="257" max="257" width="16.375" style="100" customWidth="1"/>
    <col min="258" max="260" width="11.5" style="100"/>
    <col min="261" max="261" width="14.125" style="100" bestFit="1" customWidth="1"/>
    <col min="262" max="263" width="11.5" style="100"/>
    <col min="264" max="264" width="13.5" style="100" customWidth="1"/>
    <col min="265" max="265" width="11.5" style="100"/>
    <col min="266" max="266" width="13.5" style="100" bestFit="1" customWidth="1"/>
    <col min="267" max="512" width="11.5" style="100"/>
    <col min="513" max="513" width="16.375" style="100" customWidth="1"/>
    <col min="514" max="516" width="11.5" style="100"/>
    <col min="517" max="517" width="14.125" style="100" bestFit="1" customWidth="1"/>
    <col min="518" max="519" width="11.5" style="100"/>
    <col min="520" max="520" width="13.5" style="100" customWidth="1"/>
    <col min="521" max="521" width="11.5" style="100"/>
    <col min="522" max="522" width="13.5" style="100" bestFit="1" customWidth="1"/>
    <col min="523" max="768" width="11.5" style="100"/>
    <col min="769" max="769" width="16.375" style="100" customWidth="1"/>
    <col min="770" max="772" width="11.5" style="100"/>
    <col min="773" max="773" width="14.125" style="100" bestFit="1" customWidth="1"/>
    <col min="774" max="775" width="11.5" style="100"/>
    <col min="776" max="776" width="13.5" style="100" customWidth="1"/>
    <col min="777" max="777" width="11.5" style="100"/>
    <col min="778" max="778" width="13.5" style="100" bestFit="1" customWidth="1"/>
    <col min="779" max="1024" width="11.5" style="100"/>
    <col min="1025" max="1025" width="16.375" style="100" customWidth="1"/>
    <col min="1026" max="1028" width="11.5" style="100"/>
    <col min="1029" max="1029" width="14.125" style="100" bestFit="1" customWidth="1"/>
    <col min="1030" max="1031" width="11.5" style="100"/>
    <col min="1032" max="1032" width="13.5" style="100" customWidth="1"/>
    <col min="1033" max="1033" width="11.5" style="100"/>
    <col min="1034" max="1034" width="13.5" style="100" bestFit="1" customWidth="1"/>
    <col min="1035" max="1280" width="11.5" style="100"/>
    <col min="1281" max="1281" width="16.375" style="100" customWidth="1"/>
    <col min="1282" max="1284" width="11.5" style="100"/>
    <col min="1285" max="1285" width="14.125" style="100" bestFit="1" customWidth="1"/>
    <col min="1286" max="1287" width="11.5" style="100"/>
    <col min="1288" max="1288" width="13.5" style="100" customWidth="1"/>
    <col min="1289" max="1289" width="11.5" style="100"/>
    <col min="1290" max="1290" width="13.5" style="100" bestFit="1" customWidth="1"/>
    <col min="1291" max="1536" width="11.5" style="100"/>
    <col min="1537" max="1537" width="16.375" style="100" customWidth="1"/>
    <col min="1538" max="1540" width="11.5" style="100"/>
    <col min="1541" max="1541" width="14.125" style="100" bestFit="1" customWidth="1"/>
    <col min="1542" max="1543" width="11.5" style="100"/>
    <col min="1544" max="1544" width="13.5" style="100" customWidth="1"/>
    <col min="1545" max="1545" width="11.5" style="100"/>
    <col min="1546" max="1546" width="13.5" style="100" bestFit="1" customWidth="1"/>
    <col min="1547" max="1792" width="11.5" style="100"/>
    <col min="1793" max="1793" width="16.375" style="100" customWidth="1"/>
    <col min="1794" max="1796" width="11.5" style="100"/>
    <col min="1797" max="1797" width="14.125" style="100" bestFit="1" customWidth="1"/>
    <col min="1798" max="1799" width="11.5" style="100"/>
    <col min="1800" max="1800" width="13.5" style="100" customWidth="1"/>
    <col min="1801" max="1801" width="11.5" style="100"/>
    <col min="1802" max="1802" width="13.5" style="100" bestFit="1" customWidth="1"/>
    <col min="1803" max="2048" width="11.5" style="100"/>
    <col min="2049" max="2049" width="16.375" style="100" customWidth="1"/>
    <col min="2050" max="2052" width="11.5" style="100"/>
    <col min="2053" max="2053" width="14.125" style="100" bestFit="1" customWidth="1"/>
    <col min="2054" max="2055" width="11.5" style="100"/>
    <col min="2056" max="2056" width="13.5" style="100" customWidth="1"/>
    <col min="2057" max="2057" width="11.5" style="100"/>
    <col min="2058" max="2058" width="13.5" style="100" bestFit="1" customWidth="1"/>
    <col min="2059" max="2304" width="11.5" style="100"/>
    <col min="2305" max="2305" width="16.375" style="100" customWidth="1"/>
    <col min="2306" max="2308" width="11.5" style="100"/>
    <col min="2309" max="2309" width="14.125" style="100" bestFit="1" customWidth="1"/>
    <col min="2310" max="2311" width="11.5" style="100"/>
    <col min="2312" max="2312" width="13.5" style="100" customWidth="1"/>
    <col min="2313" max="2313" width="11.5" style="100"/>
    <col min="2314" max="2314" width="13.5" style="100" bestFit="1" customWidth="1"/>
    <col min="2315" max="2560" width="11.5" style="100"/>
    <col min="2561" max="2561" width="16.375" style="100" customWidth="1"/>
    <col min="2562" max="2564" width="11.5" style="100"/>
    <col min="2565" max="2565" width="14.125" style="100" bestFit="1" customWidth="1"/>
    <col min="2566" max="2567" width="11.5" style="100"/>
    <col min="2568" max="2568" width="13.5" style="100" customWidth="1"/>
    <col min="2569" max="2569" width="11.5" style="100"/>
    <col min="2570" max="2570" width="13.5" style="100" bestFit="1" customWidth="1"/>
    <col min="2571" max="2816" width="11.5" style="100"/>
    <col min="2817" max="2817" width="16.375" style="100" customWidth="1"/>
    <col min="2818" max="2820" width="11.5" style="100"/>
    <col min="2821" max="2821" width="14.125" style="100" bestFit="1" customWidth="1"/>
    <col min="2822" max="2823" width="11.5" style="100"/>
    <col min="2824" max="2824" width="13.5" style="100" customWidth="1"/>
    <col min="2825" max="2825" width="11.5" style="100"/>
    <col min="2826" max="2826" width="13.5" style="100" bestFit="1" customWidth="1"/>
    <col min="2827" max="3072" width="11.5" style="100"/>
    <col min="3073" max="3073" width="16.375" style="100" customWidth="1"/>
    <col min="3074" max="3076" width="11.5" style="100"/>
    <col min="3077" max="3077" width="14.125" style="100" bestFit="1" customWidth="1"/>
    <col min="3078" max="3079" width="11.5" style="100"/>
    <col min="3080" max="3080" width="13.5" style="100" customWidth="1"/>
    <col min="3081" max="3081" width="11.5" style="100"/>
    <col min="3082" max="3082" width="13.5" style="100" bestFit="1" customWidth="1"/>
    <col min="3083" max="3328" width="11.5" style="100"/>
    <col min="3329" max="3329" width="16.375" style="100" customWidth="1"/>
    <col min="3330" max="3332" width="11.5" style="100"/>
    <col min="3333" max="3333" width="14.125" style="100" bestFit="1" customWidth="1"/>
    <col min="3334" max="3335" width="11.5" style="100"/>
    <col min="3336" max="3336" width="13.5" style="100" customWidth="1"/>
    <col min="3337" max="3337" width="11.5" style="100"/>
    <col min="3338" max="3338" width="13.5" style="100" bestFit="1" customWidth="1"/>
    <col min="3339" max="3584" width="11.5" style="100"/>
    <col min="3585" max="3585" width="16.375" style="100" customWidth="1"/>
    <col min="3586" max="3588" width="11.5" style="100"/>
    <col min="3589" max="3589" width="14.125" style="100" bestFit="1" customWidth="1"/>
    <col min="3590" max="3591" width="11.5" style="100"/>
    <col min="3592" max="3592" width="13.5" style="100" customWidth="1"/>
    <col min="3593" max="3593" width="11.5" style="100"/>
    <col min="3594" max="3594" width="13.5" style="100" bestFit="1" customWidth="1"/>
    <col min="3595" max="3840" width="11.5" style="100"/>
    <col min="3841" max="3841" width="16.375" style="100" customWidth="1"/>
    <col min="3842" max="3844" width="11.5" style="100"/>
    <col min="3845" max="3845" width="14.125" style="100" bestFit="1" customWidth="1"/>
    <col min="3846" max="3847" width="11.5" style="100"/>
    <col min="3848" max="3848" width="13.5" style="100" customWidth="1"/>
    <col min="3849" max="3849" width="11.5" style="100"/>
    <col min="3850" max="3850" width="13.5" style="100" bestFit="1" customWidth="1"/>
    <col min="3851" max="4096" width="11.5" style="100"/>
    <col min="4097" max="4097" width="16.375" style="100" customWidth="1"/>
    <col min="4098" max="4100" width="11.5" style="100"/>
    <col min="4101" max="4101" width="14.125" style="100" bestFit="1" customWidth="1"/>
    <col min="4102" max="4103" width="11.5" style="100"/>
    <col min="4104" max="4104" width="13.5" style="100" customWidth="1"/>
    <col min="4105" max="4105" width="11.5" style="100"/>
    <col min="4106" max="4106" width="13.5" style="100" bestFit="1" customWidth="1"/>
    <col min="4107" max="4352" width="11.5" style="100"/>
    <col min="4353" max="4353" width="16.375" style="100" customWidth="1"/>
    <col min="4354" max="4356" width="11.5" style="100"/>
    <col min="4357" max="4357" width="14.125" style="100" bestFit="1" customWidth="1"/>
    <col min="4358" max="4359" width="11.5" style="100"/>
    <col min="4360" max="4360" width="13.5" style="100" customWidth="1"/>
    <col min="4361" max="4361" width="11.5" style="100"/>
    <col min="4362" max="4362" width="13.5" style="100" bestFit="1" customWidth="1"/>
    <col min="4363" max="4608" width="11.5" style="100"/>
    <col min="4609" max="4609" width="16.375" style="100" customWidth="1"/>
    <col min="4610" max="4612" width="11.5" style="100"/>
    <col min="4613" max="4613" width="14.125" style="100" bestFit="1" customWidth="1"/>
    <col min="4614" max="4615" width="11.5" style="100"/>
    <col min="4616" max="4616" width="13.5" style="100" customWidth="1"/>
    <col min="4617" max="4617" width="11.5" style="100"/>
    <col min="4618" max="4618" width="13.5" style="100" bestFit="1" customWidth="1"/>
    <col min="4619" max="4864" width="11.5" style="100"/>
    <col min="4865" max="4865" width="16.375" style="100" customWidth="1"/>
    <col min="4866" max="4868" width="11.5" style="100"/>
    <col min="4869" max="4869" width="14.125" style="100" bestFit="1" customWidth="1"/>
    <col min="4870" max="4871" width="11.5" style="100"/>
    <col min="4872" max="4872" width="13.5" style="100" customWidth="1"/>
    <col min="4873" max="4873" width="11.5" style="100"/>
    <col min="4874" max="4874" width="13.5" style="100" bestFit="1" customWidth="1"/>
    <col min="4875" max="5120" width="11.5" style="100"/>
    <col min="5121" max="5121" width="16.375" style="100" customWidth="1"/>
    <col min="5122" max="5124" width="11.5" style="100"/>
    <col min="5125" max="5125" width="14.125" style="100" bestFit="1" customWidth="1"/>
    <col min="5126" max="5127" width="11.5" style="100"/>
    <col min="5128" max="5128" width="13.5" style="100" customWidth="1"/>
    <col min="5129" max="5129" width="11.5" style="100"/>
    <col min="5130" max="5130" width="13.5" style="100" bestFit="1" customWidth="1"/>
    <col min="5131" max="5376" width="11.5" style="100"/>
    <col min="5377" max="5377" width="16.375" style="100" customWidth="1"/>
    <col min="5378" max="5380" width="11.5" style="100"/>
    <col min="5381" max="5381" width="14.125" style="100" bestFit="1" customWidth="1"/>
    <col min="5382" max="5383" width="11.5" style="100"/>
    <col min="5384" max="5384" width="13.5" style="100" customWidth="1"/>
    <col min="5385" max="5385" width="11.5" style="100"/>
    <col min="5386" max="5386" width="13.5" style="100" bestFit="1" customWidth="1"/>
    <col min="5387" max="5632" width="11.5" style="100"/>
    <col min="5633" max="5633" width="16.375" style="100" customWidth="1"/>
    <col min="5634" max="5636" width="11.5" style="100"/>
    <col min="5637" max="5637" width="14.125" style="100" bestFit="1" customWidth="1"/>
    <col min="5638" max="5639" width="11.5" style="100"/>
    <col min="5640" max="5640" width="13.5" style="100" customWidth="1"/>
    <col min="5641" max="5641" width="11.5" style="100"/>
    <col min="5642" max="5642" width="13.5" style="100" bestFit="1" customWidth="1"/>
    <col min="5643" max="5888" width="11.5" style="100"/>
    <col min="5889" max="5889" width="16.375" style="100" customWidth="1"/>
    <col min="5890" max="5892" width="11.5" style="100"/>
    <col min="5893" max="5893" width="14.125" style="100" bestFit="1" customWidth="1"/>
    <col min="5894" max="5895" width="11.5" style="100"/>
    <col min="5896" max="5896" width="13.5" style="100" customWidth="1"/>
    <col min="5897" max="5897" width="11.5" style="100"/>
    <col min="5898" max="5898" width="13.5" style="100" bestFit="1" customWidth="1"/>
    <col min="5899" max="6144" width="11.5" style="100"/>
    <col min="6145" max="6145" width="16.375" style="100" customWidth="1"/>
    <col min="6146" max="6148" width="11.5" style="100"/>
    <col min="6149" max="6149" width="14.125" style="100" bestFit="1" customWidth="1"/>
    <col min="6150" max="6151" width="11.5" style="100"/>
    <col min="6152" max="6152" width="13.5" style="100" customWidth="1"/>
    <col min="6153" max="6153" width="11.5" style="100"/>
    <col min="6154" max="6154" width="13.5" style="100" bestFit="1" customWidth="1"/>
    <col min="6155" max="6400" width="11.5" style="100"/>
    <col min="6401" max="6401" width="16.375" style="100" customWidth="1"/>
    <col min="6402" max="6404" width="11.5" style="100"/>
    <col min="6405" max="6405" width="14.125" style="100" bestFit="1" customWidth="1"/>
    <col min="6406" max="6407" width="11.5" style="100"/>
    <col min="6408" max="6408" width="13.5" style="100" customWidth="1"/>
    <col min="6409" max="6409" width="11.5" style="100"/>
    <col min="6410" max="6410" width="13.5" style="100" bestFit="1" customWidth="1"/>
    <col min="6411" max="6656" width="11.5" style="100"/>
    <col min="6657" max="6657" width="16.375" style="100" customWidth="1"/>
    <col min="6658" max="6660" width="11.5" style="100"/>
    <col min="6661" max="6661" width="14.125" style="100" bestFit="1" customWidth="1"/>
    <col min="6662" max="6663" width="11.5" style="100"/>
    <col min="6664" max="6664" width="13.5" style="100" customWidth="1"/>
    <col min="6665" max="6665" width="11.5" style="100"/>
    <col min="6666" max="6666" width="13.5" style="100" bestFit="1" customWidth="1"/>
    <col min="6667" max="6912" width="11.5" style="100"/>
    <col min="6913" max="6913" width="16.375" style="100" customWidth="1"/>
    <col min="6914" max="6916" width="11.5" style="100"/>
    <col min="6917" max="6917" width="14.125" style="100" bestFit="1" customWidth="1"/>
    <col min="6918" max="6919" width="11.5" style="100"/>
    <col min="6920" max="6920" width="13.5" style="100" customWidth="1"/>
    <col min="6921" max="6921" width="11.5" style="100"/>
    <col min="6922" max="6922" width="13.5" style="100" bestFit="1" customWidth="1"/>
    <col min="6923" max="7168" width="11.5" style="100"/>
    <col min="7169" max="7169" width="16.375" style="100" customWidth="1"/>
    <col min="7170" max="7172" width="11.5" style="100"/>
    <col min="7173" max="7173" width="14.125" style="100" bestFit="1" customWidth="1"/>
    <col min="7174" max="7175" width="11.5" style="100"/>
    <col min="7176" max="7176" width="13.5" style="100" customWidth="1"/>
    <col min="7177" max="7177" width="11.5" style="100"/>
    <col min="7178" max="7178" width="13.5" style="100" bestFit="1" customWidth="1"/>
    <col min="7179" max="7424" width="11.5" style="100"/>
    <col min="7425" max="7425" width="16.375" style="100" customWidth="1"/>
    <col min="7426" max="7428" width="11.5" style="100"/>
    <col min="7429" max="7429" width="14.125" style="100" bestFit="1" customWidth="1"/>
    <col min="7430" max="7431" width="11.5" style="100"/>
    <col min="7432" max="7432" width="13.5" style="100" customWidth="1"/>
    <col min="7433" max="7433" width="11.5" style="100"/>
    <col min="7434" max="7434" width="13.5" style="100" bestFit="1" customWidth="1"/>
    <col min="7435" max="7680" width="11.5" style="100"/>
    <col min="7681" max="7681" width="16.375" style="100" customWidth="1"/>
    <col min="7682" max="7684" width="11.5" style="100"/>
    <col min="7685" max="7685" width="14.125" style="100" bestFit="1" customWidth="1"/>
    <col min="7686" max="7687" width="11.5" style="100"/>
    <col min="7688" max="7688" width="13.5" style="100" customWidth="1"/>
    <col min="7689" max="7689" width="11.5" style="100"/>
    <col min="7690" max="7690" width="13.5" style="100" bestFit="1" customWidth="1"/>
    <col min="7691" max="7936" width="11.5" style="100"/>
    <col min="7937" max="7937" width="16.375" style="100" customWidth="1"/>
    <col min="7938" max="7940" width="11.5" style="100"/>
    <col min="7941" max="7941" width="14.125" style="100" bestFit="1" customWidth="1"/>
    <col min="7942" max="7943" width="11.5" style="100"/>
    <col min="7944" max="7944" width="13.5" style="100" customWidth="1"/>
    <col min="7945" max="7945" width="11.5" style="100"/>
    <col min="7946" max="7946" width="13.5" style="100" bestFit="1" customWidth="1"/>
    <col min="7947" max="8192" width="11.5" style="100"/>
    <col min="8193" max="8193" width="16.375" style="100" customWidth="1"/>
    <col min="8194" max="8196" width="11.5" style="100"/>
    <col min="8197" max="8197" width="14.125" style="100" bestFit="1" customWidth="1"/>
    <col min="8198" max="8199" width="11.5" style="100"/>
    <col min="8200" max="8200" width="13.5" style="100" customWidth="1"/>
    <col min="8201" max="8201" width="11.5" style="100"/>
    <col min="8202" max="8202" width="13.5" style="100" bestFit="1" customWidth="1"/>
    <col min="8203" max="8448" width="11.5" style="100"/>
    <col min="8449" max="8449" width="16.375" style="100" customWidth="1"/>
    <col min="8450" max="8452" width="11.5" style="100"/>
    <col min="8453" max="8453" width="14.125" style="100" bestFit="1" customWidth="1"/>
    <col min="8454" max="8455" width="11.5" style="100"/>
    <col min="8456" max="8456" width="13.5" style="100" customWidth="1"/>
    <col min="8457" max="8457" width="11.5" style="100"/>
    <col min="8458" max="8458" width="13.5" style="100" bestFit="1" customWidth="1"/>
    <col min="8459" max="8704" width="11.5" style="100"/>
    <col min="8705" max="8705" width="16.375" style="100" customWidth="1"/>
    <col min="8706" max="8708" width="11.5" style="100"/>
    <col min="8709" max="8709" width="14.125" style="100" bestFit="1" customWidth="1"/>
    <col min="8710" max="8711" width="11.5" style="100"/>
    <col min="8712" max="8712" width="13.5" style="100" customWidth="1"/>
    <col min="8713" max="8713" width="11.5" style="100"/>
    <col min="8714" max="8714" width="13.5" style="100" bestFit="1" customWidth="1"/>
    <col min="8715" max="8960" width="11.5" style="100"/>
    <col min="8961" max="8961" width="16.375" style="100" customWidth="1"/>
    <col min="8962" max="8964" width="11.5" style="100"/>
    <col min="8965" max="8965" width="14.125" style="100" bestFit="1" customWidth="1"/>
    <col min="8966" max="8967" width="11.5" style="100"/>
    <col min="8968" max="8968" width="13.5" style="100" customWidth="1"/>
    <col min="8969" max="8969" width="11.5" style="100"/>
    <col min="8970" max="8970" width="13.5" style="100" bestFit="1" customWidth="1"/>
    <col min="8971" max="9216" width="11.5" style="100"/>
    <col min="9217" max="9217" width="16.375" style="100" customWidth="1"/>
    <col min="9218" max="9220" width="11.5" style="100"/>
    <col min="9221" max="9221" width="14.125" style="100" bestFit="1" customWidth="1"/>
    <col min="9222" max="9223" width="11.5" style="100"/>
    <col min="9224" max="9224" width="13.5" style="100" customWidth="1"/>
    <col min="9225" max="9225" width="11.5" style="100"/>
    <col min="9226" max="9226" width="13.5" style="100" bestFit="1" customWidth="1"/>
    <col min="9227" max="9472" width="11.5" style="100"/>
    <col min="9473" max="9473" width="16.375" style="100" customWidth="1"/>
    <col min="9474" max="9476" width="11.5" style="100"/>
    <col min="9477" max="9477" width="14.125" style="100" bestFit="1" customWidth="1"/>
    <col min="9478" max="9479" width="11.5" style="100"/>
    <col min="9480" max="9480" width="13.5" style="100" customWidth="1"/>
    <col min="9481" max="9481" width="11.5" style="100"/>
    <col min="9482" max="9482" width="13.5" style="100" bestFit="1" customWidth="1"/>
    <col min="9483" max="9728" width="11.5" style="100"/>
    <col min="9729" max="9729" width="16.375" style="100" customWidth="1"/>
    <col min="9730" max="9732" width="11.5" style="100"/>
    <col min="9733" max="9733" width="14.125" style="100" bestFit="1" customWidth="1"/>
    <col min="9734" max="9735" width="11.5" style="100"/>
    <col min="9736" max="9736" width="13.5" style="100" customWidth="1"/>
    <col min="9737" max="9737" width="11.5" style="100"/>
    <col min="9738" max="9738" width="13.5" style="100" bestFit="1" customWidth="1"/>
    <col min="9739" max="9984" width="11.5" style="100"/>
    <col min="9985" max="9985" width="16.375" style="100" customWidth="1"/>
    <col min="9986" max="9988" width="11.5" style="100"/>
    <col min="9989" max="9989" width="14.125" style="100" bestFit="1" customWidth="1"/>
    <col min="9990" max="9991" width="11.5" style="100"/>
    <col min="9992" max="9992" width="13.5" style="100" customWidth="1"/>
    <col min="9993" max="9993" width="11.5" style="100"/>
    <col min="9994" max="9994" width="13.5" style="100" bestFit="1" customWidth="1"/>
    <col min="9995" max="10240" width="11.5" style="100"/>
    <col min="10241" max="10241" width="16.375" style="100" customWidth="1"/>
    <col min="10242" max="10244" width="11.5" style="100"/>
    <col min="10245" max="10245" width="14.125" style="100" bestFit="1" customWidth="1"/>
    <col min="10246" max="10247" width="11.5" style="100"/>
    <col min="10248" max="10248" width="13.5" style="100" customWidth="1"/>
    <col min="10249" max="10249" width="11.5" style="100"/>
    <col min="10250" max="10250" width="13.5" style="100" bestFit="1" customWidth="1"/>
    <col min="10251" max="10496" width="11.5" style="100"/>
    <col min="10497" max="10497" width="16.375" style="100" customWidth="1"/>
    <col min="10498" max="10500" width="11.5" style="100"/>
    <col min="10501" max="10501" width="14.125" style="100" bestFit="1" customWidth="1"/>
    <col min="10502" max="10503" width="11.5" style="100"/>
    <col min="10504" max="10504" width="13.5" style="100" customWidth="1"/>
    <col min="10505" max="10505" width="11.5" style="100"/>
    <col min="10506" max="10506" width="13.5" style="100" bestFit="1" customWidth="1"/>
    <col min="10507" max="10752" width="11.5" style="100"/>
    <col min="10753" max="10753" width="16.375" style="100" customWidth="1"/>
    <col min="10754" max="10756" width="11.5" style="100"/>
    <col min="10757" max="10757" width="14.125" style="100" bestFit="1" customWidth="1"/>
    <col min="10758" max="10759" width="11.5" style="100"/>
    <col min="10760" max="10760" width="13.5" style="100" customWidth="1"/>
    <col min="10761" max="10761" width="11.5" style="100"/>
    <col min="10762" max="10762" width="13.5" style="100" bestFit="1" customWidth="1"/>
    <col min="10763" max="11008" width="11.5" style="100"/>
    <col min="11009" max="11009" width="16.375" style="100" customWidth="1"/>
    <col min="11010" max="11012" width="11.5" style="100"/>
    <col min="11013" max="11013" width="14.125" style="100" bestFit="1" customWidth="1"/>
    <col min="11014" max="11015" width="11.5" style="100"/>
    <col min="11016" max="11016" width="13.5" style="100" customWidth="1"/>
    <col min="11017" max="11017" width="11.5" style="100"/>
    <col min="11018" max="11018" width="13.5" style="100" bestFit="1" customWidth="1"/>
    <col min="11019" max="11264" width="11.5" style="100"/>
    <col min="11265" max="11265" width="16.375" style="100" customWidth="1"/>
    <col min="11266" max="11268" width="11.5" style="100"/>
    <col min="11269" max="11269" width="14.125" style="100" bestFit="1" customWidth="1"/>
    <col min="11270" max="11271" width="11.5" style="100"/>
    <col min="11272" max="11272" width="13.5" style="100" customWidth="1"/>
    <col min="11273" max="11273" width="11.5" style="100"/>
    <col min="11274" max="11274" width="13.5" style="100" bestFit="1" customWidth="1"/>
    <col min="11275" max="11520" width="11.5" style="100"/>
    <col min="11521" max="11521" width="16.375" style="100" customWidth="1"/>
    <col min="11522" max="11524" width="11.5" style="100"/>
    <col min="11525" max="11525" width="14.125" style="100" bestFit="1" customWidth="1"/>
    <col min="11526" max="11527" width="11.5" style="100"/>
    <col min="11528" max="11528" width="13.5" style="100" customWidth="1"/>
    <col min="11529" max="11529" width="11.5" style="100"/>
    <col min="11530" max="11530" width="13.5" style="100" bestFit="1" customWidth="1"/>
    <col min="11531" max="11776" width="11.5" style="100"/>
    <col min="11777" max="11777" width="16.375" style="100" customWidth="1"/>
    <col min="11778" max="11780" width="11.5" style="100"/>
    <col min="11781" max="11781" width="14.125" style="100" bestFit="1" customWidth="1"/>
    <col min="11782" max="11783" width="11.5" style="100"/>
    <col min="11784" max="11784" width="13.5" style="100" customWidth="1"/>
    <col min="11785" max="11785" width="11.5" style="100"/>
    <col min="11786" max="11786" width="13.5" style="100" bestFit="1" customWidth="1"/>
    <col min="11787" max="12032" width="11.5" style="100"/>
    <col min="12033" max="12033" width="16.375" style="100" customWidth="1"/>
    <col min="12034" max="12036" width="11.5" style="100"/>
    <col min="12037" max="12037" width="14.125" style="100" bestFit="1" customWidth="1"/>
    <col min="12038" max="12039" width="11.5" style="100"/>
    <col min="12040" max="12040" width="13.5" style="100" customWidth="1"/>
    <col min="12041" max="12041" width="11.5" style="100"/>
    <col min="12042" max="12042" width="13.5" style="100" bestFit="1" customWidth="1"/>
    <col min="12043" max="12288" width="11.5" style="100"/>
    <col min="12289" max="12289" width="16.375" style="100" customWidth="1"/>
    <col min="12290" max="12292" width="11.5" style="100"/>
    <col min="12293" max="12293" width="14.125" style="100" bestFit="1" customWidth="1"/>
    <col min="12294" max="12295" width="11.5" style="100"/>
    <col min="12296" max="12296" width="13.5" style="100" customWidth="1"/>
    <col min="12297" max="12297" width="11.5" style="100"/>
    <col min="12298" max="12298" width="13.5" style="100" bestFit="1" customWidth="1"/>
    <col min="12299" max="12544" width="11.5" style="100"/>
    <col min="12545" max="12545" width="16.375" style="100" customWidth="1"/>
    <col min="12546" max="12548" width="11.5" style="100"/>
    <col min="12549" max="12549" width="14.125" style="100" bestFit="1" customWidth="1"/>
    <col min="12550" max="12551" width="11.5" style="100"/>
    <col min="12552" max="12552" width="13.5" style="100" customWidth="1"/>
    <col min="12553" max="12553" width="11.5" style="100"/>
    <col min="12554" max="12554" width="13.5" style="100" bestFit="1" customWidth="1"/>
    <col min="12555" max="12800" width="11.5" style="100"/>
    <col min="12801" max="12801" width="16.375" style="100" customWidth="1"/>
    <col min="12802" max="12804" width="11.5" style="100"/>
    <col min="12805" max="12805" width="14.125" style="100" bestFit="1" customWidth="1"/>
    <col min="12806" max="12807" width="11.5" style="100"/>
    <col min="12808" max="12808" width="13.5" style="100" customWidth="1"/>
    <col min="12809" max="12809" width="11.5" style="100"/>
    <col min="12810" max="12810" width="13.5" style="100" bestFit="1" customWidth="1"/>
    <col min="12811" max="13056" width="11.5" style="100"/>
    <col min="13057" max="13057" width="16.375" style="100" customWidth="1"/>
    <col min="13058" max="13060" width="11.5" style="100"/>
    <col min="13061" max="13061" width="14.125" style="100" bestFit="1" customWidth="1"/>
    <col min="13062" max="13063" width="11.5" style="100"/>
    <col min="13064" max="13064" width="13.5" style="100" customWidth="1"/>
    <col min="13065" max="13065" width="11.5" style="100"/>
    <col min="13066" max="13066" width="13.5" style="100" bestFit="1" customWidth="1"/>
    <col min="13067" max="13312" width="11.5" style="100"/>
    <col min="13313" max="13313" width="16.375" style="100" customWidth="1"/>
    <col min="13314" max="13316" width="11.5" style="100"/>
    <col min="13317" max="13317" width="14.125" style="100" bestFit="1" customWidth="1"/>
    <col min="13318" max="13319" width="11.5" style="100"/>
    <col min="13320" max="13320" width="13.5" style="100" customWidth="1"/>
    <col min="13321" max="13321" width="11.5" style="100"/>
    <col min="13322" max="13322" width="13.5" style="100" bestFit="1" customWidth="1"/>
    <col min="13323" max="13568" width="11.5" style="100"/>
    <col min="13569" max="13569" width="16.375" style="100" customWidth="1"/>
    <col min="13570" max="13572" width="11.5" style="100"/>
    <col min="13573" max="13573" width="14.125" style="100" bestFit="1" customWidth="1"/>
    <col min="13574" max="13575" width="11.5" style="100"/>
    <col min="13576" max="13576" width="13.5" style="100" customWidth="1"/>
    <col min="13577" max="13577" width="11.5" style="100"/>
    <col min="13578" max="13578" width="13.5" style="100" bestFit="1" customWidth="1"/>
    <col min="13579" max="13824" width="11.5" style="100"/>
    <col min="13825" max="13825" width="16.375" style="100" customWidth="1"/>
    <col min="13826" max="13828" width="11.5" style="100"/>
    <col min="13829" max="13829" width="14.125" style="100" bestFit="1" customWidth="1"/>
    <col min="13830" max="13831" width="11.5" style="100"/>
    <col min="13832" max="13832" width="13.5" style="100" customWidth="1"/>
    <col min="13833" max="13833" width="11.5" style="100"/>
    <col min="13834" max="13834" width="13.5" style="100" bestFit="1" customWidth="1"/>
    <col min="13835" max="14080" width="11.5" style="100"/>
    <col min="14081" max="14081" width="16.375" style="100" customWidth="1"/>
    <col min="14082" max="14084" width="11.5" style="100"/>
    <col min="14085" max="14085" width="14.125" style="100" bestFit="1" customWidth="1"/>
    <col min="14086" max="14087" width="11.5" style="100"/>
    <col min="14088" max="14088" width="13.5" style="100" customWidth="1"/>
    <col min="14089" max="14089" width="11.5" style="100"/>
    <col min="14090" max="14090" width="13.5" style="100" bestFit="1" customWidth="1"/>
    <col min="14091" max="14336" width="11.5" style="100"/>
    <col min="14337" max="14337" width="16.375" style="100" customWidth="1"/>
    <col min="14338" max="14340" width="11.5" style="100"/>
    <col min="14341" max="14341" width="14.125" style="100" bestFit="1" customWidth="1"/>
    <col min="14342" max="14343" width="11.5" style="100"/>
    <col min="14344" max="14344" width="13.5" style="100" customWidth="1"/>
    <col min="14345" max="14345" width="11.5" style="100"/>
    <col min="14346" max="14346" width="13.5" style="100" bestFit="1" customWidth="1"/>
    <col min="14347" max="14592" width="11.5" style="100"/>
    <col min="14593" max="14593" width="16.375" style="100" customWidth="1"/>
    <col min="14594" max="14596" width="11.5" style="100"/>
    <col min="14597" max="14597" width="14.125" style="100" bestFit="1" customWidth="1"/>
    <col min="14598" max="14599" width="11.5" style="100"/>
    <col min="14600" max="14600" width="13.5" style="100" customWidth="1"/>
    <col min="14601" max="14601" width="11.5" style="100"/>
    <col min="14602" max="14602" width="13.5" style="100" bestFit="1" customWidth="1"/>
    <col min="14603" max="14848" width="11.5" style="100"/>
    <col min="14849" max="14849" width="16.375" style="100" customWidth="1"/>
    <col min="14850" max="14852" width="11.5" style="100"/>
    <col min="14853" max="14853" width="14.125" style="100" bestFit="1" customWidth="1"/>
    <col min="14854" max="14855" width="11.5" style="100"/>
    <col min="14856" max="14856" width="13.5" style="100" customWidth="1"/>
    <col min="14857" max="14857" width="11.5" style="100"/>
    <col min="14858" max="14858" width="13.5" style="100" bestFit="1" customWidth="1"/>
    <col min="14859" max="15104" width="11.5" style="100"/>
    <col min="15105" max="15105" width="16.375" style="100" customWidth="1"/>
    <col min="15106" max="15108" width="11.5" style="100"/>
    <col min="15109" max="15109" width="14.125" style="100" bestFit="1" customWidth="1"/>
    <col min="15110" max="15111" width="11.5" style="100"/>
    <col min="15112" max="15112" width="13.5" style="100" customWidth="1"/>
    <col min="15113" max="15113" width="11.5" style="100"/>
    <col min="15114" max="15114" width="13.5" style="100" bestFit="1" customWidth="1"/>
    <col min="15115" max="15360" width="11.5" style="100"/>
    <col min="15361" max="15361" width="16.375" style="100" customWidth="1"/>
    <col min="15362" max="15364" width="11.5" style="100"/>
    <col min="15365" max="15365" width="14.125" style="100" bestFit="1" customWidth="1"/>
    <col min="15366" max="15367" width="11.5" style="100"/>
    <col min="15368" max="15368" width="13.5" style="100" customWidth="1"/>
    <col min="15369" max="15369" width="11.5" style="100"/>
    <col min="15370" max="15370" width="13.5" style="100" bestFit="1" customWidth="1"/>
    <col min="15371" max="15616" width="11.5" style="100"/>
    <col min="15617" max="15617" width="16.375" style="100" customWidth="1"/>
    <col min="15618" max="15620" width="11.5" style="100"/>
    <col min="15621" max="15621" width="14.125" style="100" bestFit="1" customWidth="1"/>
    <col min="15622" max="15623" width="11.5" style="100"/>
    <col min="15624" max="15624" width="13.5" style="100" customWidth="1"/>
    <col min="15625" max="15625" width="11.5" style="100"/>
    <col min="15626" max="15626" width="13.5" style="100" bestFit="1" customWidth="1"/>
    <col min="15627" max="15872" width="11.5" style="100"/>
    <col min="15873" max="15873" width="16.375" style="100" customWidth="1"/>
    <col min="15874" max="15876" width="11.5" style="100"/>
    <col min="15877" max="15877" width="14.125" style="100" bestFit="1" customWidth="1"/>
    <col min="15878" max="15879" width="11.5" style="100"/>
    <col min="15880" max="15880" width="13.5" style="100" customWidth="1"/>
    <col min="15881" max="15881" width="11.5" style="100"/>
    <col min="15882" max="15882" width="13.5" style="100" bestFit="1" customWidth="1"/>
    <col min="15883" max="16128" width="11.5" style="100"/>
    <col min="16129" max="16129" width="16.375" style="100" customWidth="1"/>
    <col min="16130" max="16132" width="11.5" style="100"/>
    <col min="16133" max="16133" width="14.125" style="100" bestFit="1" customWidth="1"/>
    <col min="16134" max="16135" width="11.5" style="100"/>
    <col min="16136" max="16136" width="13.5" style="100" customWidth="1"/>
    <col min="16137" max="16137" width="11.5" style="100"/>
    <col min="16138" max="16138" width="13.5" style="100" bestFit="1" customWidth="1"/>
    <col min="16139" max="16384" width="11.5" style="100"/>
  </cols>
  <sheetData>
    <row r="5" spans="2:9" x14ac:dyDescent="0.2">
      <c r="B5" s="99"/>
      <c r="C5" s="99"/>
      <c r="D5" s="99"/>
      <c r="E5" s="99"/>
      <c r="F5" s="99"/>
      <c r="G5" s="99"/>
      <c r="H5" s="99"/>
    </row>
    <row r="6" spans="2:9" ht="23.8" x14ac:dyDescent="0.4">
      <c r="B6" s="101"/>
      <c r="C6" s="99"/>
      <c r="D6" s="99"/>
      <c r="E6" s="99"/>
      <c r="F6" s="99"/>
      <c r="G6" s="99"/>
      <c r="H6" s="99"/>
      <c r="I6" s="102"/>
    </row>
    <row r="7" spans="2:9" x14ac:dyDescent="0.2">
      <c r="B7" s="99"/>
      <c r="C7" s="99"/>
      <c r="D7" s="99"/>
      <c r="E7" s="99"/>
      <c r="F7" s="99"/>
      <c r="G7" s="99"/>
      <c r="H7" s="99"/>
      <c r="I7" s="99"/>
    </row>
    <row r="8" spans="2:9" x14ac:dyDescent="0.2">
      <c r="B8" s="99"/>
      <c r="C8" s="99"/>
      <c r="D8" s="99"/>
      <c r="F8" s="99"/>
      <c r="G8" s="99"/>
      <c r="H8" s="99"/>
    </row>
    <row r="9" spans="2:9" x14ac:dyDescent="0.2">
      <c r="B9" s="99"/>
      <c r="C9" s="99"/>
      <c r="D9" s="99"/>
      <c r="E9" s="99"/>
      <c r="F9" s="99"/>
      <c r="G9" s="99"/>
      <c r="H9" s="99"/>
    </row>
    <row r="10" spans="2:9" ht="23.8" x14ac:dyDescent="0.4">
      <c r="B10" s="99"/>
      <c r="C10" s="99"/>
      <c r="D10" s="99"/>
      <c r="I10" s="102"/>
    </row>
    <row r="11" spans="2:9" x14ac:dyDescent="0.2">
      <c r="B11" s="99"/>
      <c r="C11" s="99"/>
      <c r="D11" s="99"/>
    </row>
    <row r="12" spans="2:9" ht="27" customHeight="1" x14ac:dyDescent="0.4">
      <c r="B12" s="99"/>
      <c r="C12" s="99"/>
      <c r="D12" s="99"/>
      <c r="E12" s="99"/>
      <c r="F12" s="99"/>
      <c r="G12" s="99"/>
      <c r="H12" s="99"/>
      <c r="I12" s="102"/>
    </row>
    <row r="13" spans="2:9" ht="19.55" customHeight="1" x14ac:dyDescent="0.4">
      <c r="B13" s="99"/>
      <c r="C13" s="94"/>
      <c r="D13" s="94"/>
      <c r="E13" s="94"/>
      <c r="F13" s="94"/>
      <c r="G13" s="94"/>
      <c r="H13" s="94"/>
      <c r="I13" s="102"/>
    </row>
    <row r="14" spans="2:9" x14ac:dyDescent="0.2">
      <c r="B14" s="99"/>
      <c r="C14" s="99"/>
      <c r="D14" s="99"/>
      <c r="F14" s="99"/>
      <c r="G14" s="99"/>
      <c r="H14" s="99"/>
    </row>
    <row r="15" spans="2:9" x14ac:dyDescent="0.2">
      <c r="B15" s="99"/>
      <c r="C15" s="99"/>
      <c r="D15" s="99"/>
      <c r="F15" s="99"/>
      <c r="G15" s="99"/>
      <c r="H15" s="99"/>
      <c r="I15" s="99"/>
    </row>
    <row r="16" spans="2:9" ht="34.65" x14ac:dyDescent="0.5">
      <c r="B16" s="99"/>
      <c r="C16" s="99"/>
      <c r="D16" s="99"/>
      <c r="E16" s="103"/>
      <c r="F16" s="99"/>
      <c r="G16" s="99"/>
      <c r="H16" s="99"/>
      <c r="I16" s="99"/>
    </row>
    <row r="17" spans="2:9" ht="31.95" x14ac:dyDescent="0.45">
      <c r="B17" s="99"/>
      <c r="C17" s="99"/>
      <c r="D17" s="99"/>
      <c r="E17" s="104"/>
      <c r="F17" s="99"/>
      <c r="G17" s="99"/>
      <c r="H17" s="99"/>
      <c r="I17" s="99"/>
    </row>
    <row r="18" spans="2:9" ht="31.95" x14ac:dyDescent="0.45">
      <c r="D18" s="104"/>
    </row>
    <row r="19" spans="2:9" ht="18.350000000000001" x14ac:dyDescent="0.3">
      <c r="E19" s="105"/>
      <c r="I19" s="106"/>
    </row>
    <row r="21" spans="2:9" x14ac:dyDescent="0.2">
      <c r="E21" s="107"/>
    </row>
    <row r="22" spans="2:9" ht="25.85" x14ac:dyDescent="0.45">
      <c r="E22" s="108"/>
    </row>
    <row r="25" spans="2:9" ht="19.05" x14ac:dyDescent="0.35">
      <c r="E25" s="109"/>
    </row>
    <row r="26" spans="2:9" ht="19.05" x14ac:dyDescent="0.35">
      <c r="E26" s="110"/>
    </row>
    <row r="28" spans="2:9" x14ac:dyDescent="0.2">
      <c r="D28" s="94"/>
      <c r="E28" s="94"/>
      <c r="F28" s="94"/>
      <c r="G28" s="94"/>
      <c r="H28" s="94"/>
    </row>
    <row r="33" spans="1:9" ht="34.65" x14ac:dyDescent="0.2">
      <c r="A33" s="111"/>
    </row>
    <row r="36" spans="1:9" ht="32.6" x14ac:dyDescent="0.2">
      <c r="B36" s="112"/>
    </row>
    <row r="39" spans="1:9" ht="18.350000000000001" x14ac:dyDescent="0.3">
      <c r="B39" s="113"/>
    </row>
    <row r="41" spans="1:9" ht="18.350000000000001" x14ac:dyDescent="0.3">
      <c r="I41" s="114"/>
    </row>
    <row r="43" spans="1:9" ht="18.350000000000001" x14ac:dyDescent="0.3">
      <c r="B43" s="192"/>
      <c r="C43" s="192"/>
      <c r="D43" s="192"/>
    </row>
    <row r="57" spans="10:10" ht="18.350000000000001" x14ac:dyDescent="0.3">
      <c r="J57" s="115"/>
    </row>
  </sheetData>
  <mergeCells count="1">
    <mergeCell ref="B43:D43"/>
  </mergeCells>
  <pageMargins left="0.78740157480314965" right="0.78740157480314965" top="0.98425196850393704" bottom="0.98425196850393704" header="0.51181102362204722" footer="0.51181102362204722"/>
  <pageSetup paperSize="9" scale="8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68"/>
  <sheetViews>
    <sheetView showGridLines="0" showRowColHeaders="0" zoomScale="80" zoomScaleNormal="80" workbookViewId="0"/>
  </sheetViews>
  <sheetFormatPr defaultColWidth="11.5" defaultRowHeight="13.6" x14ac:dyDescent="0.25"/>
  <cols>
    <col min="1" max="1" width="26.375" style="1" customWidth="1"/>
    <col min="2" max="2" width="8.125" style="1" customWidth="1"/>
    <col min="3" max="4" width="10.5" style="1" customWidth="1"/>
    <col min="5" max="5" width="9.875" style="1" customWidth="1"/>
    <col min="6" max="6" width="1.625" style="1" customWidth="1"/>
    <col min="7" max="7" width="7.625" style="1" customWidth="1"/>
    <col min="8" max="8" width="8.875" style="1" customWidth="1"/>
    <col min="9" max="16384" width="11.5" style="1"/>
  </cols>
  <sheetData>
    <row r="1" spans="1:8" ht="5.3" customHeight="1" x14ac:dyDescent="0.25"/>
    <row r="2" spans="1:8" x14ac:dyDescent="0.25">
      <c r="A2" s="92" t="s">
        <v>0</v>
      </c>
      <c r="B2" s="2"/>
      <c r="C2" s="2"/>
      <c r="D2" s="2"/>
      <c r="E2" s="2"/>
      <c r="F2" s="2"/>
      <c r="G2" s="2"/>
    </row>
    <row r="3" spans="1:8" ht="5.95" customHeight="1" x14ac:dyDescent="0.25">
      <c r="A3" s="3"/>
      <c r="B3" s="2"/>
      <c r="C3" s="2"/>
      <c r="D3" s="2"/>
      <c r="E3" s="2"/>
      <c r="F3" s="2"/>
      <c r="G3" s="2"/>
    </row>
    <row r="4" spans="1:8" ht="16.3" thickBot="1" x14ac:dyDescent="0.3">
      <c r="A4" s="4" t="s">
        <v>148</v>
      </c>
      <c r="B4" s="5"/>
      <c r="C4" s="5"/>
      <c r="D4" s="5"/>
      <c r="E4" s="5"/>
      <c r="F4" s="5"/>
      <c r="G4" s="5"/>
      <c r="H4" s="6"/>
    </row>
    <row r="5" spans="1:8" x14ac:dyDescent="0.25">
      <c r="A5" s="7"/>
      <c r="B5" s="8"/>
      <c r="C5" s="9"/>
      <c r="D5" s="8"/>
      <c r="E5" s="10"/>
      <c r="F5" s="11"/>
      <c r="G5" s="196" t="s">
        <v>1</v>
      </c>
      <c r="H5" s="197"/>
    </row>
    <row r="6" spans="1:8" x14ac:dyDescent="0.25">
      <c r="A6" s="12"/>
      <c r="B6" s="13"/>
      <c r="C6" s="14" t="s">
        <v>231</v>
      </c>
      <c r="D6" s="15" t="s">
        <v>232</v>
      </c>
      <c r="E6" s="15" t="s">
        <v>233</v>
      </c>
      <c r="F6" s="16"/>
      <c r="G6" s="17" t="s">
        <v>234</v>
      </c>
      <c r="H6" s="18" t="s">
        <v>235</v>
      </c>
    </row>
    <row r="7" spans="1:8" x14ac:dyDescent="0.25">
      <c r="A7" s="198" t="s">
        <v>42</v>
      </c>
      <c r="B7" s="19" t="s">
        <v>3</v>
      </c>
      <c r="C7" s="20">
        <v>135636.54006908037</v>
      </c>
      <c r="D7" s="20">
        <v>154164.24328634961</v>
      </c>
      <c r="E7" s="21">
        <v>172854.66300381807</v>
      </c>
      <c r="F7" s="22" t="s">
        <v>236</v>
      </c>
      <c r="G7" s="23">
        <v>27.439599178644869</v>
      </c>
      <c r="H7" s="24">
        <v>12.123706067659469</v>
      </c>
    </row>
    <row r="8" spans="1:8" x14ac:dyDescent="0.25">
      <c r="A8" s="199"/>
      <c r="B8" s="25" t="s">
        <v>237</v>
      </c>
      <c r="C8" s="26">
        <v>103685.17555144404</v>
      </c>
      <c r="D8" s="26">
        <v>116619.9324647622</v>
      </c>
      <c r="E8" s="26">
        <v>131214.51582692406</v>
      </c>
      <c r="F8" s="27"/>
      <c r="G8" s="28">
        <v>26.550893248785769</v>
      </c>
      <c r="H8" s="29">
        <v>12.514655988650787</v>
      </c>
    </row>
    <row r="9" spans="1:8" x14ac:dyDescent="0.25">
      <c r="A9" s="30" t="s">
        <v>18</v>
      </c>
      <c r="B9" s="31" t="s">
        <v>3</v>
      </c>
      <c r="C9" s="20">
        <v>10335.766454119826</v>
      </c>
      <c r="D9" s="20">
        <v>9654.8295664633042</v>
      </c>
      <c r="E9" s="21">
        <v>9666.7481617377889</v>
      </c>
      <c r="F9" s="22" t="s">
        <v>236</v>
      </c>
      <c r="G9" s="32">
        <v>-6.4728464536402868</v>
      </c>
      <c r="H9" s="33">
        <v>0.1234469774161937</v>
      </c>
    </row>
    <row r="10" spans="1:8" x14ac:dyDescent="0.25">
      <c r="A10" s="34"/>
      <c r="B10" s="25" t="s">
        <v>237</v>
      </c>
      <c r="C10" s="26">
        <v>8150.5542433909995</v>
      </c>
      <c r="D10" s="26">
        <v>7641.6221748474782</v>
      </c>
      <c r="E10" s="26">
        <v>7641.6745304347824</v>
      </c>
      <c r="F10" s="27"/>
      <c r="G10" s="35">
        <v>-6.2434982672356227</v>
      </c>
      <c r="H10" s="29">
        <v>6.8513708353634684E-4</v>
      </c>
    </row>
    <row r="11" spans="1:8" x14ac:dyDescent="0.25">
      <c r="A11" s="30" t="s">
        <v>19</v>
      </c>
      <c r="B11" s="31" t="s">
        <v>3</v>
      </c>
      <c r="C11" s="20">
        <v>6803.5548470660869</v>
      </c>
      <c r="D11" s="20">
        <v>6431.7652215443477</v>
      </c>
      <c r="E11" s="21">
        <v>6994.9853532085053</v>
      </c>
      <c r="F11" s="22" t="s">
        <v>236</v>
      </c>
      <c r="G11" s="37">
        <v>2.8136835881461053</v>
      </c>
      <c r="H11" s="33">
        <v>8.7568515370796121</v>
      </c>
    </row>
    <row r="12" spans="1:8" x14ac:dyDescent="0.25">
      <c r="A12" s="34"/>
      <c r="B12" s="25" t="s">
        <v>237</v>
      </c>
      <c r="C12" s="26">
        <v>5399.84747797</v>
      </c>
      <c r="D12" s="26">
        <v>4380.0739161582605</v>
      </c>
      <c r="E12" s="26">
        <v>5000.2484347826085</v>
      </c>
      <c r="F12" s="27"/>
      <c r="G12" s="28">
        <v>-7.4001912983219285</v>
      </c>
      <c r="H12" s="29">
        <v>14.158996640136607</v>
      </c>
    </row>
    <row r="13" spans="1:8" x14ac:dyDescent="0.25">
      <c r="A13" s="30" t="s">
        <v>20</v>
      </c>
      <c r="B13" s="31" t="s">
        <v>3</v>
      </c>
      <c r="C13" s="20">
        <v>22348.216593840993</v>
      </c>
      <c r="D13" s="20">
        <v>20706.316772163977</v>
      </c>
      <c r="E13" s="21">
        <v>22899.51078801668</v>
      </c>
      <c r="F13" s="22" t="s">
        <v>236</v>
      </c>
      <c r="G13" s="23">
        <v>2.4668375297902685</v>
      </c>
      <c r="H13" s="24">
        <v>10.591907966949819</v>
      </c>
    </row>
    <row r="14" spans="1:8" x14ac:dyDescent="0.25">
      <c r="A14" s="34"/>
      <c r="B14" s="25" t="s">
        <v>237</v>
      </c>
      <c r="C14" s="26">
        <v>17356.879751414286</v>
      </c>
      <c r="D14" s="26">
        <v>15354.987579122981</v>
      </c>
      <c r="E14" s="26">
        <v>17241.070683229813</v>
      </c>
      <c r="F14" s="27"/>
      <c r="G14" s="38">
        <v>-0.66722285251205449</v>
      </c>
      <c r="H14" s="24">
        <v>12.283195244463755</v>
      </c>
    </row>
    <row r="15" spans="1:8" x14ac:dyDescent="0.25">
      <c r="A15" s="30" t="s">
        <v>21</v>
      </c>
      <c r="B15" s="31" t="s">
        <v>3</v>
      </c>
      <c r="C15" s="20">
        <v>1871.3548398702899</v>
      </c>
      <c r="D15" s="20">
        <v>1533.384058547826</v>
      </c>
      <c r="E15" s="21">
        <v>1195.9306944364409</v>
      </c>
      <c r="F15" s="22" t="s">
        <v>236</v>
      </c>
      <c r="G15" s="37">
        <v>-36.092788553167445</v>
      </c>
      <c r="H15" s="33">
        <v>-22.007100062783124</v>
      </c>
    </row>
    <row r="16" spans="1:8" x14ac:dyDescent="0.25">
      <c r="A16" s="34"/>
      <c r="B16" s="25" t="s">
        <v>237</v>
      </c>
      <c r="C16" s="26">
        <v>1408.2565941625001</v>
      </c>
      <c r="D16" s="26">
        <v>1235.2880439108694</v>
      </c>
      <c r="E16" s="26">
        <v>941.31228260869568</v>
      </c>
      <c r="F16" s="27"/>
      <c r="G16" s="28">
        <v>-33.157615841415563</v>
      </c>
      <c r="H16" s="29">
        <v>-23.798154831277969</v>
      </c>
    </row>
    <row r="17" spans="1:8" x14ac:dyDescent="0.25">
      <c r="A17" s="30" t="s">
        <v>22</v>
      </c>
      <c r="B17" s="31" t="s">
        <v>3</v>
      </c>
      <c r="C17" s="20">
        <v>5157.3548398702897</v>
      </c>
      <c r="D17" s="20">
        <v>5296.3840585478265</v>
      </c>
      <c r="E17" s="21">
        <v>7283.6130897449266</v>
      </c>
      <c r="F17" s="22" t="s">
        <v>236</v>
      </c>
      <c r="G17" s="37">
        <v>41.227689695443047</v>
      </c>
      <c r="H17" s="33">
        <v>37.520485849018314</v>
      </c>
    </row>
    <row r="18" spans="1:8" x14ac:dyDescent="0.25">
      <c r="A18" s="34"/>
      <c r="B18" s="25" t="s">
        <v>237</v>
      </c>
      <c r="C18" s="26">
        <v>3971.2565941624998</v>
      </c>
      <c r="D18" s="26">
        <v>4030.2880439108694</v>
      </c>
      <c r="E18" s="26">
        <v>5564.3122826086956</v>
      </c>
      <c r="F18" s="27"/>
      <c r="G18" s="28">
        <v>40.114650128321813</v>
      </c>
      <c r="H18" s="29">
        <v>38.062397078925784</v>
      </c>
    </row>
    <row r="19" spans="1:8" x14ac:dyDescent="0.25">
      <c r="A19" s="30" t="s">
        <v>189</v>
      </c>
      <c r="B19" s="31" t="s">
        <v>3</v>
      </c>
      <c r="C19" s="20">
        <v>64641.041484602487</v>
      </c>
      <c r="D19" s="20">
        <v>78412.291930409934</v>
      </c>
      <c r="E19" s="21">
        <v>85847.975537537</v>
      </c>
      <c r="F19" s="22" t="s">
        <v>236</v>
      </c>
      <c r="G19" s="23">
        <v>32.807228296261314</v>
      </c>
      <c r="H19" s="24">
        <v>9.4828035555014196</v>
      </c>
    </row>
    <row r="20" spans="1:8" x14ac:dyDescent="0.25">
      <c r="A20" s="30"/>
      <c r="B20" s="25" t="s">
        <v>237</v>
      </c>
      <c r="C20" s="26">
        <v>48413.199378535712</v>
      </c>
      <c r="D20" s="26">
        <v>58811.468947807451</v>
      </c>
      <c r="E20" s="26">
        <v>64357.676708074534</v>
      </c>
      <c r="F20" s="27"/>
      <c r="G20" s="38">
        <v>32.934153359440842</v>
      </c>
      <c r="H20" s="24">
        <v>9.430486705219181</v>
      </c>
    </row>
    <row r="21" spans="1:8" x14ac:dyDescent="0.25">
      <c r="A21" s="39" t="s">
        <v>12</v>
      </c>
      <c r="B21" s="31" t="s">
        <v>3</v>
      </c>
      <c r="C21" s="20">
        <v>1255.2129039221738</v>
      </c>
      <c r="D21" s="20">
        <v>1364.2304351286957</v>
      </c>
      <c r="E21" s="21">
        <v>1511.8180818820576</v>
      </c>
      <c r="F21" s="22" t="s">
        <v>236</v>
      </c>
      <c r="G21" s="37">
        <v>20.443159655072662</v>
      </c>
      <c r="H21" s="33">
        <v>10.818381041282009</v>
      </c>
    </row>
    <row r="22" spans="1:8" x14ac:dyDescent="0.25">
      <c r="A22" s="34"/>
      <c r="B22" s="25" t="s">
        <v>237</v>
      </c>
      <c r="C22" s="26">
        <v>976.15395649749996</v>
      </c>
      <c r="D22" s="26">
        <v>1056.1728263465218</v>
      </c>
      <c r="E22" s="26">
        <v>1172.1873695652175</v>
      </c>
      <c r="F22" s="27"/>
      <c r="G22" s="28">
        <v>20.082222866882333</v>
      </c>
      <c r="H22" s="29">
        <v>10.984427957686577</v>
      </c>
    </row>
    <row r="23" spans="1:8" x14ac:dyDescent="0.25">
      <c r="A23" s="39" t="s">
        <v>23</v>
      </c>
      <c r="B23" s="31" t="s">
        <v>3</v>
      </c>
      <c r="C23" s="20">
        <v>4258.3548398702897</v>
      </c>
      <c r="D23" s="20">
        <v>4566.3840585478265</v>
      </c>
      <c r="E23" s="21">
        <v>4782.6224698278529</v>
      </c>
      <c r="F23" s="22" t="s">
        <v>236</v>
      </c>
      <c r="G23" s="23">
        <v>12.311506430815243</v>
      </c>
      <c r="H23" s="24">
        <v>4.735440744964265</v>
      </c>
    </row>
    <row r="24" spans="1:8" x14ac:dyDescent="0.25">
      <c r="A24" s="34"/>
      <c r="B24" s="25" t="s">
        <v>237</v>
      </c>
      <c r="C24" s="26">
        <v>3081.2565941624998</v>
      </c>
      <c r="D24" s="26">
        <v>3302.2880439108694</v>
      </c>
      <c r="E24" s="26">
        <v>3459.3122826086956</v>
      </c>
      <c r="F24" s="27"/>
      <c r="G24" s="28">
        <v>12.26952955370318</v>
      </c>
      <c r="H24" s="29">
        <v>4.7550133910143018</v>
      </c>
    </row>
    <row r="25" spans="1:8" x14ac:dyDescent="0.25">
      <c r="A25" s="30" t="s">
        <v>24</v>
      </c>
      <c r="B25" s="31" t="s">
        <v>3</v>
      </c>
      <c r="C25" s="20">
        <v>20760.709679740579</v>
      </c>
      <c r="D25" s="20">
        <v>27731.768117095653</v>
      </c>
      <c r="E25" s="21">
        <v>36185.606853861143</v>
      </c>
      <c r="F25" s="22" t="s">
        <v>236</v>
      </c>
      <c r="G25" s="23">
        <v>74.29850622675491</v>
      </c>
      <c r="H25" s="24">
        <v>30.484312075125132</v>
      </c>
    </row>
    <row r="26" spans="1:8" ht="14.3" thickBot="1" x14ac:dyDescent="0.3">
      <c r="A26" s="41"/>
      <c r="B26" s="42" t="s">
        <v>237</v>
      </c>
      <c r="C26" s="43">
        <v>16167.513188325</v>
      </c>
      <c r="D26" s="43">
        <v>22082.576087821741</v>
      </c>
      <c r="E26" s="43">
        <v>28599.624565217393</v>
      </c>
      <c r="F26" s="44"/>
      <c r="G26" s="45">
        <v>76.895631579691297</v>
      </c>
      <c r="H26" s="46">
        <v>29.51217489969261</v>
      </c>
    </row>
    <row r="31" spans="1:8" x14ac:dyDescent="0.25">
      <c r="A31" s="47"/>
      <c r="B31" s="48"/>
      <c r="C31" s="49"/>
      <c r="D31" s="55"/>
      <c r="E31" s="49"/>
      <c r="F31" s="49"/>
      <c r="G31" s="50"/>
      <c r="H31" s="51"/>
    </row>
    <row r="32" spans="1:8" ht="17" thickBot="1" x14ac:dyDescent="0.35">
      <c r="A32" s="4" t="s">
        <v>43</v>
      </c>
      <c r="B32" s="5"/>
      <c r="C32" s="5"/>
      <c r="D32" s="5"/>
      <c r="E32" s="5"/>
      <c r="F32" s="5"/>
      <c r="G32" s="5"/>
      <c r="H32" s="6"/>
    </row>
    <row r="33" spans="1:8" x14ac:dyDescent="0.25">
      <c r="A33" s="7"/>
      <c r="B33" s="8"/>
      <c r="C33" s="202" t="s">
        <v>16</v>
      </c>
      <c r="D33" s="196"/>
      <c r="E33" s="196"/>
      <c r="F33" s="203"/>
      <c r="G33" s="196" t="s">
        <v>1</v>
      </c>
      <c r="H33" s="197"/>
    </row>
    <row r="34" spans="1:8" x14ac:dyDescent="0.25">
      <c r="A34" s="12"/>
      <c r="B34" s="13"/>
      <c r="C34" s="14" t="s">
        <v>231</v>
      </c>
      <c r="D34" s="15" t="s">
        <v>232</v>
      </c>
      <c r="E34" s="15" t="s">
        <v>233</v>
      </c>
      <c r="F34" s="16"/>
      <c r="G34" s="17" t="s">
        <v>234</v>
      </c>
      <c r="H34" s="18" t="s">
        <v>235</v>
      </c>
    </row>
    <row r="35" spans="1:8" ht="12.75" customHeight="1" x14ac:dyDescent="0.25">
      <c r="A35" s="198" t="s">
        <v>42</v>
      </c>
      <c r="B35" s="19" t="s">
        <v>3</v>
      </c>
      <c r="C35" s="80">
        <v>1365.6618927344666</v>
      </c>
      <c r="D35" s="80">
        <v>1382.3195291147865</v>
      </c>
      <c r="E35" s="83">
        <v>1590.6183578868959</v>
      </c>
      <c r="F35" s="22" t="s">
        <v>236</v>
      </c>
      <c r="G35" s="23">
        <v>16.472339628808029</v>
      </c>
      <c r="H35" s="24">
        <v>15.068790130274749</v>
      </c>
    </row>
    <row r="36" spans="1:8" ht="12.75" customHeight="1" x14ac:dyDescent="0.25">
      <c r="A36" s="199"/>
      <c r="B36" s="25" t="s">
        <v>237</v>
      </c>
      <c r="C36" s="82">
        <v>1036.2757747884577</v>
      </c>
      <c r="D36" s="82">
        <v>1000.7683892678758</v>
      </c>
      <c r="E36" s="82">
        <v>1169.4656861988581</v>
      </c>
      <c r="F36" s="27"/>
      <c r="G36" s="28">
        <v>12.852747757959435</v>
      </c>
      <c r="H36" s="29">
        <v>16.856777126463271</v>
      </c>
    </row>
    <row r="37" spans="1:8" x14ac:dyDescent="0.25">
      <c r="A37" s="30" t="s">
        <v>18</v>
      </c>
      <c r="B37" s="31" t="s">
        <v>3</v>
      </c>
      <c r="C37" s="80">
        <v>429.32155007374348</v>
      </c>
      <c r="D37" s="80">
        <v>442.97258612085278</v>
      </c>
      <c r="E37" s="83">
        <v>513.31735862050107</v>
      </c>
      <c r="F37" s="22" t="s">
        <v>236</v>
      </c>
      <c r="G37" s="32">
        <v>19.564778085872888</v>
      </c>
      <c r="H37" s="33">
        <v>15.88016385295154</v>
      </c>
    </row>
    <row r="38" spans="1:8" x14ac:dyDescent="0.25">
      <c r="A38" s="34"/>
      <c r="B38" s="25" t="s">
        <v>237</v>
      </c>
      <c r="C38" s="82">
        <v>309.73607679830326</v>
      </c>
      <c r="D38" s="82">
        <v>322.11995058786238</v>
      </c>
      <c r="E38" s="82">
        <v>372.28866982865014</v>
      </c>
      <c r="F38" s="27"/>
      <c r="G38" s="35">
        <v>20.195449518488104</v>
      </c>
      <c r="H38" s="29">
        <v>15.574545801721015</v>
      </c>
    </row>
    <row r="39" spans="1:8" x14ac:dyDescent="0.25">
      <c r="A39" s="30" t="s">
        <v>19</v>
      </c>
      <c r="B39" s="31" t="s">
        <v>3</v>
      </c>
      <c r="C39" s="80">
        <v>206.89560650834983</v>
      </c>
      <c r="D39" s="80">
        <v>139.92775588724291</v>
      </c>
      <c r="E39" s="83">
        <v>156.3559324686853</v>
      </c>
      <c r="F39" s="22" t="s">
        <v>236</v>
      </c>
      <c r="G39" s="37">
        <v>-24.427620717806235</v>
      </c>
      <c r="H39" s="33">
        <v>11.740470271445361</v>
      </c>
    </row>
    <row r="40" spans="1:8" x14ac:dyDescent="0.25">
      <c r="A40" s="34"/>
      <c r="B40" s="25" t="s">
        <v>237</v>
      </c>
      <c r="C40" s="82">
        <v>167.46383179807802</v>
      </c>
      <c r="D40" s="82">
        <v>88.946467397179489</v>
      </c>
      <c r="E40" s="82">
        <v>107.04909048179817</v>
      </c>
      <c r="F40" s="27"/>
      <c r="G40" s="28">
        <v>-36.076292216414707</v>
      </c>
      <c r="H40" s="29">
        <v>20.352267621583735</v>
      </c>
    </row>
    <row r="41" spans="1:8" x14ac:dyDescent="0.25">
      <c r="A41" s="30" t="s">
        <v>20</v>
      </c>
      <c r="B41" s="31" t="s">
        <v>3</v>
      </c>
      <c r="C41" s="80">
        <v>272.00910261615422</v>
      </c>
      <c r="D41" s="80">
        <v>246.86392278839622</v>
      </c>
      <c r="E41" s="83">
        <v>250.92622924182686</v>
      </c>
      <c r="F41" s="22" t="s">
        <v>236</v>
      </c>
      <c r="G41" s="23">
        <v>-7.7507970033188371</v>
      </c>
      <c r="H41" s="24">
        <v>1.6455650576827026</v>
      </c>
    </row>
    <row r="42" spans="1:8" x14ac:dyDescent="0.25">
      <c r="A42" s="34"/>
      <c r="B42" s="25" t="s">
        <v>237</v>
      </c>
      <c r="C42" s="82">
        <v>205.91794605657651</v>
      </c>
      <c r="D42" s="82">
        <v>182.33022344548752</v>
      </c>
      <c r="E42" s="82">
        <v>186.84769391067559</v>
      </c>
      <c r="F42" s="27"/>
      <c r="G42" s="38">
        <v>-9.2610928338714587</v>
      </c>
      <c r="H42" s="24">
        <v>2.4776311791987098</v>
      </c>
    </row>
    <row r="43" spans="1:8" x14ac:dyDescent="0.25">
      <c r="A43" s="30" t="s">
        <v>21</v>
      </c>
      <c r="B43" s="31" t="s">
        <v>3</v>
      </c>
      <c r="C43" s="80">
        <v>9.4231151930438681</v>
      </c>
      <c r="D43" s="80">
        <v>8.9882224831339776</v>
      </c>
      <c r="E43" s="83">
        <v>9.3939192555133673</v>
      </c>
      <c r="F43" s="22" t="s">
        <v>236</v>
      </c>
      <c r="G43" s="37">
        <v>-0.30983318077288402</v>
      </c>
      <c r="H43" s="33">
        <v>4.5136485344089152</v>
      </c>
    </row>
    <row r="44" spans="1:8" x14ac:dyDescent="0.25">
      <c r="A44" s="34"/>
      <c r="B44" s="25" t="s">
        <v>237</v>
      </c>
      <c r="C44" s="82">
        <v>7.1819106409381712</v>
      </c>
      <c r="D44" s="82">
        <v>6.7742910726584178</v>
      </c>
      <c r="E44" s="82">
        <v>7.1063946809029481</v>
      </c>
      <c r="F44" s="27"/>
      <c r="G44" s="28">
        <v>-1.05147451438296</v>
      </c>
      <c r="H44" s="29">
        <v>4.902411258720889</v>
      </c>
    </row>
    <row r="45" spans="1:8" x14ac:dyDescent="0.25">
      <c r="A45" s="30" t="s">
        <v>22</v>
      </c>
      <c r="B45" s="31" t="s">
        <v>3</v>
      </c>
      <c r="C45" s="80">
        <v>23.602795476806214</v>
      </c>
      <c r="D45" s="80">
        <v>24.568454492397112</v>
      </c>
      <c r="E45" s="83">
        <v>35.205202564240579</v>
      </c>
      <c r="F45" s="22" t="s">
        <v>236</v>
      </c>
      <c r="G45" s="37">
        <v>49.15691914051331</v>
      </c>
      <c r="H45" s="33">
        <v>43.294331253661426</v>
      </c>
    </row>
    <row r="46" spans="1:8" x14ac:dyDescent="0.25">
      <c r="A46" s="34"/>
      <c r="B46" s="25" t="s">
        <v>237</v>
      </c>
      <c r="C46" s="82">
        <v>19.349627297646794</v>
      </c>
      <c r="D46" s="82">
        <v>18.982664328640507</v>
      </c>
      <c r="E46" s="82">
        <v>27.732852724340312</v>
      </c>
      <c r="F46" s="27"/>
      <c r="G46" s="28">
        <v>43.324996899103297</v>
      </c>
      <c r="H46" s="29">
        <v>46.095681007738051</v>
      </c>
    </row>
    <row r="47" spans="1:8" x14ac:dyDescent="0.25">
      <c r="A47" s="30" t="s">
        <v>189</v>
      </c>
      <c r="B47" s="31" t="s">
        <v>3</v>
      </c>
      <c r="C47" s="80">
        <v>233.15142418330242</v>
      </c>
      <c r="D47" s="80">
        <v>265.38455931916411</v>
      </c>
      <c r="E47" s="83">
        <v>303.09953608210179</v>
      </c>
      <c r="F47" s="22" t="s">
        <v>236</v>
      </c>
      <c r="G47" s="23">
        <v>30.001151459322216</v>
      </c>
      <c r="H47" s="24">
        <v>14.211443521693297</v>
      </c>
    </row>
    <row r="48" spans="1:8" x14ac:dyDescent="0.25">
      <c r="A48" s="30"/>
      <c r="B48" s="25" t="s">
        <v>237</v>
      </c>
      <c r="C48" s="82">
        <v>181.15172391076374</v>
      </c>
      <c r="D48" s="82">
        <v>200.37290074917289</v>
      </c>
      <c r="E48" s="82">
        <v>231.02349782410673</v>
      </c>
      <c r="F48" s="27"/>
      <c r="G48" s="38">
        <v>27.530388801549634</v>
      </c>
      <c r="H48" s="24">
        <v>15.296777638260735</v>
      </c>
    </row>
    <row r="49" spans="1:8" x14ac:dyDescent="0.25">
      <c r="A49" s="39" t="s">
        <v>12</v>
      </c>
      <c r="B49" s="31" t="s">
        <v>3</v>
      </c>
      <c r="C49" s="80">
        <v>13.561272339726765</v>
      </c>
      <c r="D49" s="80">
        <v>11.175463042254535</v>
      </c>
      <c r="E49" s="83">
        <v>14.339955949156158</v>
      </c>
      <c r="F49" s="22" t="s">
        <v>236</v>
      </c>
      <c r="G49" s="37">
        <v>5.7419657235869863</v>
      </c>
      <c r="H49" s="33">
        <v>28.316436598077814</v>
      </c>
    </row>
    <row r="50" spans="1:8" x14ac:dyDescent="0.25">
      <c r="A50" s="34"/>
      <c r="B50" s="25" t="s">
        <v>237</v>
      </c>
      <c r="C50" s="82">
        <v>10.864819775497271</v>
      </c>
      <c r="D50" s="82">
        <v>10.527963210913425</v>
      </c>
      <c r="E50" s="82">
        <v>12.761041989012904</v>
      </c>
      <c r="F50" s="27"/>
      <c r="G50" s="28">
        <v>17.452863947104419</v>
      </c>
      <c r="H50" s="29">
        <v>21.210928774757122</v>
      </c>
    </row>
    <row r="51" spans="1:8" x14ac:dyDescent="0.25">
      <c r="A51" s="39" t="s">
        <v>23</v>
      </c>
      <c r="B51" s="31" t="s">
        <v>3</v>
      </c>
      <c r="C51" s="80">
        <v>86.480130616793261</v>
      </c>
      <c r="D51" s="80">
        <v>97.447353648543157</v>
      </c>
      <c r="E51" s="83">
        <v>103.37293260693802</v>
      </c>
      <c r="F51" s="22" t="s">
        <v>236</v>
      </c>
      <c r="G51" s="23">
        <v>19.533737830484284</v>
      </c>
      <c r="H51" s="24">
        <v>6.0808002850095448</v>
      </c>
    </row>
    <row r="52" spans="1:8" x14ac:dyDescent="0.25">
      <c r="A52" s="34"/>
      <c r="B52" s="25" t="s">
        <v>237</v>
      </c>
      <c r="C52" s="82">
        <v>62.765230772735507</v>
      </c>
      <c r="D52" s="82">
        <v>66.772900048796956</v>
      </c>
      <c r="E52" s="82">
        <v>72.177645311941916</v>
      </c>
      <c r="F52" s="27"/>
      <c r="G52" s="38">
        <v>14.996223901872526</v>
      </c>
      <c r="H52" s="24">
        <v>8.0942197496218142</v>
      </c>
    </row>
    <row r="53" spans="1:8" x14ac:dyDescent="0.25">
      <c r="A53" s="30" t="s">
        <v>24</v>
      </c>
      <c r="B53" s="31" t="s">
        <v>3</v>
      </c>
      <c r="C53" s="80">
        <v>91.216895726546625</v>
      </c>
      <c r="D53" s="80">
        <v>144.99121133280181</v>
      </c>
      <c r="E53" s="83">
        <v>204.97078686351267</v>
      </c>
      <c r="F53" s="22" t="s">
        <v>236</v>
      </c>
      <c r="G53" s="37">
        <v>124.70704054431062</v>
      </c>
      <c r="H53" s="33">
        <v>41.367731864132281</v>
      </c>
    </row>
    <row r="54" spans="1:8" ht="14.3" thickBot="1" x14ac:dyDescent="0.3">
      <c r="A54" s="41"/>
      <c r="B54" s="42" t="s">
        <v>237</v>
      </c>
      <c r="C54" s="86">
        <v>71.844607737918665</v>
      </c>
      <c r="D54" s="86">
        <v>104.94702842716421</v>
      </c>
      <c r="E54" s="86">
        <v>152.47879944742905</v>
      </c>
      <c r="F54" s="44"/>
      <c r="G54" s="45">
        <v>112.23415959574194</v>
      </c>
      <c r="H54" s="46">
        <v>45.291202364298528</v>
      </c>
    </row>
    <row r="59" spans="1:8" x14ac:dyDescent="0.25">
      <c r="A59" s="47"/>
      <c r="B59" s="48"/>
      <c r="C59" s="49"/>
      <c r="D59" s="49"/>
      <c r="E59" s="49"/>
      <c r="F59" s="49"/>
      <c r="G59" s="50"/>
      <c r="H59" s="51"/>
    </row>
    <row r="60" spans="1:8" x14ac:dyDescent="0.25">
      <c r="A60" s="52"/>
      <c r="B60" s="52"/>
      <c r="C60" s="52"/>
      <c r="D60" s="52"/>
      <c r="E60" s="52"/>
      <c r="F60" s="52"/>
      <c r="G60" s="52"/>
      <c r="H60" s="52"/>
    </row>
    <row r="61" spans="1:8" ht="12.75" customHeight="1" x14ac:dyDescent="0.25">
      <c r="A61" s="54" t="s">
        <v>238</v>
      </c>
      <c r="H61" s="193">
        <v>14</v>
      </c>
    </row>
    <row r="62" spans="1:8" ht="12.75" customHeight="1" x14ac:dyDescent="0.25">
      <c r="A62" s="54" t="s">
        <v>239</v>
      </c>
      <c r="H62" s="194"/>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33" display="Tilbake til innholdsfortegnelsen" xr:uid="{00000000-0004-0000-0900-000000000000}"/>
  </hyperlinks>
  <pageMargins left="0.78740157480314965" right="0.78740157480314965" top="0.98425196850393704" bottom="0.19685039370078741" header="3.937007874015748E-2" footer="3.937007874015748E-2"/>
  <pageSetup paperSize="9" scale="95"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68"/>
  <sheetViews>
    <sheetView showGridLines="0" showRowColHeaders="0" zoomScale="80" zoomScaleNormal="80" workbookViewId="0"/>
  </sheetViews>
  <sheetFormatPr defaultColWidth="11.5" defaultRowHeight="13.6" x14ac:dyDescent="0.25"/>
  <cols>
    <col min="1" max="1" width="26.375" style="1" customWidth="1"/>
    <col min="2" max="2" width="8.125" style="1" customWidth="1"/>
    <col min="3" max="4" width="10.5" style="1" customWidth="1"/>
    <col min="5" max="5" width="9.875" style="1" customWidth="1"/>
    <col min="6" max="6" width="1.625" style="1" customWidth="1"/>
    <col min="7" max="7" width="7.625" style="1" customWidth="1"/>
    <col min="8" max="8" width="8.875" style="1" customWidth="1"/>
    <col min="9" max="16384" width="11.5" style="1"/>
  </cols>
  <sheetData>
    <row r="1" spans="1:8" ht="5.3" customHeight="1" x14ac:dyDescent="0.25"/>
    <row r="2" spans="1:8" x14ac:dyDescent="0.25">
      <c r="A2" s="92" t="s">
        <v>0</v>
      </c>
      <c r="B2" s="2"/>
      <c r="C2" s="2"/>
      <c r="D2" s="2"/>
      <c r="E2" s="2"/>
      <c r="F2" s="2"/>
      <c r="G2" s="2"/>
    </row>
    <row r="3" spans="1:8" ht="5.95" customHeight="1" x14ac:dyDescent="0.25">
      <c r="A3" s="3"/>
      <c r="B3" s="2"/>
      <c r="C3" s="2"/>
      <c r="D3" s="2"/>
      <c r="E3" s="2"/>
      <c r="F3" s="2"/>
      <c r="G3" s="2"/>
    </row>
    <row r="4" spans="1:8" ht="16.3" thickBot="1" x14ac:dyDescent="0.3">
      <c r="A4" s="4" t="s">
        <v>149</v>
      </c>
      <c r="B4" s="5"/>
      <c r="C4" s="5"/>
      <c r="D4" s="5"/>
      <c r="E4" s="5"/>
      <c r="F4" s="5"/>
      <c r="G4" s="5"/>
      <c r="H4" s="6"/>
    </row>
    <row r="5" spans="1:8" x14ac:dyDescent="0.25">
      <c r="A5" s="7"/>
      <c r="B5" s="8"/>
      <c r="C5" s="9"/>
      <c r="D5" s="8"/>
      <c r="E5" s="10"/>
      <c r="F5" s="11"/>
      <c r="G5" s="196" t="s">
        <v>1</v>
      </c>
      <c r="H5" s="197"/>
    </row>
    <row r="6" spans="1:8" x14ac:dyDescent="0.25">
      <c r="A6" s="12"/>
      <c r="B6" s="13"/>
      <c r="C6" s="14" t="s">
        <v>231</v>
      </c>
      <c r="D6" s="15" t="s">
        <v>232</v>
      </c>
      <c r="E6" s="15" t="s">
        <v>233</v>
      </c>
      <c r="F6" s="16"/>
      <c r="G6" s="17" t="s">
        <v>234</v>
      </c>
      <c r="H6" s="18" t="s">
        <v>235</v>
      </c>
    </row>
    <row r="7" spans="1:8" x14ac:dyDescent="0.25">
      <c r="A7" s="198" t="s">
        <v>44</v>
      </c>
      <c r="B7" s="19" t="s">
        <v>3</v>
      </c>
      <c r="C7" s="20">
        <v>110745.20394415667</v>
      </c>
      <c r="D7" s="20">
        <v>110274.26144282252</v>
      </c>
      <c r="E7" s="21">
        <v>133374.51779031358</v>
      </c>
      <c r="F7" s="22" t="s">
        <v>236</v>
      </c>
      <c r="G7" s="23">
        <v>20.433673911122824</v>
      </c>
      <c r="H7" s="24">
        <v>20.948003682136289</v>
      </c>
    </row>
    <row r="8" spans="1:8" x14ac:dyDescent="0.25">
      <c r="A8" s="199"/>
      <c r="B8" s="25" t="s">
        <v>237</v>
      </c>
      <c r="C8" s="26">
        <v>84406.458586511799</v>
      </c>
      <c r="D8" s="26">
        <v>81032.69608211689</v>
      </c>
      <c r="E8" s="26">
        <v>99193.467430544653</v>
      </c>
      <c r="F8" s="27"/>
      <c r="G8" s="28">
        <v>17.51881205734631</v>
      </c>
      <c r="H8" s="29">
        <v>22.411658782800473</v>
      </c>
    </row>
    <row r="9" spans="1:8" x14ac:dyDescent="0.25">
      <c r="A9" s="30" t="s">
        <v>18</v>
      </c>
      <c r="B9" s="31" t="s">
        <v>3</v>
      </c>
      <c r="C9" s="20">
        <v>11306.750091580174</v>
      </c>
      <c r="D9" s="20">
        <v>11102.819455970435</v>
      </c>
      <c r="E9" s="21">
        <v>12445.694719747717</v>
      </c>
      <c r="F9" s="22" t="s">
        <v>236</v>
      </c>
      <c r="G9" s="32">
        <v>10.073138779424198</v>
      </c>
      <c r="H9" s="33">
        <v>12.094903182949295</v>
      </c>
    </row>
    <row r="10" spans="1:8" x14ac:dyDescent="0.25">
      <c r="A10" s="34"/>
      <c r="B10" s="25" t="s">
        <v>237</v>
      </c>
      <c r="C10" s="26">
        <v>8291.2085692222608</v>
      </c>
      <c r="D10" s="26">
        <v>8271.1145919778264</v>
      </c>
      <c r="E10" s="26">
        <v>9222.6197869565221</v>
      </c>
      <c r="F10" s="27"/>
      <c r="G10" s="35">
        <v>11.233720753229463</v>
      </c>
      <c r="H10" s="29">
        <v>11.503953722289893</v>
      </c>
    </row>
    <row r="11" spans="1:8" x14ac:dyDescent="0.25">
      <c r="A11" s="30" t="s">
        <v>19</v>
      </c>
      <c r="B11" s="31" t="s">
        <v>3</v>
      </c>
      <c r="C11" s="20">
        <v>49166.166971933912</v>
      </c>
      <c r="D11" s="20">
        <v>49201.064853234784</v>
      </c>
      <c r="E11" s="21">
        <v>59187.528381524862</v>
      </c>
      <c r="F11" s="22" t="s">
        <v>236</v>
      </c>
      <c r="G11" s="37">
        <v>20.382637140112152</v>
      </c>
      <c r="H11" s="33">
        <v>20.297250797476394</v>
      </c>
    </row>
    <row r="12" spans="1:8" x14ac:dyDescent="0.25">
      <c r="A12" s="34"/>
      <c r="B12" s="25" t="s">
        <v>237</v>
      </c>
      <c r="C12" s="26">
        <v>37682.695230740865</v>
      </c>
      <c r="D12" s="26">
        <v>34719.048639926084</v>
      </c>
      <c r="E12" s="26">
        <v>42900.065956521736</v>
      </c>
      <c r="F12" s="27"/>
      <c r="G12" s="28">
        <v>13.845534916845949</v>
      </c>
      <c r="H12" s="29">
        <v>23.563483554637713</v>
      </c>
    </row>
    <row r="13" spans="1:8" x14ac:dyDescent="0.25">
      <c r="A13" s="30" t="s">
        <v>20</v>
      </c>
      <c r="B13" s="31" t="s">
        <v>3</v>
      </c>
      <c r="C13" s="20">
        <v>4341.9366533018638</v>
      </c>
      <c r="D13" s="20">
        <v>3289.2213586832299</v>
      </c>
      <c r="E13" s="21">
        <v>3055.4573062062022</v>
      </c>
      <c r="F13" s="22" t="s">
        <v>236</v>
      </c>
      <c r="G13" s="23">
        <v>-29.629159746431284</v>
      </c>
      <c r="H13" s="24">
        <v>-7.1069723495475046</v>
      </c>
    </row>
    <row r="14" spans="1:8" x14ac:dyDescent="0.25">
      <c r="A14" s="34"/>
      <c r="B14" s="25" t="s">
        <v>237</v>
      </c>
      <c r="C14" s="26">
        <v>3306.1405860670807</v>
      </c>
      <c r="D14" s="26">
        <v>2586.1660190124226</v>
      </c>
      <c r="E14" s="26">
        <v>2376.5552173913043</v>
      </c>
      <c r="F14" s="27"/>
      <c r="G14" s="38">
        <v>-28.116934064851506</v>
      </c>
      <c r="H14" s="24">
        <v>-8.1050791047499047</v>
      </c>
    </row>
    <row r="15" spans="1:8" x14ac:dyDescent="0.25">
      <c r="A15" s="30" t="s">
        <v>21</v>
      </c>
      <c r="B15" s="31" t="s">
        <v>3</v>
      </c>
      <c r="C15" s="20">
        <v>2942.60652387971</v>
      </c>
      <c r="D15" s="20">
        <v>2811.5645629492756</v>
      </c>
      <c r="E15" s="21">
        <v>3039.8485381594246</v>
      </c>
      <c r="F15" s="22" t="s">
        <v>236</v>
      </c>
      <c r="G15" s="37">
        <v>3.3046217185539746</v>
      </c>
      <c r="H15" s="33">
        <v>8.1194640954886523</v>
      </c>
    </row>
    <row r="16" spans="1:8" x14ac:dyDescent="0.25">
      <c r="A16" s="34"/>
      <c r="B16" s="25" t="s">
        <v>237</v>
      </c>
      <c r="C16" s="26">
        <v>2313.0410042695653</v>
      </c>
      <c r="D16" s="26">
        <v>2226.9234222119567</v>
      </c>
      <c r="E16" s="26">
        <v>2401.6202717391307</v>
      </c>
      <c r="F16" s="27"/>
      <c r="G16" s="28">
        <v>3.8295588926465172</v>
      </c>
      <c r="H16" s="29">
        <v>7.8447623202800116</v>
      </c>
    </row>
    <row r="17" spans="1:8" x14ac:dyDescent="0.25">
      <c r="A17" s="30" t="s">
        <v>22</v>
      </c>
      <c r="B17" s="31" t="s">
        <v>3</v>
      </c>
      <c r="C17" s="20">
        <v>587.60652387971015</v>
      </c>
      <c r="D17" s="20">
        <v>492.56456294927534</v>
      </c>
      <c r="E17" s="21">
        <v>529.10447685901363</v>
      </c>
      <c r="F17" s="22" t="s">
        <v>236</v>
      </c>
      <c r="G17" s="37">
        <v>-9.9559900449084466</v>
      </c>
      <c r="H17" s="33">
        <v>7.4182993780454325</v>
      </c>
    </row>
    <row r="18" spans="1:8" x14ac:dyDescent="0.25">
      <c r="A18" s="34"/>
      <c r="B18" s="25" t="s">
        <v>237</v>
      </c>
      <c r="C18" s="26">
        <v>444.04100426956524</v>
      </c>
      <c r="D18" s="26">
        <v>410.92342221195651</v>
      </c>
      <c r="E18" s="26">
        <v>426.62027173913043</v>
      </c>
      <c r="F18" s="27"/>
      <c r="G18" s="28">
        <v>-3.9232260901426059</v>
      </c>
      <c r="H18" s="29">
        <v>3.8198965254108543</v>
      </c>
    </row>
    <row r="19" spans="1:8" x14ac:dyDescent="0.25">
      <c r="A19" s="30" t="s">
        <v>189</v>
      </c>
      <c r="B19" s="31" t="s">
        <v>3</v>
      </c>
      <c r="C19" s="20">
        <v>30023.341633254659</v>
      </c>
      <c r="D19" s="20">
        <v>29414.553396708074</v>
      </c>
      <c r="E19" s="21">
        <v>39891.15676221886</v>
      </c>
      <c r="F19" s="22" t="s">
        <v>236</v>
      </c>
      <c r="G19" s="23">
        <v>32.867144668647882</v>
      </c>
      <c r="H19" s="24">
        <v>35.61707439244438</v>
      </c>
    </row>
    <row r="20" spans="1:8" x14ac:dyDescent="0.25">
      <c r="A20" s="30"/>
      <c r="B20" s="25" t="s">
        <v>237</v>
      </c>
      <c r="C20" s="26">
        <v>22477.351465167703</v>
      </c>
      <c r="D20" s="26">
        <v>22228.915047531056</v>
      </c>
      <c r="E20" s="26">
        <v>30051.888043478262</v>
      </c>
      <c r="F20" s="27"/>
      <c r="G20" s="38">
        <v>33.698528005172363</v>
      </c>
      <c r="H20" s="24">
        <v>35.192779221206735</v>
      </c>
    </row>
    <row r="21" spans="1:8" x14ac:dyDescent="0.25">
      <c r="A21" s="39" t="s">
        <v>12</v>
      </c>
      <c r="B21" s="31" t="s">
        <v>3</v>
      </c>
      <c r="C21" s="20">
        <v>423.76391432782611</v>
      </c>
      <c r="D21" s="20">
        <v>397.33873776956523</v>
      </c>
      <c r="E21" s="21">
        <v>429.66925778610499</v>
      </c>
      <c r="F21" s="22" t="s">
        <v>236</v>
      </c>
      <c r="G21" s="37">
        <v>1.3935456178815855</v>
      </c>
      <c r="H21" s="33">
        <v>8.1367651686883136</v>
      </c>
    </row>
    <row r="22" spans="1:8" x14ac:dyDescent="0.25">
      <c r="A22" s="34"/>
      <c r="B22" s="25" t="s">
        <v>237</v>
      </c>
      <c r="C22" s="26">
        <v>328.22460256173912</v>
      </c>
      <c r="D22" s="26">
        <v>302.75405332717389</v>
      </c>
      <c r="E22" s="26">
        <v>329.17216304347824</v>
      </c>
      <c r="F22" s="27"/>
      <c r="G22" s="28">
        <v>0.28869270442970674</v>
      </c>
      <c r="H22" s="29">
        <v>8.7259309746566345</v>
      </c>
    </row>
    <row r="23" spans="1:8" x14ac:dyDescent="0.25">
      <c r="A23" s="39" t="s">
        <v>23</v>
      </c>
      <c r="B23" s="31" t="s">
        <v>3</v>
      </c>
      <c r="C23" s="20">
        <v>6162.60652387971</v>
      </c>
      <c r="D23" s="20">
        <v>6183.5645629492756</v>
      </c>
      <c r="E23" s="21">
        <v>6219.6171164348116</v>
      </c>
      <c r="F23" s="22" t="s">
        <v>236</v>
      </c>
      <c r="G23" s="23">
        <v>0.92510518616091986</v>
      </c>
      <c r="H23" s="24">
        <v>0.58303836110252405</v>
      </c>
    </row>
    <row r="24" spans="1:8" x14ac:dyDescent="0.25">
      <c r="A24" s="34"/>
      <c r="B24" s="25" t="s">
        <v>237</v>
      </c>
      <c r="C24" s="26">
        <v>4438.0410042695648</v>
      </c>
      <c r="D24" s="26">
        <v>4531.9234222119567</v>
      </c>
      <c r="E24" s="26">
        <v>4531.6202717391307</v>
      </c>
      <c r="F24" s="27"/>
      <c r="G24" s="28">
        <v>2.1085714931326436</v>
      </c>
      <c r="H24" s="29">
        <v>-6.6892231969291061E-3</v>
      </c>
    </row>
    <row r="25" spans="1:8" x14ac:dyDescent="0.25">
      <c r="A25" s="30" t="s">
        <v>24</v>
      </c>
      <c r="B25" s="31" t="s">
        <v>3</v>
      </c>
      <c r="C25" s="20">
        <v>10837.21304775942</v>
      </c>
      <c r="D25" s="20">
        <v>11500.129125898551</v>
      </c>
      <c r="E25" s="21">
        <v>15811.827498324123</v>
      </c>
      <c r="F25" s="22" t="s">
        <v>236</v>
      </c>
      <c r="G25" s="23">
        <v>45.903078851007706</v>
      </c>
      <c r="H25" s="24">
        <v>37.492608345723085</v>
      </c>
    </row>
    <row r="26" spans="1:8" ht="14.3" thickBot="1" x14ac:dyDescent="0.3">
      <c r="A26" s="41"/>
      <c r="B26" s="42" t="s">
        <v>237</v>
      </c>
      <c r="C26" s="43">
        <v>7835.0820085391306</v>
      </c>
      <c r="D26" s="43">
        <v>8675.8468444239134</v>
      </c>
      <c r="E26" s="43">
        <v>11758.240543478261</v>
      </c>
      <c r="F26" s="44"/>
      <c r="G26" s="45">
        <v>50.071697152160539</v>
      </c>
      <c r="H26" s="46">
        <v>35.52844758936061</v>
      </c>
    </row>
    <row r="31" spans="1:8" x14ac:dyDescent="0.25">
      <c r="A31" s="47"/>
      <c r="B31" s="48"/>
      <c r="C31" s="49"/>
      <c r="D31" s="55"/>
      <c r="E31" s="49"/>
      <c r="F31" s="49"/>
      <c r="G31" s="50"/>
      <c r="H31" s="51"/>
    </row>
    <row r="32" spans="1:8" ht="17" thickBot="1" x14ac:dyDescent="0.35">
      <c r="A32" s="4" t="s">
        <v>99</v>
      </c>
      <c r="B32" s="5"/>
      <c r="C32" s="5"/>
      <c r="D32" s="5"/>
      <c r="E32" s="5"/>
      <c r="F32" s="5"/>
      <c r="G32" s="5"/>
      <c r="H32" s="6"/>
    </row>
    <row r="33" spans="1:8" x14ac:dyDescent="0.25">
      <c r="A33" s="7"/>
      <c r="B33" s="8"/>
      <c r="C33" s="202" t="s">
        <v>16</v>
      </c>
      <c r="D33" s="196"/>
      <c r="E33" s="196"/>
      <c r="F33" s="203"/>
      <c r="G33" s="196" t="s">
        <v>1</v>
      </c>
      <c r="H33" s="197"/>
    </row>
    <row r="34" spans="1:8" x14ac:dyDescent="0.25">
      <c r="A34" s="12"/>
      <c r="B34" s="13"/>
      <c r="C34" s="14" t="s">
        <v>231</v>
      </c>
      <c r="D34" s="15" t="s">
        <v>232</v>
      </c>
      <c r="E34" s="15" t="s">
        <v>233</v>
      </c>
      <c r="F34" s="16"/>
      <c r="G34" s="17" t="s">
        <v>234</v>
      </c>
      <c r="H34" s="18" t="s">
        <v>235</v>
      </c>
    </row>
    <row r="35" spans="1:8" ht="12.75" customHeight="1" x14ac:dyDescent="0.25">
      <c r="A35" s="198" t="s">
        <v>44</v>
      </c>
      <c r="B35" s="19" t="s">
        <v>3</v>
      </c>
      <c r="C35" s="80">
        <v>5043.105605320553</v>
      </c>
      <c r="D35" s="80">
        <v>4897.4303161549869</v>
      </c>
      <c r="E35" s="83">
        <v>6323.3389415374259</v>
      </c>
      <c r="F35" s="22" t="s">
        <v>236</v>
      </c>
      <c r="G35" s="23">
        <v>25.385812560938788</v>
      </c>
      <c r="H35" s="24">
        <v>29.115444903398469</v>
      </c>
    </row>
    <row r="36" spans="1:8" ht="12.75" customHeight="1" x14ac:dyDescent="0.25">
      <c r="A36" s="199"/>
      <c r="B36" s="25" t="s">
        <v>237</v>
      </c>
      <c r="C36" s="82">
        <v>3742.4821278288086</v>
      </c>
      <c r="D36" s="82">
        <v>3531.8783221089516</v>
      </c>
      <c r="E36" s="82">
        <v>4603.4768662301067</v>
      </c>
      <c r="F36" s="27"/>
      <c r="G36" s="28">
        <v>23.005981297786505</v>
      </c>
      <c r="H36" s="29">
        <v>30.340754872927903</v>
      </c>
    </row>
    <row r="37" spans="1:8" x14ac:dyDescent="0.25">
      <c r="A37" s="30" t="s">
        <v>18</v>
      </c>
      <c r="B37" s="31" t="s">
        <v>3</v>
      </c>
      <c r="C37" s="80">
        <v>1839.5446309693216</v>
      </c>
      <c r="D37" s="80">
        <v>1802.8785468535359</v>
      </c>
      <c r="E37" s="83">
        <v>2189.6778916973772</v>
      </c>
      <c r="F37" s="22" t="s">
        <v>236</v>
      </c>
      <c r="G37" s="32">
        <v>19.033692079738131</v>
      </c>
      <c r="H37" s="33">
        <v>21.454542543584026</v>
      </c>
    </row>
    <row r="38" spans="1:8" x14ac:dyDescent="0.25">
      <c r="A38" s="34"/>
      <c r="B38" s="25" t="s">
        <v>237</v>
      </c>
      <c r="C38" s="82">
        <v>1378.7804862748801</v>
      </c>
      <c r="D38" s="82">
        <v>1340.7165712441924</v>
      </c>
      <c r="E38" s="82">
        <v>1632.6228013412599</v>
      </c>
      <c r="F38" s="27"/>
      <c r="G38" s="35">
        <v>18.410640242827796</v>
      </c>
      <c r="H38" s="29">
        <v>21.772404127605952</v>
      </c>
    </row>
    <row r="39" spans="1:8" x14ac:dyDescent="0.25">
      <c r="A39" s="30" t="s">
        <v>19</v>
      </c>
      <c r="B39" s="31" t="s">
        <v>3</v>
      </c>
      <c r="C39" s="80">
        <v>2283.203971587533</v>
      </c>
      <c r="D39" s="80">
        <v>2124.9045713998526</v>
      </c>
      <c r="E39" s="83">
        <v>2633.4311139278188</v>
      </c>
      <c r="F39" s="22" t="s">
        <v>236</v>
      </c>
      <c r="G39" s="37">
        <v>15.339284036755132</v>
      </c>
      <c r="H39" s="33">
        <v>23.93173554109103</v>
      </c>
    </row>
    <row r="40" spans="1:8" x14ac:dyDescent="0.25">
      <c r="A40" s="34"/>
      <c r="B40" s="25" t="s">
        <v>237</v>
      </c>
      <c r="C40" s="82">
        <v>1690.8272830913027</v>
      </c>
      <c r="D40" s="82">
        <v>1485.8428990562581</v>
      </c>
      <c r="E40" s="82">
        <v>1876.3099552257377</v>
      </c>
      <c r="F40" s="27"/>
      <c r="G40" s="28">
        <v>10.969936077404725</v>
      </c>
      <c r="H40" s="29">
        <v>26.279161573372733</v>
      </c>
    </row>
    <row r="41" spans="1:8" x14ac:dyDescent="0.25">
      <c r="A41" s="30" t="s">
        <v>20</v>
      </c>
      <c r="B41" s="31" t="s">
        <v>3</v>
      </c>
      <c r="C41" s="80">
        <v>76.574071103785201</v>
      </c>
      <c r="D41" s="80">
        <v>57.244954894481033</v>
      </c>
      <c r="E41" s="83">
        <v>54.220222638557516</v>
      </c>
      <c r="F41" s="22" t="s">
        <v>236</v>
      </c>
      <c r="G41" s="23">
        <v>-29.192451365071392</v>
      </c>
      <c r="H41" s="24">
        <v>-5.283840753301277</v>
      </c>
    </row>
    <row r="42" spans="1:8" x14ac:dyDescent="0.25">
      <c r="A42" s="34"/>
      <c r="B42" s="25" t="s">
        <v>237</v>
      </c>
      <c r="C42" s="82">
        <v>58.381685399357693</v>
      </c>
      <c r="D42" s="82">
        <v>45.600613856352673</v>
      </c>
      <c r="E42" s="82">
        <v>42.555470174372786</v>
      </c>
      <c r="F42" s="27"/>
      <c r="G42" s="38">
        <v>-27.108184898613814</v>
      </c>
      <c r="H42" s="24">
        <v>-6.6778567752891433</v>
      </c>
    </row>
    <row r="43" spans="1:8" x14ac:dyDescent="0.25">
      <c r="A43" s="30" t="s">
        <v>21</v>
      </c>
      <c r="B43" s="31" t="s">
        <v>3</v>
      </c>
      <c r="C43" s="80">
        <v>21.809884699488471</v>
      </c>
      <c r="D43" s="80">
        <v>25.130934273230871</v>
      </c>
      <c r="E43" s="83">
        <v>28.020754479469868</v>
      </c>
      <c r="F43" s="22" t="s">
        <v>236</v>
      </c>
      <c r="G43" s="37">
        <v>28.477315976489649</v>
      </c>
      <c r="H43" s="33">
        <v>11.499056003330494</v>
      </c>
    </row>
    <row r="44" spans="1:8" x14ac:dyDescent="0.25">
      <c r="A44" s="34"/>
      <c r="B44" s="25" t="s">
        <v>237</v>
      </c>
      <c r="C44" s="82">
        <v>17.548965453261737</v>
      </c>
      <c r="D44" s="82">
        <v>19.526300628531764</v>
      </c>
      <c r="E44" s="82">
        <v>22.023921810503435</v>
      </c>
      <c r="F44" s="27"/>
      <c r="G44" s="28">
        <v>25.499829999437168</v>
      </c>
      <c r="H44" s="29">
        <v>12.791061806772319</v>
      </c>
    </row>
    <row r="45" spans="1:8" x14ac:dyDescent="0.25">
      <c r="A45" s="30" t="s">
        <v>22</v>
      </c>
      <c r="B45" s="31" t="s">
        <v>3</v>
      </c>
      <c r="C45" s="80">
        <v>3.8347147190128137</v>
      </c>
      <c r="D45" s="80">
        <v>3.1847164883244869</v>
      </c>
      <c r="E45" s="83">
        <v>3.6937669149092165</v>
      </c>
      <c r="F45" s="22" t="s">
        <v>236</v>
      </c>
      <c r="G45" s="37">
        <v>-3.6755747019398086</v>
      </c>
      <c r="H45" s="33">
        <v>15.984167772891666</v>
      </c>
    </row>
    <row r="46" spans="1:8" x14ac:dyDescent="0.25">
      <c r="A46" s="34"/>
      <c r="B46" s="25" t="s">
        <v>237</v>
      </c>
      <c r="C46" s="82">
        <v>2.8888069731174255</v>
      </c>
      <c r="D46" s="82">
        <v>2.91048752999219</v>
      </c>
      <c r="E46" s="82">
        <v>3.1517850812960186</v>
      </c>
      <c r="F46" s="27"/>
      <c r="G46" s="28">
        <v>9.1033464895995877</v>
      </c>
      <c r="H46" s="29">
        <v>8.2906230938043706</v>
      </c>
    </row>
    <row r="47" spans="1:8" x14ac:dyDescent="0.25">
      <c r="A47" s="30" t="s">
        <v>189</v>
      </c>
      <c r="B47" s="31" t="s">
        <v>3</v>
      </c>
      <c r="C47" s="80">
        <v>406.92351700300389</v>
      </c>
      <c r="D47" s="80">
        <v>412.2553555697537</v>
      </c>
      <c r="E47" s="83">
        <v>775.10254973614383</v>
      </c>
      <c r="F47" s="22" t="s">
        <v>236</v>
      </c>
      <c r="G47" s="23">
        <v>90.478681459548568</v>
      </c>
      <c r="H47" s="24">
        <v>88.015155961993628</v>
      </c>
    </row>
    <row r="48" spans="1:8" x14ac:dyDescent="0.25">
      <c r="A48" s="30"/>
      <c r="B48" s="25" t="s">
        <v>237</v>
      </c>
      <c r="C48" s="82">
        <v>293.98636081894483</v>
      </c>
      <c r="D48" s="82">
        <v>304.03046333346492</v>
      </c>
      <c r="E48" s="82">
        <v>567.68926525714903</v>
      </c>
      <c r="F48" s="27"/>
      <c r="G48" s="38">
        <v>93.100545098678083</v>
      </c>
      <c r="H48" s="24">
        <v>86.721178869006735</v>
      </c>
    </row>
    <row r="49" spans="1:8" x14ac:dyDescent="0.25">
      <c r="A49" s="39" t="s">
        <v>12</v>
      </c>
      <c r="B49" s="31" t="s">
        <v>3</v>
      </c>
      <c r="C49" s="80">
        <v>5.5450821440304168</v>
      </c>
      <c r="D49" s="80">
        <v>7.0997260827995685</v>
      </c>
      <c r="E49" s="83">
        <v>7.950913721880422</v>
      </c>
      <c r="F49" s="22" t="s">
        <v>236</v>
      </c>
      <c r="G49" s="37">
        <v>43.386761735171319</v>
      </c>
      <c r="H49" s="33">
        <v>11.989020831986991</v>
      </c>
    </row>
    <row r="50" spans="1:8" x14ac:dyDescent="0.25">
      <c r="A50" s="34"/>
      <c r="B50" s="25" t="s">
        <v>237</v>
      </c>
      <c r="C50" s="82">
        <v>3.3769754150734874</v>
      </c>
      <c r="D50" s="82">
        <v>7.058451175216292</v>
      </c>
      <c r="E50" s="82">
        <v>6.5283415604300981</v>
      </c>
      <c r="F50" s="27"/>
      <c r="G50" s="28">
        <v>93.319191229232928</v>
      </c>
      <c r="H50" s="29">
        <v>-7.5102823782010546</v>
      </c>
    </row>
    <row r="51" spans="1:8" x14ac:dyDescent="0.25">
      <c r="A51" s="39" t="s">
        <v>23</v>
      </c>
      <c r="B51" s="31" t="s">
        <v>3</v>
      </c>
      <c r="C51" s="80">
        <v>145.16809172915103</v>
      </c>
      <c r="D51" s="80">
        <v>157.79113540605209</v>
      </c>
      <c r="E51" s="83">
        <v>164.42349242786423</v>
      </c>
      <c r="F51" s="22" t="s">
        <v>236</v>
      </c>
      <c r="G51" s="23">
        <v>13.264210109366999</v>
      </c>
      <c r="H51" s="24">
        <v>4.2032507116098543</v>
      </c>
    </row>
    <row r="52" spans="1:8" x14ac:dyDescent="0.25">
      <c r="A52" s="34"/>
      <c r="B52" s="25" t="s">
        <v>237</v>
      </c>
      <c r="C52" s="82">
        <v>100.08184351109185</v>
      </c>
      <c r="D52" s="82">
        <v>110.13939696126471</v>
      </c>
      <c r="E52" s="82">
        <v>114.29429923621319</v>
      </c>
      <c r="F52" s="27"/>
      <c r="G52" s="28">
        <v>14.200833264573305</v>
      </c>
      <c r="H52" s="29">
        <v>3.7724033266767663</v>
      </c>
    </row>
    <row r="53" spans="1:8" x14ac:dyDescent="0.25">
      <c r="A53" s="30" t="s">
        <v>24</v>
      </c>
      <c r="B53" s="31" t="s">
        <v>3</v>
      </c>
      <c r="C53" s="80">
        <v>260.50164136522602</v>
      </c>
      <c r="D53" s="80">
        <v>306.94037518695728</v>
      </c>
      <c r="E53" s="83">
        <v>464.97464137089787</v>
      </c>
      <c r="F53" s="22" t="s">
        <v>236</v>
      </c>
      <c r="G53" s="23">
        <v>78.492019832995425</v>
      </c>
      <c r="H53" s="24">
        <v>51.486959344361907</v>
      </c>
    </row>
    <row r="54" spans="1:8" ht="14.3" thickBot="1" x14ac:dyDescent="0.3">
      <c r="A54" s="41"/>
      <c r="B54" s="42" t="s">
        <v>237</v>
      </c>
      <c r="C54" s="86">
        <v>196.60972089177932</v>
      </c>
      <c r="D54" s="86">
        <v>219.37213832367829</v>
      </c>
      <c r="E54" s="86">
        <v>338.30102654314459</v>
      </c>
      <c r="F54" s="44"/>
      <c r="G54" s="45">
        <v>72.067294032402913</v>
      </c>
      <c r="H54" s="46">
        <v>54.213305813698923</v>
      </c>
    </row>
    <row r="59" spans="1:8" x14ac:dyDescent="0.25">
      <c r="A59" s="47"/>
      <c r="B59" s="48"/>
      <c r="C59" s="49"/>
      <c r="D59" s="49"/>
      <c r="E59" s="49"/>
      <c r="F59" s="49"/>
      <c r="G59" s="50"/>
      <c r="H59" s="51"/>
    </row>
    <row r="60" spans="1:8" x14ac:dyDescent="0.25">
      <c r="A60" s="52"/>
      <c r="B60" s="52"/>
      <c r="C60" s="52"/>
      <c r="D60" s="52"/>
      <c r="E60" s="52"/>
      <c r="F60" s="52"/>
      <c r="G60" s="52"/>
      <c r="H60" s="52"/>
    </row>
    <row r="61" spans="1:8" ht="12.75" customHeight="1" x14ac:dyDescent="0.25">
      <c r="A61" s="54" t="s">
        <v>238</v>
      </c>
      <c r="G61" s="53"/>
      <c r="H61" s="201">
        <v>15</v>
      </c>
    </row>
    <row r="62" spans="1:8" ht="12.75" customHeight="1" x14ac:dyDescent="0.25">
      <c r="A62" s="54" t="s">
        <v>239</v>
      </c>
      <c r="G62" s="53"/>
      <c r="H62" s="194"/>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35" display="Tilbake til innholdsfortegnelsen" xr:uid="{00000000-0004-0000-0A00-000000000000}"/>
  </hyperlinks>
  <pageMargins left="0.78740157480314965" right="0.78740157480314965" top="0.98425196850393704" bottom="0.19685039370078741" header="3.937007874015748E-2" footer="3.937007874015748E-2"/>
  <pageSetup paperSize="9" scale="95"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68"/>
  <sheetViews>
    <sheetView showGridLines="0" showRowColHeaders="0" zoomScale="80" zoomScaleNormal="80" workbookViewId="0"/>
  </sheetViews>
  <sheetFormatPr defaultColWidth="11.5" defaultRowHeight="13.6" x14ac:dyDescent="0.25"/>
  <cols>
    <col min="1" max="1" width="26.375" style="1" customWidth="1"/>
    <col min="2" max="2" width="8.125" style="1" customWidth="1"/>
    <col min="3" max="4" width="10.5" style="1" customWidth="1"/>
    <col min="5" max="5" width="9.875" style="1" customWidth="1"/>
    <col min="6" max="6" width="1.625" style="1" customWidth="1"/>
    <col min="7" max="7" width="7.625" style="1" customWidth="1"/>
    <col min="8" max="8" width="8.875" style="1" customWidth="1"/>
    <col min="9" max="16384" width="11.5" style="1"/>
  </cols>
  <sheetData>
    <row r="1" spans="1:8" ht="5.3" customHeight="1" x14ac:dyDescent="0.25"/>
    <row r="2" spans="1:8" x14ac:dyDescent="0.25">
      <c r="A2" s="92" t="s">
        <v>0</v>
      </c>
      <c r="B2" s="2"/>
      <c r="C2" s="2"/>
      <c r="D2" s="2"/>
      <c r="E2" s="2"/>
      <c r="F2" s="2"/>
      <c r="G2" s="2"/>
    </row>
    <row r="3" spans="1:8" ht="5.95" customHeight="1" x14ac:dyDescent="0.25">
      <c r="A3" s="3"/>
      <c r="B3" s="2"/>
      <c r="C3" s="2"/>
      <c r="D3" s="2"/>
      <c r="E3" s="2"/>
      <c r="F3" s="2"/>
      <c r="G3" s="2"/>
    </row>
    <row r="4" spans="1:8" ht="16.3" thickBot="1" x14ac:dyDescent="0.3">
      <c r="A4" s="4" t="s">
        <v>150</v>
      </c>
      <c r="B4" s="5"/>
      <c r="C4" s="5"/>
      <c r="D4" s="5"/>
      <c r="E4" s="5"/>
      <c r="F4" s="5"/>
      <c r="G4" s="5"/>
      <c r="H4" s="6"/>
    </row>
    <row r="5" spans="1:8" x14ac:dyDescent="0.25">
      <c r="A5" s="7"/>
      <c r="B5" s="8"/>
      <c r="C5" s="9"/>
      <c r="D5" s="8"/>
      <c r="E5" s="10"/>
      <c r="F5" s="11"/>
      <c r="G5" s="196" t="s">
        <v>1</v>
      </c>
      <c r="H5" s="197"/>
    </row>
    <row r="6" spans="1:8" x14ac:dyDescent="0.25">
      <c r="A6" s="12"/>
      <c r="B6" s="13"/>
      <c r="C6" s="14" t="s">
        <v>231</v>
      </c>
      <c r="D6" s="15" t="s">
        <v>232</v>
      </c>
      <c r="E6" s="15" t="s">
        <v>233</v>
      </c>
      <c r="F6" s="16"/>
      <c r="G6" s="17" t="s">
        <v>234</v>
      </c>
      <c r="H6" s="18" t="s">
        <v>235</v>
      </c>
    </row>
    <row r="7" spans="1:8" ht="12.75" customHeight="1" x14ac:dyDescent="0.25">
      <c r="A7" s="198" t="s">
        <v>45</v>
      </c>
      <c r="B7" s="19" t="s">
        <v>3</v>
      </c>
      <c r="C7" s="20">
        <v>14653.806941662742</v>
      </c>
      <c r="D7" s="20">
        <v>14731.573261968293</v>
      </c>
      <c r="E7" s="21">
        <v>19456.26523709028</v>
      </c>
      <c r="F7" s="22" t="s">
        <v>236</v>
      </c>
      <c r="G7" s="23">
        <v>32.772768977688003</v>
      </c>
      <c r="H7" s="24">
        <v>32.071876445942593</v>
      </c>
    </row>
    <row r="8" spans="1:8" ht="12.75" customHeight="1" x14ac:dyDescent="0.25">
      <c r="A8" s="199"/>
      <c r="B8" s="25" t="s">
        <v>237</v>
      </c>
      <c r="C8" s="26">
        <v>11662.405630670224</v>
      </c>
      <c r="D8" s="26">
        <v>11429.679946476221</v>
      </c>
      <c r="E8" s="26">
        <v>15222.903625804427</v>
      </c>
      <c r="F8" s="27"/>
      <c r="G8" s="28">
        <v>30.529704658622705</v>
      </c>
      <c r="H8" s="29">
        <v>33.187488163197969</v>
      </c>
    </row>
    <row r="9" spans="1:8" x14ac:dyDescent="0.25">
      <c r="A9" s="30" t="s">
        <v>18</v>
      </c>
      <c r="B9" s="31" t="s">
        <v>3</v>
      </c>
      <c r="C9" s="20">
        <v>1689.5725934003478</v>
      </c>
      <c r="D9" s="20">
        <v>1820.9106131151304</v>
      </c>
      <c r="E9" s="21">
        <v>2281.7933050150646</v>
      </c>
      <c r="F9" s="22" t="s">
        <v>236</v>
      </c>
      <c r="G9" s="32">
        <v>35.051510300770417</v>
      </c>
      <c r="H9" s="33">
        <v>25.310561022623574</v>
      </c>
    </row>
    <row r="10" spans="1:8" x14ac:dyDescent="0.25">
      <c r="A10" s="34"/>
      <c r="B10" s="25" t="s">
        <v>237</v>
      </c>
      <c r="C10" s="26">
        <v>1331.6390965413914</v>
      </c>
      <c r="D10" s="26">
        <v>1470.9329598363479</v>
      </c>
      <c r="E10" s="26">
        <v>1828.0427826086957</v>
      </c>
      <c r="F10" s="27"/>
      <c r="G10" s="35">
        <v>37.27764432244382</v>
      </c>
      <c r="H10" s="29">
        <v>24.277776929553525</v>
      </c>
    </row>
    <row r="11" spans="1:8" x14ac:dyDescent="0.25">
      <c r="A11" s="30" t="s">
        <v>19</v>
      </c>
      <c r="B11" s="31" t="s">
        <v>3</v>
      </c>
      <c r="C11" s="20">
        <v>4269.9086446678266</v>
      </c>
      <c r="D11" s="20">
        <v>4173.0353770504353</v>
      </c>
      <c r="E11" s="21">
        <v>6343.0287008204859</v>
      </c>
      <c r="F11" s="22" t="s">
        <v>236</v>
      </c>
      <c r="G11" s="37">
        <v>48.551859739236534</v>
      </c>
      <c r="H11" s="33">
        <v>52.000357718123041</v>
      </c>
    </row>
    <row r="12" spans="1:8" x14ac:dyDescent="0.25">
      <c r="A12" s="34"/>
      <c r="B12" s="25" t="s">
        <v>237</v>
      </c>
      <c r="C12" s="26">
        <v>3552.7969884713043</v>
      </c>
      <c r="D12" s="26">
        <v>3156.776532787826</v>
      </c>
      <c r="E12" s="26">
        <v>4948.1426086956526</v>
      </c>
      <c r="F12" s="27"/>
      <c r="G12" s="28">
        <v>39.274566623204009</v>
      </c>
      <c r="H12" s="29">
        <v>56.746686289061699</v>
      </c>
    </row>
    <row r="13" spans="1:8" x14ac:dyDescent="0.25">
      <c r="A13" s="30" t="s">
        <v>20</v>
      </c>
      <c r="B13" s="31" t="s">
        <v>3</v>
      </c>
      <c r="C13" s="20">
        <v>1531.6707831751553</v>
      </c>
      <c r="D13" s="20">
        <v>1459.2073224049691</v>
      </c>
      <c r="E13" s="21">
        <v>1357.365732087663</v>
      </c>
      <c r="F13" s="22" t="s">
        <v>236</v>
      </c>
      <c r="G13" s="23">
        <v>-11.380059801503677</v>
      </c>
      <c r="H13" s="24">
        <v>-6.9792406297315921</v>
      </c>
    </row>
    <row r="14" spans="1:8" x14ac:dyDescent="0.25">
      <c r="A14" s="34"/>
      <c r="B14" s="25" t="s">
        <v>237</v>
      </c>
      <c r="C14" s="26">
        <v>1171.1890421291926</v>
      </c>
      <c r="D14" s="26">
        <v>1115.6554918037268</v>
      </c>
      <c r="E14" s="26">
        <v>1037.8298136645963</v>
      </c>
      <c r="F14" s="27"/>
      <c r="G14" s="38">
        <v>-11.386652680949993</v>
      </c>
      <c r="H14" s="24">
        <v>-6.9757804905622294</v>
      </c>
    </row>
    <row r="15" spans="1:8" x14ac:dyDescent="0.25">
      <c r="A15" s="30" t="s">
        <v>21</v>
      </c>
      <c r="B15" s="31" t="s">
        <v>3</v>
      </c>
      <c r="C15" s="20">
        <v>343.65397842608695</v>
      </c>
      <c r="D15" s="20">
        <v>347.81046903478261</v>
      </c>
      <c r="E15" s="21">
        <v>381.92656977518573</v>
      </c>
      <c r="F15" s="22" t="s">
        <v>236</v>
      </c>
      <c r="G15" s="37">
        <v>11.136955703054795</v>
      </c>
      <c r="H15" s="33">
        <v>9.8088193938151278</v>
      </c>
    </row>
    <row r="16" spans="1:8" x14ac:dyDescent="0.25">
      <c r="A16" s="34"/>
      <c r="B16" s="25" t="s">
        <v>237</v>
      </c>
      <c r="C16" s="26">
        <v>279.22180395434782</v>
      </c>
      <c r="D16" s="26">
        <v>281.35785177608693</v>
      </c>
      <c r="E16" s="26">
        <v>309.40869565217389</v>
      </c>
      <c r="F16" s="27"/>
      <c r="G16" s="28">
        <v>10.811079675841341</v>
      </c>
      <c r="H16" s="29">
        <v>9.9698102253107379</v>
      </c>
    </row>
    <row r="17" spans="1:8" x14ac:dyDescent="0.25">
      <c r="A17" s="30" t="s">
        <v>22</v>
      </c>
      <c r="B17" s="31" t="s">
        <v>3</v>
      </c>
      <c r="C17" s="20">
        <v>291.65397842608695</v>
      </c>
      <c r="D17" s="20">
        <v>317.81046903478261</v>
      </c>
      <c r="E17" s="21">
        <v>431.43752836343407</v>
      </c>
      <c r="F17" s="22" t="s">
        <v>236</v>
      </c>
      <c r="G17" s="37">
        <v>47.92787353414144</v>
      </c>
      <c r="H17" s="33">
        <v>35.753088837427697</v>
      </c>
    </row>
    <row r="18" spans="1:8" x14ac:dyDescent="0.25">
      <c r="A18" s="34"/>
      <c r="B18" s="25" t="s">
        <v>237</v>
      </c>
      <c r="C18" s="26">
        <v>229.22180395434782</v>
      </c>
      <c r="D18" s="26">
        <v>252.35785177608696</v>
      </c>
      <c r="E18" s="26">
        <v>341.40869565217389</v>
      </c>
      <c r="F18" s="27"/>
      <c r="G18" s="28">
        <v>48.942504492360342</v>
      </c>
      <c r="H18" s="29">
        <v>35.287526522099398</v>
      </c>
    </row>
    <row r="19" spans="1:8" x14ac:dyDescent="0.25">
      <c r="A19" s="30" t="s">
        <v>189</v>
      </c>
      <c r="B19" s="31" t="s">
        <v>3</v>
      </c>
      <c r="C19" s="20">
        <v>3726.1769579378883</v>
      </c>
      <c r="D19" s="20">
        <v>3838.5183060124223</v>
      </c>
      <c r="E19" s="21">
        <v>5631.4238918645433</v>
      </c>
      <c r="F19" s="22" t="s">
        <v>236</v>
      </c>
      <c r="G19" s="23">
        <v>51.131413119495051</v>
      </c>
      <c r="H19" s="24">
        <v>46.708272383221981</v>
      </c>
    </row>
    <row r="20" spans="1:8" x14ac:dyDescent="0.25">
      <c r="A20" s="30"/>
      <c r="B20" s="25" t="s">
        <v>237</v>
      </c>
      <c r="C20" s="26">
        <v>3006.4726053229815</v>
      </c>
      <c r="D20" s="26">
        <v>3047.6387295093168</v>
      </c>
      <c r="E20" s="26">
        <v>4495.0745341614911</v>
      </c>
      <c r="F20" s="27"/>
      <c r="G20" s="38">
        <v>49.5132377458863</v>
      </c>
      <c r="H20" s="24">
        <v>47.493680620249165</v>
      </c>
    </row>
    <row r="21" spans="1:8" x14ac:dyDescent="0.25">
      <c r="A21" s="39" t="s">
        <v>12</v>
      </c>
      <c r="B21" s="31" t="s">
        <v>3</v>
      </c>
      <c r="C21" s="20">
        <v>44.992387055652173</v>
      </c>
      <c r="D21" s="20">
        <v>52.086281420869568</v>
      </c>
      <c r="E21" s="21">
        <v>40.195727423446193</v>
      </c>
      <c r="F21" s="22" t="s">
        <v>236</v>
      </c>
      <c r="G21" s="37">
        <v>-10.66104722621823</v>
      </c>
      <c r="H21" s="33">
        <v>-22.828571503012213</v>
      </c>
    </row>
    <row r="22" spans="1:8" x14ac:dyDescent="0.25">
      <c r="A22" s="34"/>
      <c r="B22" s="25" t="s">
        <v>237</v>
      </c>
      <c r="C22" s="26">
        <v>34.733082372608699</v>
      </c>
      <c r="D22" s="26">
        <v>41.814711065652176</v>
      </c>
      <c r="E22" s="26">
        <v>31.845217391304349</v>
      </c>
      <c r="F22" s="27"/>
      <c r="G22" s="28">
        <v>-8.3144506160552822</v>
      </c>
      <c r="H22" s="29">
        <v>-23.842072371838199</v>
      </c>
    </row>
    <row r="23" spans="1:8" x14ac:dyDescent="0.25">
      <c r="A23" s="39" t="s">
        <v>23</v>
      </c>
      <c r="B23" s="31" t="s">
        <v>3</v>
      </c>
      <c r="C23" s="20">
        <v>1891.653978426087</v>
      </c>
      <c r="D23" s="20">
        <v>1810.8104690347827</v>
      </c>
      <c r="E23" s="21">
        <v>1783.2198040295582</v>
      </c>
      <c r="F23" s="22" t="s">
        <v>236</v>
      </c>
      <c r="G23" s="23">
        <v>-5.7322415004645393</v>
      </c>
      <c r="H23" s="24">
        <v>-1.5236638774201055</v>
      </c>
    </row>
    <row r="24" spans="1:8" x14ac:dyDescent="0.25">
      <c r="A24" s="34"/>
      <c r="B24" s="25" t="s">
        <v>237</v>
      </c>
      <c r="C24" s="26">
        <v>1314.2218039543479</v>
      </c>
      <c r="D24" s="26">
        <v>1357.357851776087</v>
      </c>
      <c r="E24" s="26">
        <v>1302.4086956521739</v>
      </c>
      <c r="F24" s="27"/>
      <c r="G24" s="28">
        <v>-0.89886716737080974</v>
      </c>
      <c r="H24" s="29">
        <v>-4.0482438770301172</v>
      </c>
    </row>
    <row r="25" spans="1:8" x14ac:dyDescent="0.25">
      <c r="A25" s="30" t="s">
        <v>24</v>
      </c>
      <c r="B25" s="31" t="s">
        <v>3</v>
      </c>
      <c r="C25" s="20">
        <v>1332.3079568521739</v>
      </c>
      <c r="D25" s="20">
        <v>1313.6209380695652</v>
      </c>
      <c r="E25" s="21">
        <v>1953.3651346926047</v>
      </c>
      <c r="F25" s="22" t="s">
        <v>236</v>
      </c>
      <c r="G25" s="23">
        <v>46.615136886804635</v>
      </c>
      <c r="H25" s="24">
        <v>48.700822138476042</v>
      </c>
    </row>
    <row r="26" spans="1:8" ht="14.3" thickBot="1" x14ac:dyDescent="0.3">
      <c r="A26" s="41"/>
      <c r="B26" s="42" t="s">
        <v>237</v>
      </c>
      <c r="C26" s="43">
        <v>1068.4436079086956</v>
      </c>
      <c r="D26" s="43">
        <v>1038.7157035521739</v>
      </c>
      <c r="E26" s="43">
        <v>1551.8173913043479</v>
      </c>
      <c r="F26" s="44"/>
      <c r="G26" s="45">
        <v>45.240926130090998</v>
      </c>
      <c r="H26" s="46">
        <v>49.397701988858131</v>
      </c>
    </row>
    <row r="31" spans="1:8" x14ac:dyDescent="0.25">
      <c r="A31" s="47"/>
      <c r="B31" s="48"/>
      <c r="C31" s="49"/>
      <c r="D31" s="55"/>
      <c r="E31" s="49"/>
      <c r="F31" s="49"/>
      <c r="G31" s="50"/>
      <c r="H31" s="51"/>
    </row>
    <row r="32" spans="1:8" ht="17" thickBot="1" x14ac:dyDescent="0.35">
      <c r="A32" s="4" t="s">
        <v>98</v>
      </c>
      <c r="B32" s="5"/>
      <c r="C32" s="5"/>
      <c r="D32" s="5"/>
      <c r="E32" s="5"/>
      <c r="F32" s="5"/>
      <c r="G32" s="5"/>
      <c r="H32" s="6"/>
    </row>
    <row r="33" spans="1:8" x14ac:dyDescent="0.25">
      <c r="A33" s="7"/>
      <c r="B33" s="8"/>
      <c r="C33" s="202" t="s">
        <v>16</v>
      </c>
      <c r="D33" s="196"/>
      <c r="E33" s="196"/>
      <c r="F33" s="203"/>
      <c r="G33" s="196" t="s">
        <v>1</v>
      </c>
      <c r="H33" s="197"/>
    </row>
    <row r="34" spans="1:8" x14ac:dyDescent="0.25">
      <c r="A34" s="12"/>
      <c r="B34" s="13"/>
      <c r="C34" s="14" t="s">
        <v>231</v>
      </c>
      <c r="D34" s="15" t="s">
        <v>232</v>
      </c>
      <c r="E34" s="15" t="s">
        <v>233</v>
      </c>
      <c r="F34" s="16"/>
      <c r="G34" s="17" t="s">
        <v>234</v>
      </c>
      <c r="H34" s="18" t="s">
        <v>235</v>
      </c>
    </row>
    <row r="35" spans="1:8" ht="12.75" customHeight="1" x14ac:dyDescent="0.25">
      <c r="A35" s="198" t="s">
        <v>45</v>
      </c>
      <c r="B35" s="19" t="s">
        <v>3</v>
      </c>
      <c r="C35" s="80">
        <v>746.15060483315483</v>
      </c>
      <c r="D35" s="80">
        <v>686.74772083152152</v>
      </c>
      <c r="E35" s="83">
        <v>932.75932060784749</v>
      </c>
      <c r="F35" s="22" t="s">
        <v>236</v>
      </c>
      <c r="G35" s="23">
        <v>25.009524158520222</v>
      </c>
      <c r="H35" s="24">
        <v>35.822703492696348</v>
      </c>
    </row>
    <row r="36" spans="1:8" ht="12.75" customHeight="1" x14ac:dyDescent="0.25">
      <c r="A36" s="199"/>
      <c r="B36" s="25" t="s">
        <v>237</v>
      </c>
      <c r="C36" s="82">
        <v>563.23942172825741</v>
      </c>
      <c r="D36" s="82">
        <v>539.78680798403389</v>
      </c>
      <c r="E36" s="82">
        <v>723.20693090707368</v>
      </c>
      <c r="F36" s="27"/>
      <c r="G36" s="28">
        <v>28.401333963444557</v>
      </c>
      <c r="H36" s="29">
        <v>33.980104776563024</v>
      </c>
    </row>
    <row r="37" spans="1:8" x14ac:dyDescent="0.25">
      <c r="A37" s="30" t="s">
        <v>18</v>
      </c>
      <c r="B37" s="31" t="s">
        <v>3</v>
      </c>
      <c r="C37" s="80">
        <v>305.17532433738319</v>
      </c>
      <c r="D37" s="80">
        <v>286.64897173246356</v>
      </c>
      <c r="E37" s="83">
        <v>350.22558137313467</v>
      </c>
      <c r="F37" s="22" t="s">
        <v>236</v>
      </c>
      <c r="G37" s="32">
        <v>14.762090327442962</v>
      </c>
      <c r="H37" s="33">
        <v>22.179256132133872</v>
      </c>
    </row>
    <row r="38" spans="1:8" x14ac:dyDescent="0.25">
      <c r="A38" s="34"/>
      <c r="B38" s="25" t="s">
        <v>237</v>
      </c>
      <c r="C38" s="82">
        <v>219.07786873508599</v>
      </c>
      <c r="D38" s="82">
        <v>224.3059839908384</v>
      </c>
      <c r="E38" s="82">
        <v>266.06997104152742</v>
      </c>
      <c r="F38" s="27"/>
      <c r="G38" s="35">
        <v>21.449954108904251</v>
      </c>
      <c r="H38" s="29">
        <v>18.619203245328862</v>
      </c>
    </row>
    <row r="39" spans="1:8" x14ac:dyDescent="0.25">
      <c r="A39" s="30" t="s">
        <v>19</v>
      </c>
      <c r="B39" s="31" t="s">
        <v>3</v>
      </c>
      <c r="C39" s="80">
        <v>224.48284302260393</v>
      </c>
      <c r="D39" s="80">
        <v>192.21336694659246</v>
      </c>
      <c r="E39" s="83">
        <v>287.14101986914125</v>
      </c>
      <c r="F39" s="22" t="s">
        <v>236</v>
      </c>
      <c r="G39" s="37">
        <v>27.912234183628939</v>
      </c>
      <c r="H39" s="33">
        <v>49.386603247486391</v>
      </c>
    </row>
    <row r="40" spans="1:8" x14ac:dyDescent="0.25">
      <c r="A40" s="34"/>
      <c r="B40" s="25" t="s">
        <v>237</v>
      </c>
      <c r="C40" s="82">
        <v>183.08785355365103</v>
      </c>
      <c r="D40" s="82">
        <v>150.28267340339281</v>
      </c>
      <c r="E40" s="82">
        <v>227.64170678300178</v>
      </c>
      <c r="F40" s="27"/>
      <c r="G40" s="28">
        <v>24.334685433566989</v>
      </c>
      <c r="H40" s="29">
        <v>51.475683542014053</v>
      </c>
    </row>
    <row r="41" spans="1:8" x14ac:dyDescent="0.25">
      <c r="A41" s="30" t="s">
        <v>20</v>
      </c>
      <c r="B41" s="31" t="s">
        <v>3</v>
      </c>
      <c r="C41" s="80">
        <v>45.466021824158553</v>
      </c>
      <c r="D41" s="80">
        <v>41.102573676525459</v>
      </c>
      <c r="E41" s="83">
        <v>42.969228371723283</v>
      </c>
      <c r="F41" s="22" t="s">
        <v>236</v>
      </c>
      <c r="G41" s="23">
        <v>-5.4915590857975332</v>
      </c>
      <c r="H41" s="24">
        <v>4.5414545324783546</v>
      </c>
    </row>
    <row r="42" spans="1:8" x14ac:dyDescent="0.25">
      <c r="A42" s="34"/>
      <c r="B42" s="25" t="s">
        <v>237</v>
      </c>
      <c r="C42" s="82">
        <v>34.555004702365785</v>
      </c>
      <c r="D42" s="82">
        <v>33.34353624041232</v>
      </c>
      <c r="E42" s="82">
        <v>34.092120506343079</v>
      </c>
      <c r="F42" s="27"/>
      <c r="G42" s="38">
        <v>-1.3395576125938504</v>
      </c>
      <c r="H42" s="24">
        <v>2.245065611917525</v>
      </c>
    </row>
    <row r="43" spans="1:8" x14ac:dyDescent="0.25">
      <c r="A43" s="30" t="s">
        <v>21</v>
      </c>
      <c r="B43" s="31" t="s">
        <v>3</v>
      </c>
      <c r="C43" s="80">
        <v>7.1380364309406072</v>
      </c>
      <c r="D43" s="80">
        <v>7.0947170836556248</v>
      </c>
      <c r="E43" s="83">
        <v>7.7318802458081031</v>
      </c>
      <c r="F43" s="22" t="s">
        <v>236</v>
      </c>
      <c r="G43" s="37">
        <v>8.319428187469228</v>
      </c>
      <c r="H43" s="33">
        <v>8.9808114212240469</v>
      </c>
    </row>
    <row r="44" spans="1:8" x14ac:dyDescent="0.25">
      <c r="A44" s="34"/>
      <c r="B44" s="25" t="s">
        <v>237</v>
      </c>
      <c r="C44" s="82">
        <v>5.7214225978719524</v>
      </c>
      <c r="D44" s="82">
        <v>4.456891420950341</v>
      </c>
      <c r="E44" s="82">
        <v>5.2344946748869656</v>
      </c>
      <c r="F44" s="27"/>
      <c r="G44" s="28">
        <v>-8.5106092873841703</v>
      </c>
      <c r="H44" s="29">
        <v>17.447211082625302</v>
      </c>
    </row>
    <row r="45" spans="1:8" x14ac:dyDescent="0.25">
      <c r="A45" s="30" t="s">
        <v>22</v>
      </c>
      <c r="B45" s="31" t="s">
        <v>3</v>
      </c>
      <c r="C45" s="80">
        <v>1.8862829292449925</v>
      </c>
      <c r="D45" s="80">
        <v>1.5883499493006206</v>
      </c>
      <c r="E45" s="83">
        <v>2.4216717696026091</v>
      </c>
      <c r="F45" s="22" t="s">
        <v>236</v>
      </c>
      <c r="G45" s="37">
        <v>28.383273370973711</v>
      </c>
      <c r="H45" s="33">
        <v>52.464623470974743</v>
      </c>
    </row>
    <row r="46" spans="1:8" x14ac:dyDescent="0.25">
      <c r="A46" s="34"/>
      <c r="B46" s="25" t="s">
        <v>237</v>
      </c>
      <c r="C46" s="82">
        <v>1.4363133373209274</v>
      </c>
      <c r="D46" s="82">
        <v>1.4059089047690869</v>
      </c>
      <c r="E46" s="82">
        <v>2.0334145737371547</v>
      </c>
      <c r="F46" s="27"/>
      <c r="G46" s="28">
        <v>41.571795018624982</v>
      </c>
      <c r="H46" s="29">
        <v>44.633451487465493</v>
      </c>
    </row>
    <row r="47" spans="1:8" x14ac:dyDescent="0.25">
      <c r="A47" s="30" t="s">
        <v>189</v>
      </c>
      <c r="B47" s="31" t="s">
        <v>3</v>
      </c>
      <c r="C47" s="80">
        <v>87.990470317510926</v>
      </c>
      <c r="D47" s="80">
        <v>79.981695300758318</v>
      </c>
      <c r="E47" s="83">
        <v>147.78407568613105</v>
      </c>
      <c r="F47" s="22" t="s">
        <v>236</v>
      </c>
      <c r="G47" s="23">
        <v>67.954637761176542</v>
      </c>
      <c r="H47" s="24">
        <v>84.772372141416582</v>
      </c>
    </row>
    <row r="48" spans="1:8" x14ac:dyDescent="0.25">
      <c r="A48" s="30"/>
      <c r="B48" s="25" t="s">
        <v>237</v>
      </c>
      <c r="C48" s="82">
        <v>67.694536240244787</v>
      </c>
      <c r="D48" s="82">
        <v>64.163801161485907</v>
      </c>
      <c r="E48" s="82">
        <v>116.8911566500086</v>
      </c>
      <c r="F48" s="27"/>
      <c r="G48" s="38">
        <v>72.674433037205944</v>
      </c>
      <c r="H48" s="24">
        <v>82.176171819714597</v>
      </c>
    </row>
    <row r="49" spans="1:8" x14ac:dyDescent="0.25">
      <c r="A49" s="39" t="s">
        <v>12</v>
      </c>
      <c r="B49" s="31" t="s">
        <v>3</v>
      </c>
      <c r="C49" s="80">
        <v>0.39939310444106824</v>
      </c>
      <c r="D49" s="80">
        <v>2.5641033850159594</v>
      </c>
      <c r="E49" s="83">
        <v>1.0622723391284263</v>
      </c>
      <c r="F49" s="22" t="s">
        <v>236</v>
      </c>
      <c r="G49" s="37">
        <v>165.97162728060272</v>
      </c>
      <c r="H49" s="33">
        <v>-58.571392037618068</v>
      </c>
    </row>
    <row r="50" spans="1:8" x14ac:dyDescent="0.25">
      <c r="A50" s="34"/>
      <c r="B50" s="25" t="s">
        <v>237</v>
      </c>
      <c r="C50" s="82">
        <v>0.33392603880898125</v>
      </c>
      <c r="D50" s="82">
        <v>2.6464371769780222</v>
      </c>
      <c r="E50" s="82">
        <v>1.0169079967624535</v>
      </c>
      <c r="F50" s="27"/>
      <c r="G50" s="28">
        <v>204.53090761938591</v>
      </c>
      <c r="H50" s="29">
        <v>-61.574451658676246</v>
      </c>
    </row>
    <row r="51" spans="1:8" x14ac:dyDescent="0.25">
      <c r="A51" s="39" t="s">
        <v>23</v>
      </c>
      <c r="B51" s="31" t="s">
        <v>3</v>
      </c>
      <c r="C51" s="80">
        <v>49.36409703985823</v>
      </c>
      <c r="D51" s="80">
        <v>47.186503860942473</v>
      </c>
      <c r="E51" s="83">
        <v>48.245659147096013</v>
      </c>
      <c r="F51" s="22" t="s">
        <v>236</v>
      </c>
      <c r="G51" s="23">
        <v>-2.2656909775117526</v>
      </c>
      <c r="H51" s="24">
        <v>2.2446148781754403</v>
      </c>
    </row>
    <row r="52" spans="1:8" x14ac:dyDescent="0.25">
      <c r="A52" s="34"/>
      <c r="B52" s="25" t="s">
        <v>237</v>
      </c>
      <c r="C52" s="82">
        <v>30.691679317592879</v>
      </c>
      <c r="D52" s="82">
        <v>36.054452313590602</v>
      </c>
      <c r="E52" s="82">
        <v>34.24997490698258</v>
      </c>
      <c r="F52" s="27"/>
      <c r="G52" s="28">
        <v>11.593681637843915</v>
      </c>
      <c r="H52" s="29">
        <v>-5.0048670575085481</v>
      </c>
    </row>
    <row r="53" spans="1:8" x14ac:dyDescent="0.25">
      <c r="A53" s="30" t="s">
        <v>24</v>
      </c>
      <c r="B53" s="31" t="s">
        <v>3</v>
      </c>
      <c r="C53" s="80">
        <v>24.248135827013254</v>
      </c>
      <c r="D53" s="80">
        <v>28.367438896267036</v>
      </c>
      <c r="E53" s="83">
        <v>42.279002882527813</v>
      </c>
      <c r="F53" s="22" t="s">
        <v>236</v>
      </c>
      <c r="G53" s="23">
        <v>74.359807220427882</v>
      </c>
      <c r="H53" s="24">
        <v>49.040606158109824</v>
      </c>
    </row>
    <row r="54" spans="1:8" ht="14.3" thickBot="1" x14ac:dyDescent="0.3">
      <c r="A54" s="41"/>
      <c r="B54" s="42" t="s">
        <v>237</v>
      </c>
      <c r="C54" s="86">
        <v>20.640817205315095</v>
      </c>
      <c r="D54" s="86">
        <v>24.135123371616263</v>
      </c>
      <c r="E54" s="86">
        <v>35.977183773823654</v>
      </c>
      <c r="F54" s="44"/>
      <c r="G54" s="45">
        <v>74.301159764931128</v>
      </c>
      <c r="H54" s="46">
        <v>49.065671717817139</v>
      </c>
    </row>
    <row r="59" spans="1:8" x14ac:dyDescent="0.25">
      <c r="A59" s="47"/>
      <c r="B59" s="48"/>
      <c r="C59" s="49"/>
      <c r="D59" s="49"/>
      <c r="E59" s="49"/>
      <c r="F59" s="49"/>
      <c r="G59" s="50"/>
      <c r="H59" s="51"/>
    </row>
    <row r="60" spans="1:8" x14ac:dyDescent="0.25">
      <c r="A60" s="52"/>
      <c r="B60" s="52"/>
      <c r="C60" s="52"/>
      <c r="D60" s="52"/>
      <c r="E60" s="52"/>
      <c r="F60" s="52"/>
      <c r="G60" s="52"/>
      <c r="H60" s="52"/>
    </row>
    <row r="61" spans="1:8" ht="12.75" customHeight="1" x14ac:dyDescent="0.25">
      <c r="A61" s="54" t="s">
        <v>238</v>
      </c>
      <c r="H61" s="193">
        <v>16</v>
      </c>
    </row>
    <row r="62" spans="1:8" ht="12.75" customHeight="1" x14ac:dyDescent="0.25">
      <c r="A62" s="54" t="s">
        <v>239</v>
      </c>
      <c r="H62" s="194"/>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37" display="Tilbake til innholdsfortegnelsen" xr:uid="{00000000-0004-0000-0B00-000000000000}"/>
  </hyperlinks>
  <pageMargins left="0.78740157480314965" right="0.78740157480314965" top="0.98425196850393704" bottom="0.19685039370078741" header="3.937007874015748E-2" footer="3.937007874015748E-2"/>
  <pageSetup paperSize="9" scale="95"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68"/>
  <sheetViews>
    <sheetView showGridLines="0" showRowColHeaders="0" zoomScale="80" zoomScaleNormal="80" workbookViewId="0"/>
  </sheetViews>
  <sheetFormatPr defaultColWidth="11.5" defaultRowHeight="13.6" x14ac:dyDescent="0.25"/>
  <cols>
    <col min="1" max="1" width="26.375" style="1" customWidth="1"/>
    <col min="2" max="2" width="8.125" style="1" customWidth="1"/>
    <col min="3" max="4" width="10.5" style="1" customWidth="1"/>
    <col min="5" max="5" width="9.875" style="1" customWidth="1"/>
    <col min="6" max="6" width="1.625" style="1" customWidth="1"/>
    <col min="7" max="7" width="7.625" style="1" customWidth="1"/>
    <col min="8" max="8" width="8.875" style="1" customWidth="1"/>
    <col min="9" max="16384" width="11.5" style="1"/>
  </cols>
  <sheetData>
    <row r="1" spans="1:8" ht="5.3" customHeight="1" x14ac:dyDescent="0.25"/>
    <row r="2" spans="1:8" x14ac:dyDescent="0.25">
      <c r="A2" s="92" t="s">
        <v>0</v>
      </c>
      <c r="B2" s="2"/>
      <c r="C2" s="2"/>
      <c r="D2" s="2"/>
      <c r="E2" s="2"/>
      <c r="F2" s="2"/>
      <c r="G2" s="2"/>
    </row>
    <row r="3" spans="1:8" ht="5.95" customHeight="1" x14ac:dyDescent="0.25">
      <c r="A3" s="3"/>
      <c r="B3" s="2"/>
      <c r="C3" s="2"/>
      <c r="D3" s="2"/>
      <c r="E3" s="2"/>
      <c r="F3" s="2"/>
      <c r="G3" s="2"/>
    </row>
    <row r="4" spans="1:8" ht="16.3" thickBot="1" x14ac:dyDescent="0.3">
      <c r="A4" s="4" t="s">
        <v>163</v>
      </c>
      <c r="B4" s="5"/>
      <c r="C4" s="5"/>
      <c r="D4" s="5"/>
      <c r="E4" s="5"/>
      <c r="F4" s="5"/>
      <c r="G4" s="5"/>
      <c r="H4" s="6"/>
    </row>
    <row r="5" spans="1:8" x14ac:dyDescent="0.25">
      <c r="A5" s="7"/>
      <c r="B5" s="8"/>
      <c r="C5" s="9"/>
      <c r="D5" s="8"/>
      <c r="E5" s="10"/>
      <c r="F5" s="11"/>
      <c r="G5" s="196" t="s">
        <v>1</v>
      </c>
      <c r="H5" s="197"/>
    </row>
    <row r="6" spans="1:8" x14ac:dyDescent="0.25">
      <c r="A6" s="12"/>
      <c r="B6" s="13"/>
      <c r="C6" s="14" t="s">
        <v>231</v>
      </c>
      <c r="D6" s="15" t="s">
        <v>232</v>
      </c>
      <c r="E6" s="15" t="s">
        <v>233</v>
      </c>
      <c r="F6" s="16"/>
      <c r="G6" s="17" t="s">
        <v>234</v>
      </c>
      <c r="H6" s="18" t="s">
        <v>235</v>
      </c>
    </row>
    <row r="7" spans="1:8" x14ac:dyDescent="0.25">
      <c r="A7" s="198" t="s">
        <v>165</v>
      </c>
      <c r="B7" s="19" t="s">
        <v>3</v>
      </c>
      <c r="C7" s="20">
        <v>40113.59909590699</v>
      </c>
      <c r="D7" s="20">
        <v>39410.456254180601</v>
      </c>
      <c r="E7" s="79">
        <v>47875.624169462688</v>
      </c>
      <c r="F7" s="22" t="s">
        <v>236</v>
      </c>
      <c r="G7" s="23">
        <v>19.350108812219986</v>
      </c>
      <c r="H7" s="24">
        <v>21.479497371675606</v>
      </c>
    </row>
    <row r="8" spans="1:8" x14ac:dyDescent="0.25">
      <c r="A8" s="199"/>
      <c r="B8" s="25" t="s">
        <v>237</v>
      </c>
      <c r="C8" s="26">
        <v>30478.767038700429</v>
      </c>
      <c r="D8" s="26">
        <v>28412.88258155853</v>
      </c>
      <c r="E8" s="26">
        <v>35114.516483516483</v>
      </c>
      <c r="F8" s="27"/>
      <c r="G8" s="28">
        <v>15.209766979516615</v>
      </c>
      <c r="H8" s="29">
        <v>23.586603304754689</v>
      </c>
    </row>
    <row r="9" spans="1:8" x14ac:dyDescent="0.25">
      <c r="A9" s="30" t="s">
        <v>18</v>
      </c>
      <c r="B9" s="31" t="s">
        <v>3</v>
      </c>
      <c r="C9" s="20">
        <v>4773.6505913072469</v>
      </c>
      <c r="D9" s="20">
        <v>4635.9603435869567</v>
      </c>
      <c r="E9" s="36">
        <v>4762.3254908519557</v>
      </c>
      <c r="F9" s="22" t="s">
        <v>236</v>
      </c>
      <c r="G9" s="32">
        <v>-0.23724192289887469</v>
      </c>
      <c r="H9" s="33">
        <v>2.725759883597874</v>
      </c>
    </row>
    <row r="10" spans="1:8" x14ac:dyDescent="0.25">
      <c r="A10" s="34"/>
      <c r="B10" s="25" t="s">
        <v>237</v>
      </c>
      <c r="C10" s="26">
        <v>3800.7391758478261</v>
      </c>
      <c r="D10" s="26">
        <v>3515.9383867479673</v>
      </c>
      <c r="E10" s="26">
        <v>3669.8287500000001</v>
      </c>
      <c r="F10" s="27"/>
      <c r="G10" s="35">
        <v>-3.4443412134068296</v>
      </c>
      <c r="H10" s="29">
        <v>4.3769357231078203</v>
      </c>
    </row>
    <row r="11" spans="1:8" x14ac:dyDescent="0.25">
      <c r="A11" s="30" t="s">
        <v>19</v>
      </c>
      <c r="B11" s="31" t="s">
        <v>3</v>
      </c>
      <c r="C11" s="20">
        <v>18400.492844278262</v>
      </c>
      <c r="D11" s="20">
        <v>19048.779306284585</v>
      </c>
      <c r="E11" s="36">
        <v>21393.069180266641</v>
      </c>
      <c r="F11" s="22" t="s">
        <v>236</v>
      </c>
      <c r="G11" s="37">
        <v>16.263566206157009</v>
      </c>
      <c r="H11" s="33">
        <v>12.306772188854254</v>
      </c>
    </row>
    <row r="12" spans="1:8" x14ac:dyDescent="0.25">
      <c r="A12" s="34"/>
      <c r="B12" s="25" t="s">
        <v>237</v>
      </c>
      <c r="C12" s="26">
        <v>14587.555484592885</v>
      </c>
      <c r="D12" s="26">
        <v>13402.343811175166</v>
      </c>
      <c r="E12" s="26">
        <v>15638.257727272727</v>
      </c>
      <c r="F12" s="27"/>
      <c r="G12" s="28">
        <v>7.2027300515811135</v>
      </c>
      <c r="H12" s="29">
        <v>16.683006700911591</v>
      </c>
    </row>
    <row r="13" spans="1:8" x14ac:dyDescent="0.25">
      <c r="A13" s="30" t="s">
        <v>20</v>
      </c>
      <c r="B13" s="31" t="s">
        <v>3</v>
      </c>
      <c r="C13" s="20">
        <v>2924.9903547843478</v>
      </c>
      <c r="D13" s="20">
        <v>2691.7762061521739</v>
      </c>
      <c r="E13" s="36">
        <v>2808.5350311464608</v>
      </c>
      <c r="F13" s="22" t="s">
        <v>236</v>
      </c>
      <c r="G13" s="23">
        <v>-3.9813917145881703</v>
      </c>
      <c r="H13" s="24">
        <v>4.3376126413269276</v>
      </c>
    </row>
    <row r="14" spans="1:8" x14ac:dyDescent="0.25">
      <c r="A14" s="34"/>
      <c r="B14" s="25" t="s">
        <v>237</v>
      </c>
      <c r="C14" s="26">
        <v>2210.5435055086955</v>
      </c>
      <c r="D14" s="26">
        <v>2048.3630320487805</v>
      </c>
      <c r="E14" s="26">
        <v>2132.2972500000001</v>
      </c>
      <c r="F14" s="27"/>
      <c r="G14" s="38">
        <v>-3.5396840330762558</v>
      </c>
      <c r="H14" s="24">
        <v>4.0976241339050148</v>
      </c>
    </row>
    <row r="15" spans="1:8" x14ac:dyDescent="0.25">
      <c r="A15" s="30" t="s">
        <v>21</v>
      </c>
      <c r="B15" s="31" t="s">
        <v>3</v>
      </c>
      <c r="C15" s="20">
        <v>1181.9903547843478</v>
      </c>
      <c r="D15" s="20">
        <v>1241.7762061521739</v>
      </c>
      <c r="E15" s="36">
        <v>1347.6931602060051</v>
      </c>
      <c r="F15" s="22" t="s">
        <v>236</v>
      </c>
      <c r="G15" s="37">
        <v>14.018964262351318</v>
      </c>
      <c r="H15" s="33">
        <v>8.5294720199246257</v>
      </c>
    </row>
    <row r="16" spans="1:8" x14ac:dyDescent="0.25">
      <c r="A16" s="34"/>
      <c r="B16" s="25" t="s">
        <v>237</v>
      </c>
      <c r="C16" s="26">
        <v>907.89350550869563</v>
      </c>
      <c r="D16" s="26">
        <v>818.3630320487805</v>
      </c>
      <c r="E16" s="26">
        <v>932.29724999999996</v>
      </c>
      <c r="F16" s="27"/>
      <c r="G16" s="28">
        <v>2.68795231414623</v>
      </c>
      <c r="H16" s="29">
        <v>13.922209763799316</v>
      </c>
    </row>
    <row r="17" spans="1:8" x14ac:dyDescent="0.25">
      <c r="A17" s="30" t="s">
        <v>189</v>
      </c>
      <c r="B17" s="31" t="s">
        <v>3</v>
      </c>
      <c r="C17" s="20">
        <v>7974.6505913072469</v>
      </c>
      <c r="D17" s="20">
        <v>7349.9603435869567</v>
      </c>
      <c r="E17" s="36">
        <v>9847.814516850096</v>
      </c>
      <c r="F17" s="22" t="s">
        <v>236</v>
      </c>
      <c r="G17" s="37">
        <v>23.488978032275014</v>
      </c>
      <c r="H17" s="33">
        <v>33.98459388209605</v>
      </c>
    </row>
    <row r="18" spans="1:8" x14ac:dyDescent="0.25">
      <c r="A18" s="34"/>
      <c r="B18" s="25" t="s">
        <v>237</v>
      </c>
      <c r="C18" s="26">
        <v>6117.7391758478261</v>
      </c>
      <c r="D18" s="26">
        <v>5444.9383867479673</v>
      </c>
      <c r="E18" s="26">
        <v>7379.8287499999997</v>
      </c>
      <c r="F18" s="27"/>
      <c r="G18" s="28">
        <v>20.629999708630393</v>
      </c>
      <c r="H18" s="29">
        <v>35.53557865707387</v>
      </c>
    </row>
    <row r="19" spans="1:8" x14ac:dyDescent="0.25">
      <c r="A19" s="39" t="s">
        <v>12</v>
      </c>
      <c r="B19" s="31" t="s">
        <v>3</v>
      </c>
      <c r="C19" s="20">
        <v>495.9903547843478</v>
      </c>
      <c r="D19" s="20">
        <v>424.77620615217393</v>
      </c>
      <c r="E19" s="36">
        <v>559.4922854843503</v>
      </c>
      <c r="F19" s="22" t="s">
        <v>236</v>
      </c>
      <c r="G19" s="37">
        <v>12.803057577120143</v>
      </c>
      <c r="H19" s="33">
        <v>31.714601096068691</v>
      </c>
    </row>
    <row r="20" spans="1:8" x14ac:dyDescent="0.25">
      <c r="A20" s="34"/>
      <c r="B20" s="25" t="s">
        <v>237</v>
      </c>
      <c r="C20" s="26">
        <v>376.89350550869568</v>
      </c>
      <c r="D20" s="26">
        <v>308.36303204878044</v>
      </c>
      <c r="E20" s="26">
        <v>412.29724999999996</v>
      </c>
      <c r="F20" s="27"/>
      <c r="G20" s="28">
        <v>9.3935671413386785</v>
      </c>
      <c r="H20" s="29">
        <v>33.705148525967928</v>
      </c>
    </row>
    <row r="21" spans="1:8" x14ac:dyDescent="0.25">
      <c r="A21" s="39" t="s">
        <v>23</v>
      </c>
      <c r="B21" s="31" t="s">
        <v>3</v>
      </c>
      <c r="C21" s="20">
        <v>580.66023652289857</v>
      </c>
      <c r="D21" s="20">
        <v>599.18413743478254</v>
      </c>
      <c r="E21" s="36">
        <v>684.7422106434999</v>
      </c>
      <c r="F21" s="22" t="s">
        <v>236</v>
      </c>
      <c r="G21" s="23">
        <v>17.924763497473762</v>
      </c>
      <c r="H21" s="24">
        <v>14.27909516680586</v>
      </c>
    </row>
    <row r="22" spans="1:8" x14ac:dyDescent="0.25">
      <c r="A22" s="34"/>
      <c r="B22" s="25" t="s">
        <v>237</v>
      </c>
      <c r="C22" s="26">
        <v>505.44567033913046</v>
      </c>
      <c r="D22" s="26">
        <v>422.57535469918696</v>
      </c>
      <c r="E22" s="26">
        <v>515.53150000000005</v>
      </c>
      <c r="F22" s="27"/>
      <c r="G22" s="38">
        <v>1.9954329916610902</v>
      </c>
      <c r="H22" s="24">
        <v>21.997531154410211</v>
      </c>
    </row>
    <row r="23" spans="1:8" x14ac:dyDescent="0.25">
      <c r="A23" s="30" t="s">
        <v>24</v>
      </c>
      <c r="B23" s="31" t="s">
        <v>3</v>
      </c>
      <c r="C23" s="20">
        <v>5128.9971064353049</v>
      </c>
      <c r="D23" s="20">
        <v>4643.2328618456522</v>
      </c>
      <c r="E23" s="36">
        <v>8323.7797654349451</v>
      </c>
      <c r="F23" s="22" t="s">
        <v>236</v>
      </c>
      <c r="G23" s="37">
        <v>62.288642257005307</v>
      </c>
      <c r="H23" s="33">
        <v>79.266903321456539</v>
      </c>
    </row>
    <row r="24" spans="1:8" ht="14.3" thickBot="1" x14ac:dyDescent="0.3">
      <c r="A24" s="41"/>
      <c r="B24" s="42" t="s">
        <v>237</v>
      </c>
      <c r="C24" s="43">
        <v>2861.8530516526089</v>
      </c>
      <c r="D24" s="43">
        <v>3309.3089096146341</v>
      </c>
      <c r="E24" s="43">
        <v>5430.4891750000006</v>
      </c>
      <c r="F24" s="44"/>
      <c r="G24" s="45">
        <v>89.754298246169697</v>
      </c>
      <c r="H24" s="46">
        <v>64.097378737374385</v>
      </c>
    </row>
    <row r="29" spans="1:8" x14ac:dyDescent="0.25">
      <c r="A29" s="58"/>
      <c r="B29" s="58"/>
      <c r="C29" s="21"/>
      <c r="D29" s="21"/>
      <c r="E29" s="21"/>
      <c r="F29" s="59"/>
      <c r="G29" s="38"/>
      <c r="H29" s="60"/>
    </row>
    <row r="30" spans="1:8" x14ac:dyDescent="0.25">
      <c r="A30" s="58"/>
      <c r="B30" s="62"/>
      <c r="C30" s="21"/>
      <c r="D30" s="21"/>
      <c r="E30" s="21"/>
      <c r="F30" s="63"/>
      <c r="G30" s="38"/>
      <c r="H30" s="60"/>
    </row>
    <row r="31" spans="1:8" x14ac:dyDescent="0.25">
      <c r="A31" s="47"/>
      <c r="B31" s="48"/>
      <c r="C31" s="49"/>
      <c r="D31" s="55"/>
      <c r="E31" s="49"/>
      <c r="F31" s="49"/>
      <c r="G31" s="50"/>
      <c r="H31" s="51"/>
    </row>
    <row r="32" spans="1:8" ht="16.3" thickBot="1" x14ac:dyDescent="0.3">
      <c r="A32" s="4" t="s">
        <v>164</v>
      </c>
      <c r="B32" s="5"/>
      <c r="C32" s="5"/>
      <c r="D32" s="5"/>
      <c r="E32" s="5"/>
      <c r="F32" s="5"/>
      <c r="G32" s="5"/>
      <c r="H32" s="6"/>
    </row>
    <row r="33" spans="1:8" x14ac:dyDescent="0.25">
      <c r="A33" s="7"/>
      <c r="B33" s="8"/>
      <c r="C33" s="202" t="s">
        <v>16</v>
      </c>
      <c r="D33" s="196"/>
      <c r="E33" s="196"/>
      <c r="F33" s="203"/>
      <c r="G33" s="196" t="s">
        <v>1</v>
      </c>
      <c r="H33" s="197"/>
    </row>
    <row r="34" spans="1:8" x14ac:dyDescent="0.25">
      <c r="A34" s="12"/>
      <c r="B34" s="13"/>
      <c r="C34" s="14" t="s">
        <v>231</v>
      </c>
      <c r="D34" s="15" t="s">
        <v>232</v>
      </c>
      <c r="E34" s="15" t="s">
        <v>233</v>
      </c>
      <c r="F34" s="16"/>
      <c r="G34" s="17" t="s">
        <v>234</v>
      </c>
      <c r="H34" s="18" t="s">
        <v>235</v>
      </c>
    </row>
    <row r="35" spans="1:8" ht="12.75" customHeight="1" x14ac:dyDescent="0.25">
      <c r="A35" s="198" t="s">
        <v>165</v>
      </c>
      <c r="B35" s="19" t="s">
        <v>3</v>
      </c>
      <c r="C35" s="80">
        <v>5391.9695681264966</v>
      </c>
      <c r="D35" s="80">
        <v>5239.1371201696174</v>
      </c>
      <c r="E35" s="81">
        <v>7089.4695516142019</v>
      </c>
      <c r="F35" s="22" t="s">
        <v>236</v>
      </c>
      <c r="G35" s="23">
        <v>31.482002300645803</v>
      </c>
      <c r="H35" s="24">
        <v>35.317503417140585</v>
      </c>
    </row>
    <row r="36" spans="1:8" ht="12.75" customHeight="1" x14ac:dyDescent="0.25">
      <c r="A36" s="199"/>
      <c r="B36" s="25" t="s">
        <v>237</v>
      </c>
      <c r="C36" s="82">
        <v>4034.6048600896188</v>
      </c>
      <c r="D36" s="82">
        <v>3900.5517770320093</v>
      </c>
      <c r="E36" s="82">
        <v>5286.9828060371356</v>
      </c>
      <c r="F36" s="27"/>
      <c r="G36" s="28">
        <v>31.040907086987914</v>
      </c>
      <c r="H36" s="29">
        <v>35.544484684679247</v>
      </c>
    </row>
    <row r="37" spans="1:8" x14ac:dyDescent="0.25">
      <c r="A37" s="30" t="s">
        <v>18</v>
      </c>
      <c r="B37" s="31" t="s">
        <v>3</v>
      </c>
      <c r="C37" s="80">
        <v>2389.4177069664856</v>
      </c>
      <c r="D37" s="80">
        <v>2587.0096344177168</v>
      </c>
      <c r="E37" s="83">
        <v>2915.2699581019715</v>
      </c>
      <c r="F37" s="22" t="s">
        <v>236</v>
      </c>
      <c r="G37" s="32">
        <v>22.007548098531842</v>
      </c>
      <c r="H37" s="33">
        <v>12.688794015958109</v>
      </c>
    </row>
    <row r="38" spans="1:8" x14ac:dyDescent="0.25">
      <c r="A38" s="34"/>
      <c r="B38" s="25" t="s">
        <v>237</v>
      </c>
      <c r="C38" s="82">
        <v>1834.6407536395416</v>
      </c>
      <c r="D38" s="82">
        <v>2035.5201508616046</v>
      </c>
      <c r="E38" s="82">
        <v>2275.0332370604024</v>
      </c>
      <c r="F38" s="27"/>
      <c r="G38" s="35">
        <v>24.004289806994336</v>
      </c>
      <c r="H38" s="29">
        <v>11.766677234682035</v>
      </c>
    </row>
    <row r="39" spans="1:8" x14ac:dyDescent="0.25">
      <c r="A39" s="30" t="s">
        <v>19</v>
      </c>
      <c r="B39" s="31" t="s">
        <v>3</v>
      </c>
      <c r="C39" s="80">
        <v>1446.6180713895128</v>
      </c>
      <c r="D39" s="80">
        <v>1378.9831204329907</v>
      </c>
      <c r="E39" s="83">
        <v>1696.1298659183149</v>
      </c>
      <c r="F39" s="22" t="s">
        <v>236</v>
      </c>
      <c r="G39" s="37">
        <v>17.247938447854438</v>
      </c>
      <c r="H39" s="33">
        <v>22.998595181189913</v>
      </c>
    </row>
    <row r="40" spans="1:8" x14ac:dyDescent="0.25">
      <c r="A40" s="34"/>
      <c r="B40" s="25" t="s">
        <v>237</v>
      </c>
      <c r="C40" s="82">
        <v>1160.0265815471482</v>
      </c>
      <c r="D40" s="82">
        <v>974.85434800229712</v>
      </c>
      <c r="E40" s="82">
        <v>1248.3286224817894</v>
      </c>
      <c r="F40" s="27"/>
      <c r="G40" s="28">
        <v>7.6120704765981344</v>
      </c>
      <c r="H40" s="29">
        <v>28.05283425569209</v>
      </c>
    </row>
    <row r="41" spans="1:8" x14ac:dyDescent="0.25">
      <c r="A41" s="30" t="s">
        <v>20</v>
      </c>
      <c r="B41" s="31" t="s">
        <v>3</v>
      </c>
      <c r="C41" s="80">
        <v>154.99175119268941</v>
      </c>
      <c r="D41" s="80">
        <v>148.14294571007332</v>
      </c>
      <c r="E41" s="83">
        <v>156.88642341361529</v>
      </c>
      <c r="F41" s="22" t="s">
        <v>236</v>
      </c>
      <c r="G41" s="23">
        <v>1.2224342304322846</v>
      </c>
      <c r="H41" s="24">
        <v>5.9020547091412681</v>
      </c>
    </row>
    <row r="42" spans="1:8" x14ac:dyDescent="0.25">
      <c r="A42" s="34"/>
      <c r="B42" s="25" t="s">
        <v>237</v>
      </c>
      <c r="C42" s="82">
        <v>108.77331057048386</v>
      </c>
      <c r="D42" s="82">
        <v>113.35215881224326</v>
      </c>
      <c r="E42" s="82">
        <v>116.5356115488481</v>
      </c>
      <c r="F42" s="27"/>
      <c r="G42" s="38">
        <v>7.1362183771490209</v>
      </c>
      <c r="H42" s="24">
        <v>2.8084623795104875</v>
      </c>
    </row>
    <row r="43" spans="1:8" x14ac:dyDescent="0.25">
      <c r="A43" s="30" t="s">
        <v>21</v>
      </c>
      <c r="B43" s="31" t="s">
        <v>3</v>
      </c>
      <c r="C43" s="80">
        <v>24.551870165105537</v>
      </c>
      <c r="D43" s="80">
        <v>15.958275898992813</v>
      </c>
      <c r="E43" s="83">
        <v>23.629383108030083</v>
      </c>
      <c r="F43" s="22" t="s">
        <v>236</v>
      </c>
      <c r="G43" s="37">
        <v>-3.7572985311177831</v>
      </c>
      <c r="H43" s="33">
        <v>48.069774313912092</v>
      </c>
    </row>
    <row r="44" spans="1:8" x14ac:dyDescent="0.25">
      <c r="A44" s="34"/>
      <c r="B44" s="25" t="s">
        <v>237</v>
      </c>
      <c r="C44" s="82">
        <v>12.627928525049128</v>
      </c>
      <c r="D44" s="82">
        <v>11.799138905206052</v>
      </c>
      <c r="E44" s="82">
        <v>15.247250355956854</v>
      </c>
      <c r="F44" s="27"/>
      <c r="G44" s="28">
        <v>20.74229217968697</v>
      </c>
      <c r="H44" s="29">
        <v>29.223416034448235</v>
      </c>
    </row>
    <row r="45" spans="1:8" x14ac:dyDescent="0.25">
      <c r="A45" s="30" t="s">
        <v>189</v>
      </c>
      <c r="B45" s="31" t="s">
        <v>3</v>
      </c>
      <c r="C45" s="80">
        <v>509.62744555787515</v>
      </c>
      <c r="D45" s="80">
        <v>544.93154468208661</v>
      </c>
      <c r="E45" s="83">
        <v>1178.1567924251499</v>
      </c>
      <c r="F45" s="22" t="s">
        <v>236</v>
      </c>
      <c r="G45" s="37">
        <v>131.18001251589857</v>
      </c>
      <c r="H45" s="33">
        <v>116.2027146203267</v>
      </c>
    </row>
    <row r="46" spans="1:8" x14ac:dyDescent="0.25">
      <c r="A46" s="34"/>
      <c r="B46" s="25" t="s">
        <v>237</v>
      </c>
      <c r="C46" s="82">
        <v>339.43455778920259</v>
      </c>
      <c r="D46" s="82">
        <v>381.38062620870471</v>
      </c>
      <c r="E46" s="82">
        <v>810.82955708849977</v>
      </c>
      <c r="F46" s="27"/>
      <c r="G46" s="28">
        <v>138.87654880209496</v>
      </c>
      <c r="H46" s="29">
        <v>112.6037615358012</v>
      </c>
    </row>
    <row r="47" spans="1:8" x14ac:dyDescent="0.25">
      <c r="A47" s="39" t="s">
        <v>12</v>
      </c>
      <c r="B47" s="31" t="s">
        <v>3</v>
      </c>
      <c r="C47" s="80">
        <v>13.515949714858685</v>
      </c>
      <c r="D47" s="80">
        <v>28.212716235554961</v>
      </c>
      <c r="E47" s="83">
        <v>30.593846452546881</v>
      </c>
      <c r="F47" s="22" t="s">
        <v>236</v>
      </c>
      <c r="G47" s="37">
        <v>126.35365696066256</v>
      </c>
      <c r="H47" s="33">
        <v>8.4399183584851443</v>
      </c>
    </row>
    <row r="48" spans="1:8" x14ac:dyDescent="0.25">
      <c r="A48" s="34"/>
      <c r="B48" s="25" t="s">
        <v>237</v>
      </c>
      <c r="C48" s="82">
        <v>16.274076971010498</v>
      </c>
      <c r="D48" s="82">
        <v>14.085988573461242</v>
      </c>
      <c r="E48" s="82">
        <v>18.977617826770956</v>
      </c>
      <c r="F48" s="27"/>
      <c r="G48" s="28">
        <v>16.612560334920119</v>
      </c>
      <c r="H48" s="29">
        <v>34.72691481892727</v>
      </c>
    </row>
    <row r="49" spans="1:8" x14ac:dyDescent="0.25">
      <c r="A49" s="39" t="s">
        <v>23</v>
      </c>
      <c r="B49" s="31" t="s">
        <v>3</v>
      </c>
      <c r="C49" s="80">
        <v>18.271812063814714</v>
      </c>
      <c r="D49" s="80">
        <v>25.122719309237436</v>
      </c>
      <c r="E49" s="83">
        <v>45.286634095139256</v>
      </c>
      <c r="F49" s="22" t="s">
        <v>236</v>
      </c>
      <c r="G49" s="23">
        <v>147.84971483383623</v>
      </c>
      <c r="H49" s="24">
        <v>80.261672861534947</v>
      </c>
    </row>
    <row r="50" spans="1:8" x14ac:dyDescent="0.25">
      <c r="A50" s="34"/>
      <c r="B50" s="25" t="s">
        <v>237</v>
      </c>
      <c r="C50" s="82">
        <v>16.314577346468838</v>
      </c>
      <c r="D50" s="82">
        <v>16.37709794245891</v>
      </c>
      <c r="E50" s="82">
        <v>32.440289116419656</v>
      </c>
      <c r="F50" s="27"/>
      <c r="G50" s="38">
        <v>98.842350785391943</v>
      </c>
      <c r="H50" s="24">
        <v>98.083257671163238</v>
      </c>
    </row>
    <row r="51" spans="1:8" x14ac:dyDescent="0.25">
      <c r="A51" s="30" t="s">
        <v>24</v>
      </c>
      <c r="B51" s="31" t="s">
        <v>3</v>
      </c>
      <c r="C51" s="80">
        <v>834.97496107615495</v>
      </c>
      <c r="D51" s="80">
        <v>510.77616348296397</v>
      </c>
      <c r="E51" s="83">
        <v>1133.9263518971864</v>
      </c>
      <c r="F51" s="22" t="s">
        <v>236</v>
      </c>
      <c r="G51" s="37">
        <v>35.803635409106022</v>
      </c>
      <c r="H51" s="33">
        <v>122.00063999952229</v>
      </c>
    </row>
    <row r="52" spans="1:8" ht="14.3" thickBot="1" x14ac:dyDescent="0.3">
      <c r="A52" s="41"/>
      <c r="B52" s="42" t="s">
        <v>237</v>
      </c>
      <c r="C52" s="86">
        <v>546.51307370071436</v>
      </c>
      <c r="D52" s="86">
        <v>353.18226772603407</v>
      </c>
      <c r="E52" s="86">
        <v>769.59062055844845</v>
      </c>
      <c r="F52" s="44"/>
      <c r="G52" s="45">
        <v>40.818336759478427</v>
      </c>
      <c r="H52" s="46">
        <v>117.90182885269459</v>
      </c>
    </row>
    <row r="57" spans="1:8" x14ac:dyDescent="0.25">
      <c r="A57" s="47"/>
      <c r="B57" s="48"/>
      <c r="C57" s="49"/>
      <c r="D57" s="49"/>
      <c r="E57" s="49"/>
      <c r="F57" s="49"/>
      <c r="G57" s="50"/>
      <c r="H57" s="51"/>
    </row>
    <row r="58" spans="1:8" x14ac:dyDescent="0.25">
      <c r="A58" s="47"/>
      <c r="B58" s="48"/>
      <c r="C58" s="49"/>
      <c r="D58" s="49"/>
      <c r="E58" s="49"/>
      <c r="F58" s="49"/>
      <c r="G58" s="50"/>
      <c r="H58" s="51"/>
    </row>
    <row r="59" spans="1:8" x14ac:dyDescent="0.25">
      <c r="A59" s="47"/>
      <c r="B59" s="48"/>
      <c r="C59" s="49"/>
      <c r="D59" s="49"/>
      <c r="E59" s="49"/>
      <c r="F59" s="49"/>
      <c r="G59" s="50"/>
      <c r="H59" s="51"/>
    </row>
    <row r="60" spans="1:8" x14ac:dyDescent="0.25">
      <c r="A60" s="52"/>
      <c r="B60" s="52"/>
      <c r="C60" s="52"/>
      <c r="D60" s="52"/>
      <c r="E60" s="52"/>
      <c r="F60" s="52"/>
      <c r="G60" s="52"/>
      <c r="H60" s="52"/>
    </row>
    <row r="61" spans="1:8" ht="12.75" customHeight="1" x14ac:dyDescent="0.25">
      <c r="A61" s="54" t="s">
        <v>238</v>
      </c>
      <c r="G61" s="53"/>
      <c r="H61" s="201">
        <v>17</v>
      </c>
    </row>
    <row r="62" spans="1:8" ht="12.75" customHeight="1" x14ac:dyDescent="0.25">
      <c r="A62" s="54" t="s">
        <v>239</v>
      </c>
      <c r="G62" s="53"/>
      <c r="H62" s="194"/>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40" display="Tilbake til innholdsfortegnelsen" xr:uid="{00000000-0004-0000-0C00-000000000000}"/>
  </hyperlinks>
  <pageMargins left="0.78740157480314965" right="0.78740157480314965" top="0.98425196850393704" bottom="0.19685039370078741" header="3.937007874015748E-2" footer="3.937007874015748E-2"/>
  <pageSetup paperSize="9" scale="95"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68"/>
  <sheetViews>
    <sheetView showGridLines="0" showRowColHeaders="0" zoomScale="80" zoomScaleNormal="80" workbookViewId="0"/>
  </sheetViews>
  <sheetFormatPr defaultColWidth="11.5" defaultRowHeight="13.6" x14ac:dyDescent="0.25"/>
  <cols>
    <col min="1" max="1" width="26.375" style="1" customWidth="1"/>
    <col min="2" max="2" width="8.125" style="1" customWidth="1"/>
    <col min="3" max="4" width="10.5" style="1" customWidth="1"/>
    <col min="5" max="5" width="9.875" style="1" customWidth="1"/>
    <col min="6" max="6" width="1.625" style="1" customWidth="1"/>
    <col min="7" max="7" width="7.625" style="1" customWidth="1"/>
    <col min="8" max="8" width="8.875" style="1" customWidth="1"/>
    <col min="9" max="16384" width="11.5" style="1"/>
  </cols>
  <sheetData>
    <row r="1" spans="1:9" ht="5.3" customHeight="1" x14ac:dyDescent="0.25"/>
    <row r="2" spans="1:9" x14ac:dyDescent="0.25">
      <c r="A2" s="92" t="s">
        <v>0</v>
      </c>
      <c r="B2" s="2"/>
      <c r="C2" s="2"/>
      <c r="D2" s="2"/>
      <c r="E2" s="2"/>
      <c r="F2" s="2"/>
      <c r="G2" s="2"/>
    </row>
    <row r="3" spans="1:9" ht="5.95" customHeight="1" x14ac:dyDescent="0.25">
      <c r="A3" s="3"/>
      <c r="B3" s="2"/>
      <c r="C3" s="2"/>
      <c r="D3" s="2"/>
      <c r="E3" s="2"/>
      <c r="F3" s="2"/>
      <c r="G3" s="2"/>
    </row>
    <row r="4" spans="1:9" ht="16.3" thickBot="1" x14ac:dyDescent="0.3">
      <c r="A4" s="4" t="s">
        <v>151</v>
      </c>
      <c r="B4" s="5"/>
      <c r="C4" s="5"/>
      <c r="D4" s="5"/>
      <c r="E4" s="5"/>
      <c r="F4" s="5"/>
      <c r="G4" s="5"/>
      <c r="H4" s="6"/>
    </row>
    <row r="5" spans="1:9" x14ac:dyDescent="0.25">
      <c r="A5" s="7"/>
      <c r="B5" s="8"/>
      <c r="C5" s="9"/>
      <c r="D5" s="8"/>
      <c r="E5" s="10"/>
      <c r="F5" s="11"/>
      <c r="G5" s="196" t="s">
        <v>1</v>
      </c>
      <c r="H5" s="197"/>
    </row>
    <row r="6" spans="1:9" x14ac:dyDescent="0.25">
      <c r="A6" s="12"/>
      <c r="B6" s="13"/>
      <c r="C6" s="14" t="s">
        <v>231</v>
      </c>
      <c r="D6" s="15" t="s">
        <v>232</v>
      </c>
      <c r="E6" s="15" t="s">
        <v>233</v>
      </c>
      <c r="F6" s="16"/>
      <c r="G6" s="17" t="s">
        <v>234</v>
      </c>
      <c r="H6" s="18" t="s">
        <v>235</v>
      </c>
    </row>
    <row r="7" spans="1:9" x14ac:dyDescent="0.25">
      <c r="A7" s="198" t="s">
        <v>58</v>
      </c>
      <c r="B7" s="19" t="s">
        <v>3</v>
      </c>
      <c r="C7" s="20">
        <v>9463</v>
      </c>
      <c r="D7" s="20">
        <v>10163.02716734694</v>
      </c>
      <c r="E7" s="79">
        <v>10755.294193177378</v>
      </c>
      <c r="F7" s="22" t="s">
        <v>236</v>
      </c>
      <c r="G7" s="23">
        <v>13.656284404283838</v>
      </c>
      <c r="H7" s="24">
        <v>5.8276635108616972</v>
      </c>
    </row>
    <row r="8" spans="1:9" x14ac:dyDescent="0.25">
      <c r="A8" s="199"/>
      <c r="B8" s="25" t="s">
        <v>237</v>
      </c>
      <c r="C8" s="26">
        <v>7122</v>
      </c>
      <c r="D8" s="26">
        <v>7540.1393879673469</v>
      </c>
      <c r="E8" s="26">
        <v>8017.5373224489795</v>
      </c>
      <c r="F8" s="27"/>
      <c r="G8" s="28">
        <v>12.574239293021321</v>
      </c>
      <c r="H8" s="29">
        <v>6.3314205469924048</v>
      </c>
    </row>
    <row r="9" spans="1:9" x14ac:dyDescent="0.25">
      <c r="A9" s="30" t="s">
        <v>9</v>
      </c>
      <c r="B9" s="31" t="s">
        <v>3</v>
      </c>
      <c r="C9" s="20">
        <v>8892</v>
      </c>
      <c r="D9" s="20">
        <v>9762.3385142857151</v>
      </c>
      <c r="E9" s="21">
        <v>10381.42438772188</v>
      </c>
      <c r="F9" s="22" t="s">
        <v>236</v>
      </c>
      <c r="G9" s="32">
        <v>16.750161805239316</v>
      </c>
      <c r="H9" s="33">
        <v>6.3415735126396839</v>
      </c>
    </row>
    <row r="10" spans="1:9" x14ac:dyDescent="0.25">
      <c r="A10" s="34"/>
      <c r="B10" s="25" t="s">
        <v>237</v>
      </c>
      <c r="C10" s="26">
        <v>6637</v>
      </c>
      <c r="D10" s="26">
        <v>7225.0244033142853</v>
      </c>
      <c r="E10" s="26">
        <v>7704.9157714285711</v>
      </c>
      <c r="F10" s="27"/>
      <c r="G10" s="35">
        <v>16.090338578101111</v>
      </c>
      <c r="H10" s="29">
        <v>6.6420726259990062</v>
      </c>
    </row>
    <row r="11" spans="1:9" x14ac:dyDescent="0.25">
      <c r="A11" s="30" t="s">
        <v>46</v>
      </c>
      <c r="B11" s="31" t="s">
        <v>3</v>
      </c>
      <c r="C11" s="20">
        <v>536</v>
      </c>
      <c r="D11" s="20">
        <v>400.6886530612245</v>
      </c>
      <c r="E11" s="21">
        <v>381.39320911673781</v>
      </c>
      <c r="F11" s="22" t="s">
        <v>236</v>
      </c>
      <c r="G11" s="37">
        <v>-28.844550537922061</v>
      </c>
      <c r="H11" s="33">
        <v>-4.8155703429760877</v>
      </c>
    </row>
    <row r="12" spans="1:9" ht="14.3" thickBot="1" x14ac:dyDescent="0.3">
      <c r="A12" s="56"/>
      <c r="B12" s="42" t="s">
        <v>237</v>
      </c>
      <c r="C12" s="43">
        <v>485</v>
      </c>
      <c r="D12" s="43">
        <v>315.11498465306119</v>
      </c>
      <c r="E12" s="43">
        <v>313.62155102040816</v>
      </c>
      <c r="F12" s="44"/>
      <c r="G12" s="57">
        <v>-35.33576267620451</v>
      </c>
      <c r="H12" s="46">
        <v>-0.47393291509042967</v>
      </c>
    </row>
    <row r="13" spans="1:9" x14ac:dyDescent="0.25">
      <c r="A13" s="58"/>
      <c r="B13" s="58"/>
      <c r="C13" s="21"/>
      <c r="D13" s="21"/>
      <c r="E13" s="21"/>
      <c r="F13" s="59"/>
      <c r="G13" s="38"/>
      <c r="H13" s="60"/>
      <c r="I13" s="61"/>
    </row>
    <row r="14" spans="1:9" x14ac:dyDescent="0.25">
      <c r="A14" s="58"/>
      <c r="B14" s="62"/>
      <c r="C14" s="21"/>
      <c r="D14" s="21"/>
      <c r="E14" s="21"/>
      <c r="F14" s="63"/>
      <c r="G14" s="38"/>
      <c r="H14" s="60"/>
      <c r="I14" s="61"/>
    </row>
    <row r="15" spans="1:9" x14ac:dyDescent="0.25">
      <c r="A15" s="58"/>
      <c r="B15" s="58"/>
      <c r="C15" s="21"/>
      <c r="D15" s="21"/>
      <c r="E15" s="21"/>
      <c r="F15" s="59"/>
      <c r="G15" s="38"/>
      <c r="H15" s="60"/>
      <c r="I15" s="61"/>
    </row>
    <row r="16" spans="1:9" x14ac:dyDescent="0.25">
      <c r="A16" s="58"/>
      <c r="B16" s="62"/>
      <c r="C16" s="21"/>
      <c r="D16" s="21"/>
      <c r="E16" s="21"/>
      <c r="F16" s="63"/>
      <c r="G16" s="38"/>
      <c r="H16" s="60"/>
      <c r="I16" s="61"/>
    </row>
    <row r="17" spans="1:9" x14ac:dyDescent="0.25">
      <c r="A17" s="58"/>
      <c r="B17" s="58"/>
      <c r="C17" s="21"/>
      <c r="D17" s="21"/>
      <c r="E17" s="21"/>
      <c r="F17" s="59"/>
      <c r="G17" s="38"/>
      <c r="H17" s="60"/>
      <c r="I17" s="61"/>
    </row>
    <row r="18" spans="1:9" x14ac:dyDescent="0.25">
      <c r="A18" s="58"/>
      <c r="B18" s="62"/>
      <c r="C18" s="21"/>
      <c r="D18" s="21"/>
      <c r="E18" s="21"/>
      <c r="F18" s="63"/>
      <c r="G18" s="38"/>
      <c r="H18" s="60"/>
      <c r="I18" s="61"/>
    </row>
    <row r="19" spans="1:9" x14ac:dyDescent="0.25">
      <c r="A19" s="58"/>
      <c r="B19" s="58"/>
      <c r="C19" s="21"/>
      <c r="D19" s="21"/>
      <c r="E19" s="21"/>
      <c r="F19" s="59"/>
      <c r="G19" s="38"/>
      <c r="H19" s="60"/>
      <c r="I19" s="61"/>
    </row>
    <row r="20" spans="1:9" x14ac:dyDescent="0.25">
      <c r="A20" s="58"/>
      <c r="B20" s="62"/>
      <c r="C20" s="21"/>
      <c r="D20" s="21"/>
      <c r="E20" s="21"/>
      <c r="F20" s="63"/>
      <c r="G20" s="38"/>
      <c r="H20" s="60"/>
      <c r="I20" s="61"/>
    </row>
    <row r="21" spans="1:9" x14ac:dyDescent="0.25">
      <c r="A21" s="58"/>
      <c r="B21" s="58"/>
      <c r="C21" s="21"/>
      <c r="D21" s="21"/>
      <c r="E21" s="21"/>
      <c r="F21" s="59"/>
      <c r="G21" s="38"/>
      <c r="H21" s="60"/>
      <c r="I21" s="61"/>
    </row>
    <row r="22" spans="1:9" x14ac:dyDescent="0.25">
      <c r="A22" s="58"/>
      <c r="B22" s="62"/>
      <c r="C22" s="21"/>
      <c r="D22" s="21"/>
      <c r="E22" s="21"/>
      <c r="F22" s="63"/>
      <c r="G22" s="38"/>
      <c r="H22" s="60"/>
      <c r="I22" s="61"/>
    </row>
    <row r="23" spans="1:9" x14ac:dyDescent="0.25">
      <c r="A23" s="58"/>
      <c r="B23" s="58"/>
      <c r="C23" s="21"/>
      <c r="D23" s="21"/>
      <c r="E23" s="21"/>
      <c r="F23" s="59"/>
      <c r="G23" s="38"/>
      <c r="H23" s="60"/>
      <c r="I23" s="61"/>
    </row>
    <row r="24" spans="1:9" x14ac:dyDescent="0.25">
      <c r="A24" s="58"/>
      <c r="B24" s="62"/>
      <c r="C24" s="21"/>
      <c r="D24" s="21"/>
      <c r="E24" s="21"/>
      <c r="F24" s="63"/>
      <c r="G24" s="38"/>
      <c r="H24" s="60"/>
      <c r="I24" s="61"/>
    </row>
    <row r="25" spans="1:9" x14ac:dyDescent="0.25">
      <c r="A25" s="58"/>
      <c r="B25" s="58"/>
      <c r="C25" s="21"/>
      <c r="D25" s="21"/>
      <c r="E25" s="21"/>
      <c r="F25" s="59"/>
      <c r="G25" s="38"/>
      <c r="H25" s="60"/>
      <c r="I25" s="61"/>
    </row>
    <row r="26" spans="1:9" x14ac:dyDescent="0.25">
      <c r="A26" s="58"/>
      <c r="B26" s="62"/>
      <c r="C26" s="21"/>
      <c r="D26" s="21"/>
      <c r="E26" s="21"/>
      <c r="F26" s="63"/>
      <c r="G26" s="38"/>
      <c r="H26" s="60"/>
      <c r="I26" s="61"/>
    </row>
    <row r="27" spans="1:9" x14ac:dyDescent="0.25">
      <c r="A27" s="58"/>
      <c r="B27" s="58"/>
      <c r="C27" s="21"/>
      <c r="D27" s="21"/>
      <c r="E27" s="21"/>
      <c r="F27" s="59"/>
      <c r="G27" s="38"/>
      <c r="H27" s="60"/>
      <c r="I27" s="61"/>
    </row>
    <row r="28" spans="1:9" x14ac:dyDescent="0.25">
      <c r="A28" s="58"/>
      <c r="B28" s="62"/>
      <c r="C28" s="21"/>
      <c r="D28" s="21"/>
      <c r="E28" s="21"/>
      <c r="F28" s="63"/>
      <c r="G28" s="38"/>
      <c r="H28" s="60"/>
      <c r="I28" s="61"/>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3" thickBot="1" x14ac:dyDescent="0.3">
      <c r="A32" s="4" t="s">
        <v>59</v>
      </c>
      <c r="B32" s="5"/>
      <c r="C32" s="5"/>
      <c r="D32" s="5"/>
      <c r="E32" s="5"/>
      <c r="F32" s="5"/>
      <c r="G32" s="5"/>
      <c r="H32" s="6"/>
    </row>
    <row r="33" spans="1:9" x14ac:dyDescent="0.25">
      <c r="A33" s="7"/>
      <c r="B33" s="8"/>
      <c r="C33" s="202" t="s">
        <v>16</v>
      </c>
      <c r="D33" s="196"/>
      <c r="E33" s="196"/>
      <c r="F33" s="203"/>
      <c r="G33" s="196" t="s">
        <v>1</v>
      </c>
      <c r="H33" s="197"/>
    </row>
    <row r="34" spans="1:9" x14ac:dyDescent="0.25">
      <c r="A34" s="12"/>
      <c r="B34" s="13"/>
      <c r="C34" s="14" t="s">
        <v>231</v>
      </c>
      <c r="D34" s="15" t="s">
        <v>232</v>
      </c>
      <c r="E34" s="15" t="s">
        <v>233</v>
      </c>
      <c r="F34" s="16"/>
      <c r="G34" s="17" t="s">
        <v>234</v>
      </c>
      <c r="H34" s="18" t="s">
        <v>235</v>
      </c>
    </row>
    <row r="35" spans="1:9" ht="12.75" customHeight="1" x14ac:dyDescent="0.25">
      <c r="A35" s="198" t="s">
        <v>58</v>
      </c>
      <c r="B35" s="19" t="s">
        <v>3</v>
      </c>
      <c r="C35" s="80">
        <v>1966.9772293059964</v>
      </c>
      <c r="D35" s="80">
        <v>1881.4521582849889</v>
      </c>
      <c r="E35" s="81">
        <v>1807.422126978925</v>
      </c>
      <c r="F35" s="22" t="s">
        <v>236</v>
      </c>
      <c r="G35" s="23">
        <v>-8.1116903617316893</v>
      </c>
      <c r="H35" s="24">
        <v>-3.9347283416201719</v>
      </c>
    </row>
    <row r="36" spans="1:9" ht="12.75" customHeight="1" x14ac:dyDescent="0.25">
      <c r="A36" s="199"/>
      <c r="B36" s="25" t="s">
        <v>237</v>
      </c>
      <c r="C36" s="82">
        <v>1493.2386639074216</v>
      </c>
      <c r="D36" s="82">
        <v>1415.3484573075714</v>
      </c>
      <c r="E36" s="82">
        <v>1363.7842889789267</v>
      </c>
      <c r="F36" s="27"/>
      <c r="G36" s="28">
        <v>-8.6693693417866768</v>
      </c>
      <c r="H36" s="29">
        <v>-3.6432136596761211</v>
      </c>
    </row>
    <row r="37" spans="1:9" x14ac:dyDescent="0.25">
      <c r="A37" s="30" t="s">
        <v>9</v>
      </c>
      <c r="B37" s="31" t="s">
        <v>3</v>
      </c>
      <c r="C37" s="80">
        <v>1431.049438327829</v>
      </c>
      <c r="D37" s="80">
        <v>1384.7574451491389</v>
      </c>
      <c r="E37" s="83">
        <v>1394.9262112188424</v>
      </c>
      <c r="F37" s="22" t="s">
        <v>236</v>
      </c>
      <c r="G37" s="32">
        <v>-2.5242473209867882</v>
      </c>
      <c r="H37" s="33">
        <v>0.73433554051831607</v>
      </c>
    </row>
    <row r="38" spans="1:9" x14ac:dyDescent="0.25">
      <c r="A38" s="34"/>
      <c r="B38" s="25" t="s">
        <v>237</v>
      </c>
      <c r="C38" s="82">
        <v>1081.6531635337878</v>
      </c>
      <c r="D38" s="82">
        <v>1019.8873680400307</v>
      </c>
      <c r="E38" s="82">
        <v>1036.2130378325578</v>
      </c>
      <c r="F38" s="27"/>
      <c r="G38" s="35">
        <v>-4.2009885639104567</v>
      </c>
      <c r="H38" s="29">
        <v>1.6007326204952506</v>
      </c>
    </row>
    <row r="39" spans="1:9" x14ac:dyDescent="0.25">
      <c r="A39" s="30" t="s">
        <v>46</v>
      </c>
      <c r="B39" s="31" t="s">
        <v>3</v>
      </c>
      <c r="C39" s="80">
        <v>535.92779097816708</v>
      </c>
      <c r="D39" s="80">
        <v>496.69471313584984</v>
      </c>
      <c r="E39" s="83">
        <v>416.46134470567569</v>
      </c>
      <c r="F39" s="22" t="s">
        <v>236</v>
      </c>
      <c r="G39" s="37">
        <v>-22.291519171723323</v>
      </c>
      <c r="H39" s="33">
        <v>-16.153457306526576</v>
      </c>
    </row>
    <row r="40" spans="1:9" ht="14.3" thickBot="1" x14ac:dyDescent="0.3">
      <c r="A40" s="56"/>
      <c r="B40" s="42" t="s">
        <v>237</v>
      </c>
      <c r="C40" s="86">
        <v>411.58550037363369</v>
      </c>
      <c r="D40" s="86">
        <v>395.46108926754039</v>
      </c>
      <c r="E40" s="86">
        <v>327.5712511463687</v>
      </c>
      <c r="F40" s="44"/>
      <c r="G40" s="57">
        <v>-20.412344251922775</v>
      </c>
      <c r="H40" s="46">
        <v>-17.167261195511031</v>
      </c>
    </row>
    <row r="41" spans="1:9" x14ac:dyDescent="0.25">
      <c r="A41" s="58"/>
      <c r="B41" s="58"/>
      <c r="C41" s="21"/>
      <c r="D41" s="21"/>
      <c r="E41" s="21"/>
      <c r="F41" s="59"/>
      <c r="G41" s="38"/>
      <c r="H41" s="60"/>
      <c r="I41" s="61"/>
    </row>
    <row r="42" spans="1:9" x14ac:dyDescent="0.25">
      <c r="A42" s="58"/>
      <c r="B42" s="62"/>
      <c r="C42" s="21"/>
      <c r="D42" s="21"/>
      <c r="E42" s="21"/>
      <c r="F42" s="63"/>
      <c r="G42" s="38"/>
      <c r="H42" s="60"/>
      <c r="I42" s="61"/>
    </row>
    <row r="43" spans="1:9" x14ac:dyDescent="0.25">
      <c r="A43" s="58"/>
      <c r="B43" s="58"/>
      <c r="C43" s="21"/>
      <c r="D43" s="21"/>
      <c r="E43" s="21"/>
      <c r="F43" s="59"/>
      <c r="G43" s="38"/>
      <c r="H43" s="60"/>
      <c r="I43" s="61"/>
    </row>
    <row r="44" spans="1:9" x14ac:dyDescent="0.25">
      <c r="A44" s="58"/>
      <c r="B44" s="62"/>
      <c r="C44" s="21"/>
      <c r="D44" s="21"/>
      <c r="E44" s="21"/>
      <c r="F44" s="63"/>
      <c r="G44" s="38"/>
      <c r="H44" s="60"/>
      <c r="I44" s="61"/>
    </row>
    <row r="45" spans="1:9" x14ac:dyDescent="0.25">
      <c r="A45" s="58"/>
      <c r="B45" s="58"/>
      <c r="C45" s="21"/>
      <c r="D45" s="21"/>
      <c r="E45" s="21"/>
      <c r="F45" s="59"/>
      <c r="G45" s="38"/>
      <c r="H45" s="60"/>
      <c r="I45" s="61"/>
    </row>
    <row r="46" spans="1:9" x14ac:dyDescent="0.25">
      <c r="A46" s="58"/>
      <c r="B46" s="62"/>
      <c r="C46" s="21"/>
      <c r="D46" s="21"/>
      <c r="E46" s="21"/>
      <c r="F46" s="63"/>
      <c r="G46" s="38"/>
      <c r="H46" s="60"/>
      <c r="I46" s="61"/>
    </row>
    <row r="47" spans="1:9" x14ac:dyDescent="0.25">
      <c r="A47" s="58"/>
      <c r="B47" s="58"/>
      <c r="C47" s="21"/>
      <c r="D47" s="21"/>
      <c r="E47" s="21"/>
      <c r="F47" s="59"/>
      <c r="G47" s="38"/>
      <c r="H47" s="60"/>
      <c r="I47" s="61"/>
    </row>
    <row r="48" spans="1:9" x14ac:dyDescent="0.25">
      <c r="A48" s="58"/>
      <c r="B48" s="62"/>
      <c r="C48" s="21"/>
      <c r="D48" s="21"/>
      <c r="E48" s="21"/>
      <c r="F48" s="63"/>
      <c r="G48" s="38"/>
      <c r="H48" s="60"/>
      <c r="I48" s="61"/>
    </row>
    <row r="49" spans="1:9" x14ac:dyDescent="0.25">
      <c r="A49" s="58"/>
      <c r="B49" s="58"/>
      <c r="C49" s="21"/>
      <c r="D49" s="21"/>
      <c r="E49" s="97"/>
      <c r="F49" s="59"/>
      <c r="G49" s="38"/>
      <c r="H49" s="60"/>
      <c r="I49" s="61"/>
    </row>
    <row r="50" spans="1:9" x14ac:dyDescent="0.25">
      <c r="A50" s="58"/>
      <c r="B50" s="62"/>
      <c r="C50" s="21"/>
      <c r="D50" s="21"/>
      <c r="E50" s="21"/>
      <c r="F50" s="63"/>
      <c r="G50" s="38"/>
      <c r="H50" s="60"/>
      <c r="I50" s="61"/>
    </row>
    <row r="51" spans="1:9" x14ac:dyDescent="0.25">
      <c r="A51" s="58"/>
      <c r="B51" s="58"/>
      <c r="C51" s="21"/>
      <c r="D51" s="21"/>
      <c r="E51" s="21"/>
      <c r="F51" s="59"/>
      <c r="G51" s="38"/>
      <c r="H51" s="60"/>
      <c r="I51" s="61"/>
    </row>
    <row r="52" spans="1:9" x14ac:dyDescent="0.25">
      <c r="A52" s="58"/>
      <c r="B52" s="62"/>
      <c r="C52" s="21"/>
      <c r="D52" s="21"/>
      <c r="E52" s="21"/>
      <c r="F52" s="63"/>
      <c r="G52" s="38"/>
      <c r="H52" s="60"/>
      <c r="I52" s="61"/>
    </row>
    <row r="53" spans="1:9" x14ac:dyDescent="0.25">
      <c r="A53" s="58"/>
      <c r="B53" s="58"/>
      <c r="C53" s="21"/>
      <c r="D53" s="21"/>
      <c r="E53" s="21"/>
      <c r="F53" s="59"/>
      <c r="G53" s="38"/>
      <c r="H53" s="60"/>
      <c r="I53" s="61"/>
    </row>
    <row r="54" spans="1:9" x14ac:dyDescent="0.25">
      <c r="A54" s="58"/>
      <c r="B54" s="62"/>
      <c r="C54" s="21"/>
      <c r="D54" s="21"/>
      <c r="E54" s="21"/>
      <c r="F54" s="63"/>
      <c r="G54" s="38"/>
      <c r="H54" s="60"/>
      <c r="I54" s="61"/>
    </row>
    <row r="55" spans="1:9" x14ac:dyDescent="0.25">
      <c r="A55" s="58"/>
      <c r="B55" s="58"/>
      <c r="C55" s="21"/>
      <c r="D55" s="21"/>
      <c r="E55" s="21"/>
      <c r="F55" s="59"/>
      <c r="G55" s="38"/>
      <c r="H55" s="60"/>
      <c r="I55" s="61"/>
    </row>
    <row r="56" spans="1:9" x14ac:dyDescent="0.25">
      <c r="A56" s="58"/>
      <c r="B56" s="62"/>
      <c r="C56" s="21"/>
      <c r="D56" s="21"/>
      <c r="E56" s="21"/>
      <c r="F56" s="63"/>
      <c r="G56" s="38"/>
      <c r="H56" s="60"/>
      <c r="I56" s="61"/>
    </row>
    <row r="57" spans="1:9" x14ac:dyDescent="0.25">
      <c r="A57" s="58"/>
      <c r="B57" s="58"/>
      <c r="C57" s="64"/>
      <c r="D57" s="64"/>
      <c r="E57" s="21"/>
      <c r="F57" s="59"/>
      <c r="G57" s="38"/>
      <c r="H57" s="60"/>
      <c r="I57" s="61"/>
    </row>
    <row r="58" spans="1:9" x14ac:dyDescent="0.25">
      <c r="A58" s="65"/>
      <c r="B58" s="62"/>
      <c r="C58" s="21"/>
      <c r="D58" s="21"/>
      <c r="E58" s="21"/>
      <c r="F58" s="63"/>
      <c r="G58" s="38"/>
      <c r="H58" s="60"/>
      <c r="I58" s="61"/>
    </row>
    <row r="59" spans="1:9" x14ac:dyDescent="0.25">
      <c r="A59" s="47"/>
      <c r="B59" s="48"/>
      <c r="C59" s="49"/>
      <c r="D59" s="49"/>
      <c r="E59" s="49"/>
      <c r="F59" s="49"/>
      <c r="G59" s="50"/>
      <c r="H59" s="51"/>
    </row>
    <row r="60" spans="1:9" x14ac:dyDescent="0.25">
      <c r="A60" s="52"/>
      <c r="B60" s="52"/>
      <c r="C60" s="52"/>
      <c r="D60" s="52"/>
      <c r="E60" s="52"/>
      <c r="F60" s="52"/>
      <c r="G60" s="52"/>
      <c r="H60" s="52"/>
    </row>
    <row r="61" spans="1:9" ht="12.75" customHeight="1" x14ac:dyDescent="0.25">
      <c r="A61" s="54" t="s">
        <v>238</v>
      </c>
      <c r="H61" s="193">
        <v>18</v>
      </c>
    </row>
    <row r="62" spans="1:9" ht="12.75" customHeight="1" x14ac:dyDescent="0.25">
      <c r="A62" s="54" t="s">
        <v>239</v>
      </c>
      <c r="H62" s="194"/>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43" display="Tilbake til innholdsfortegnelsen" xr:uid="{00000000-0004-0000-0D00-000000000000}"/>
  </hyperlinks>
  <pageMargins left="0.78740157480314965" right="0.78740157480314965" top="0.98425196850393704" bottom="0.19685039370078741" header="3.937007874015748E-2" footer="3.937007874015748E-2"/>
  <pageSetup paperSize="9" scale="95"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68"/>
  <sheetViews>
    <sheetView showGridLines="0" showRowColHeaders="0" zoomScale="80" zoomScaleNormal="80" workbookViewId="0"/>
  </sheetViews>
  <sheetFormatPr defaultColWidth="11.5" defaultRowHeight="13.6" x14ac:dyDescent="0.25"/>
  <cols>
    <col min="1" max="1" width="26.375" style="1" customWidth="1"/>
    <col min="2" max="2" width="8.125" style="1" customWidth="1"/>
    <col min="3" max="4" width="10.5" style="1" customWidth="1"/>
    <col min="5" max="5" width="9.875" style="1" customWidth="1"/>
    <col min="6" max="6" width="1.625" style="1" customWidth="1"/>
    <col min="7" max="7" width="7.625" style="1" customWidth="1"/>
    <col min="8" max="8" width="8.875" style="1" customWidth="1"/>
    <col min="9" max="16384" width="11.5" style="1"/>
  </cols>
  <sheetData>
    <row r="1" spans="1:9" ht="5.3" customHeight="1" x14ac:dyDescent="0.25"/>
    <row r="2" spans="1:9" x14ac:dyDescent="0.25">
      <c r="A2" s="92" t="s">
        <v>0</v>
      </c>
      <c r="B2" s="2"/>
      <c r="C2" s="2"/>
      <c r="D2" s="2"/>
      <c r="E2" s="2"/>
      <c r="F2" s="2"/>
      <c r="G2" s="2"/>
    </row>
    <row r="3" spans="1:9" ht="5.95" customHeight="1" x14ac:dyDescent="0.25">
      <c r="A3" s="3"/>
      <c r="B3" s="2"/>
      <c r="C3" s="2"/>
      <c r="D3" s="2"/>
      <c r="E3" s="2"/>
      <c r="F3" s="2"/>
      <c r="G3" s="2"/>
    </row>
    <row r="4" spans="1:9" ht="16.3" thickBot="1" x14ac:dyDescent="0.3">
      <c r="A4" s="4" t="s">
        <v>152</v>
      </c>
      <c r="B4" s="5"/>
      <c r="C4" s="5"/>
      <c r="D4" s="5"/>
      <c r="E4" s="5"/>
      <c r="F4" s="5"/>
      <c r="G4" s="5"/>
      <c r="H4" s="6"/>
    </row>
    <row r="5" spans="1:9" x14ac:dyDescent="0.25">
      <c r="A5" s="7"/>
      <c r="B5" s="8"/>
      <c r="C5" s="9"/>
      <c r="D5" s="8"/>
      <c r="E5" s="10"/>
      <c r="F5" s="11"/>
      <c r="G5" s="196" t="s">
        <v>1</v>
      </c>
      <c r="H5" s="197"/>
    </row>
    <row r="6" spans="1:9" x14ac:dyDescent="0.25">
      <c r="A6" s="12"/>
      <c r="B6" s="13"/>
      <c r="C6" s="14" t="s">
        <v>231</v>
      </c>
      <c r="D6" s="15" t="s">
        <v>232</v>
      </c>
      <c r="E6" s="15" t="s">
        <v>233</v>
      </c>
      <c r="F6" s="16"/>
      <c r="G6" s="17" t="s">
        <v>234</v>
      </c>
      <c r="H6" s="18" t="s">
        <v>235</v>
      </c>
    </row>
    <row r="7" spans="1:9" x14ac:dyDescent="0.25">
      <c r="A7" s="198" t="s">
        <v>57</v>
      </c>
      <c r="B7" s="19" t="s">
        <v>3</v>
      </c>
      <c r="C7" s="20">
        <v>4979</v>
      </c>
      <c r="D7" s="20">
        <v>4569</v>
      </c>
      <c r="E7" s="79">
        <v>4347.3847204285521</v>
      </c>
      <c r="F7" s="22" t="s">
        <v>236</v>
      </c>
      <c r="G7" s="23">
        <v>-12.685585048633214</v>
      </c>
      <c r="H7" s="24">
        <v>-4.850411021480582</v>
      </c>
    </row>
    <row r="8" spans="1:9" x14ac:dyDescent="0.25">
      <c r="A8" s="199"/>
      <c r="B8" s="25" t="s">
        <v>237</v>
      </c>
      <c r="C8" s="26">
        <v>3634</v>
      </c>
      <c r="D8" s="26">
        <v>3697.4073881142858</v>
      </c>
      <c r="E8" s="26">
        <v>3395</v>
      </c>
      <c r="F8" s="27"/>
      <c r="G8" s="28">
        <v>-6.5767749036873937</v>
      </c>
      <c r="H8" s="29">
        <v>-8.1789036579092453</v>
      </c>
    </row>
    <row r="9" spans="1:9" x14ac:dyDescent="0.25">
      <c r="A9" s="30" t="s">
        <v>9</v>
      </c>
      <c r="B9" s="31" t="s">
        <v>3</v>
      </c>
      <c r="C9" s="20">
        <v>1520</v>
      </c>
      <c r="D9" s="20">
        <v>1831</v>
      </c>
      <c r="E9" s="21">
        <v>1776.4220283352897</v>
      </c>
      <c r="F9" s="22" t="s">
        <v>236</v>
      </c>
      <c r="G9" s="32">
        <v>16.869870285216422</v>
      </c>
      <c r="H9" s="33">
        <v>-2.9807739849650545</v>
      </c>
    </row>
    <row r="10" spans="1:9" x14ac:dyDescent="0.25">
      <c r="A10" s="34"/>
      <c r="B10" s="25" t="s">
        <v>237</v>
      </c>
      <c r="C10" s="26">
        <v>1268</v>
      </c>
      <c r="D10" s="26">
        <v>1327.9382587428572</v>
      </c>
      <c r="E10" s="26">
        <v>1347</v>
      </c>
      <c r="F10" s="27"/>
      <c r="G10" s="35">
        <v>6.2302839116719326</v>
      </c>
      <c r="H10" s="29">
        <v>1.4354388189092617</v>
      </c>
    </row>
    <row r="11" spans="1:9" x14ac:dyDescent="0.25">
      <c r="A11" s="30" t="s">
        <v>46</v>
      </c>
      <c r="B11" s="31" t="s">
        <v>3</v>
      </c>
      <c r="C11" s="20">
        <v>2367</v>
      </c>
      <c r="D11" s="20">
        <v>1853</v>
      </c>
      <c r="E11" s="21">
        <v>1712.4488370419967</v>
      </c>
      <c r="F11" s="22" t="s">
        <v>236</v>
      </c>
      <c r="G11" s="37">
        <v>-27.653196576172519</v>
      </c>
      <c r="H11" s="33">
        <v>-7.5850600624934259</v>
      </c>
    </row>
    <row r="12" spans="1:9" x14ac:dyDescent="0.25">
      <c r="A12" s="34"/>
      <c r="B12" s="25" t="s">
        <v>237</v>
      </c>
      <c r="C12" s="26">
        <v>1509</v>
      </c>
      <c r="D12" s="26">
        <v>1473.4691293714286</v>
      </c>
      <c r="E12" s="26">
        <v>1258</v>
      </c>
      <c r="F12" s="27"/>
      <c r="G12" s="28">
        <v>-16.633532140490388</v>
      </c>
      <c r="H12" s="29">
        <v>-14.623253726621755</v>
      </c>
    </row>
    <row r="13" spans="1:9" x14ac:dyDescent="0.25">
      <c r="A13" s="30" t="s">
        <v>24</v>
      </c>
      <c r="B13" s="31" t="s">
        <v>3</v>
      </c>
      <c r="C13" s="20">
        <v>1332</v>
      </c>
      <c r="D13" s="20">
        <v>927</v>
      </c>
      <c r="E13" s="21">
        <v>960.13863172392325</v>
      </c>
      <c r="F13" s="22" t="s">
        <v>236</v>
      </c>
      <c r="G13" s="23">
        <v>-27.917520140846605</v>
      </c>
      <c r="H13" s="24">
        <v>3.574825428686438</v>
      </c>
    </row>
    <row r="14" spans="1:9" ht="14.3" thickBot="1" x14ac:dyDescent="0.3">
      <c r="A14" s="56"/>
      <c r="B14" s="42" t="s">
        <v>237</v>
      </c>
      <c r="C14" s="43">
        <v>863</v>
      </c>
      <c r="D14" s="43">
        <v>905.2345646857143</v>
      </c>
      <c r="E14" s="43">
        <v>802</v>
      </c>
      <c r="F14" s="44"/>
      <c r="G14" s="57">
        <v>-7.0683661645422973</v>
      </c>
      <c r="H14" s="46">
        <v>-11.404178398949668</v>
      </c>
    </row>
    <row r="15" spans="1:9" x14ac:dyDescent="0.25">
      <c r="A15" s="58"/>
      <c r="B15" s="62"/>
      <c r="C15" s="21"/>
      <c r="D15" s="21"/>
      <c r="E15" s="21"/>
      <c r="F15" s="63"/>
      <c r="G15" s="38"/>
      <c r="H15" s="60"/>
      <c r="I15" s="61"/>
    </row>
    <row r="16" spans="1:9" x14ac:dyDescent="0.25">
      <c r="A16" s="58"/>
      <c r="B16" s="62"/>
      <c r="C16" s="21"/>
      <c r="D16" s="21"/>
      <c r="E16" s="21"/>
      <c r="F16" s="63"/>
      <c r="G16" s="38"/>
      <c r="H16" s="60"/>
      <c r="I16" s="61"/>
    </row>
    <row r="17" spans="1:9" x14ac:dyDescent="0.25">
      <c r="A17" s="58"/>
      <c r="B17" s="62"/>
      <c r="C17" s="21"/>
      <c r="D17" s="21"/>
      <c r="E17" s="21"/>
      <c r="F17" s="63"/>
      <c r="G17" s="38"/>
      <c r="H17" s="60"/>
      <c r="I17" s="61"/>
    </row>
    <row r="18" spans="1:9" x14ac:dyDescent="0.25">
      <c r="A18" s="58"/>
      <c r="B18" s="62"/>
      <c r="C18" s="21"/>
      <c r="D18" s="21"/>
      <c r="E18" s="21"/>
      <c r="F18" s="63"/>
      <c r="G18" s="38"/>
      <c r="H18" s="60"/>
      <c r="I18" s="61"/>
    </row>
    <row r="19" spans="1:9" x14ac:dyDescent="0.25">
      <c r="A19" s="58"/>
      <c r="B19" s="62"/>
      <c r="C19" s="21"/>
      <c r="D19" s="21"/>
      <c r="E19" s="21"/>
      <c r="F19" s="63"/>
      <c r="G19" s="38"/>
      <c r="H19" s="60"/>
      <c r="I19" s="61"/>
    </row>
    <row r="20" spans="1:9" x14ac:dyDescent="0.25">
      <c r="A20" s="58"/>
      <c r="B20" s="62"/>
      <c r="C20" s="21"/>
      <c r="D20" s="21"/>
      <c r="E20" s="21"/>
      <c r="F20" s="63"/>
      <c r="G20" s="38"/>
      <c r="H20" s="60"/>
      <c r="I20" s="61"/>
    </row>
    <row r="21" spans="1:9" x14ac:dyDescent="0.25">
      <c r="A21" s="58"/>
      <c r="B21" s="58"/>
      <c r="C21" s="21"/>
      <c r="D21" s="21"/>
      <c r="E21" s="21"/>
      <c r="F21" s="59"/>
      <c r="G21" s="38"/>
      <c r="H21" s="60"/>
      <c r="I21" s="61"/>
    </row>
    <row r="22" spans="1:9" x14ac:dyDescent="0.25">
      <c r="A22" s="58"/>
      <c r="B22" s="62"/>
      <c r="C22" s="21"/>
      <c r="D22" s="21"/>
      <c r="E22" s="21"/>
      <c r="F22" s="63"/>
      <c r="G22" s="38"/>
      <c r="H22" s="60"/>
      <c r="I22" s="61"/>
    </row>
    <row r="23" spans="1:9" x14ac:dyDescent="0.25">
      <c r="A23" s="58"/>
      <c r="B23" s="58"/>
      <c r="C23" s="21"/>
      <c r="D23" s="21"/>
      <c r="E23" s="21"/>
      <c r="F23" s="59"/>
      <c r="G23" s="38"/>
      <c r="H23" s="60"/>
      <c r="I23" s="61"/>
    </row>
    <row r="24" spans="1:9" x14ac:dyDescent="0.25">
      <c r="A24" s="58"/>
      <c r="B24" s="62"/>
      <c r="C24" s="21"/>
      <c r="D24" s="21"/>
      <c r="E24" s="21"/>
      <c r="F24" s="63"/>
      <c r="G24" s="38"/>
      <c r="H24" s="60"/>
      <c r="I24" s="61"/>
    </row>
    <row r="25" spans="1:9" x14ac:dyDescent="0.25">
      <c r="A25" s="58"/>
      <c r="B25" s="58"/>
      <c r="C25" s="21"/>
      <c r="D25" s="21"/>
      <c r="E25" s="21"/>
      <c r="F25" s="59"/>
      <c r="G25" s="38"/>
      <c r="H25" s="60"/>
      <c r="I25" s="61"/>
    </row>
    <row r="26" spans="1:9" x14ac:dyDescent="0.25">
      <c r="A26" s="58"/>
      <c r="B26" s="62"/>
      <c r="C26" s="21"/>
      <c r="D26" s="21"/>
      <c r="E26" s="21"/>
      <c r="F26" s="63"/>
      <c r="G26" s="38"/>
      <c r="H26" s="60"/>
      <c r="I26" s="61"/>
    </row>
    <row r="27" spans="1:9" x14ac:dyDescent="0.25">
      <c r="A27" s="58"/>
      <c r="B27" s="58"/>
      <c r="C27" s="21"/>
      <c r="D27" s="21"/>
      <c r="E27" s="21"/>
      <c r="F27" s="59"/>
      <c r="G27" s="38"/>
      <c r="H27" s="60"/>
      <c r="I27" s="61"/>
    </row>
    <row r="28" spans="1:9" x14ac:dyDescent="0.25">
      <c r="A28" s="58"/>
      <c r="B28" s="62"/>
      <c r="C28" s="21"/>
      <c r="D28" s="21"/>
      <c r="E28" s="21"/>
      <c r="F28" s="63"/>
      <c r="G28" s="38"/>
      <c r="H28" s="60"/>
      <c r="I28" s="61"/>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3" thickBot="1" x14ac:dyDescent="0.3">
      <c r="A32" s="66" t="s">
        <v>73</v>
      </c>
      <c r="B32" s="5"/>
      <c r="C32" s="5"/>
      <c r="D32" s="5"/>
      <c r="E32" s="5"/>
      <c r="F32" s="5"/>
      <c r="G32" s="5"/>
      <c r="H32" s="6"/>
    </row>
    <row r="33" spans="1:9" x14ac:dyDescent="0.25">
      <c r="A33" s="7"/>
      <c r="B33" s="8"/>
      <c r="C33" s="202" t="s">
        <v>16</v>
      </c>
      <c r="D33" s="196"/>
      <c r="E33" s="196"/>
      <c r="F33" s="203"/>
      <c r="G33" s="196" t="s">
        <v>1</v>
      </c>
      <c r="H33" s="197"/>
    </row>
    <row r="34" spans="1:9" x14ac:dyDescent="0.25">
      <c r="A34" s="12"/>
      <c r="B34" s="13"/>
      <c r="C34" s="14" t="s">
        <v>231</v>
      </c>
      <c r="D34" s="15" t="s">
        <v>232</v>
      </c>
      <c r="E34" s="15" t="s">
        <v>233</v>
      </c>
      <c r="F34" s="16"/>
      <c r="G34" s="17" t="s">
        <v>234</v>
      </c>
      <c r="H34" s="18" t="s">
        <v>235</v>
      </c>
    </row>
    <row r="35" spans="1:9" ht="12.75" customHeight="1" x14ac:dyDescent="0.25">
      <c r="A35" s="198" t="s">
        <v>57</v>
      </c>
      <c r="B35" s="19" t="s">
        <v>3</v>
      </c>
      <c r="C35" s="80">
        <v>1986.7947992968457</v>
      </c>
      <c r="D35" s="80">
        <v>1779.098816144802</v>
      </c>
      <c r="E35" s="81">
        <v>1671.638492725082</v>
      </c>
      <c r="F35" s="22" t="s">
        <v>236</v>
      </c>
      <c r="G35" s="23">
        <v>-15.862549402852366</v>
      </c>
      <c r="H35" s="24">
        <v>-6.040154849441123</v>
      </c>
    </row>
    <row r="36" spans="1:9" ht="12.75" customHeight="1" x14ac:dyDescent="0.25">
      <c r="A36" s="199"/>
      <c r="B36" s="25" t="s">
        <v>237</v>
      </c>
      <c r="C36" s="82">
        <v>1556.1120566629629</v>
      </c>
      <c r="D36" s="82">
        <v>1387.3754178750216</v>
      </c>
      <c r="E36" s="82">
        <v>1305.4693500324838</v>
      </c>
      <c r="F36" s="27"/>
      <c r="G36" s="28">
        <v>-16.106983141559553</v>
      </c>
      <c r="H36" s="29">
        <v>-5.9036701088440537</v>
      </c>
    </row>
    <row r="37" spans="1:9" x14ac:dyDescent="0.25">
      <c r="A37" s="30" t="s">
        <v>9</v>
      </c>
      <c r="B37" s="31" t="s">
        <v>3</v>
      </c>
      <c r="C37" s="80">
        <v>465.37443589771073</v>
      </c>
      <c r="D37" s="80">
        <v>382.74115421816049</v>
      </c>
      <c r="E37" s="83">
        <v>348.23426168788689</v>
      </c>
      <c r="F37" s="22" t="s">
        <v>236</v>
      </c>
      <c r="G37" s="32">
        <v>-25.171166521826578</v>
      </c>
      <c r="H37" s="33">
        <v>-9.0157256803915118</v>
      </c>
    </row>
    <row r="38" spans="1:9" x14ac:dyDescent="0.25">
      <c r="A38" s="34"/>
      <c r="B38" s="25" t="s">
        <v>237</v>
      </c>
      <c r="C38" s="82">
        <v>370.82146499055045</v>
      </c>
      <c r="D38" s="82">
        <v>299.58486111586774</v>
      </c>
      <c r="E38" s="82">
        <v>274.1911414087208</v>
      </c>
      <c r="F38" s="27"/>
      <c r="G38" s="35">
        <v>-26.05844933606852</v>
      </c>
      <c r="H38" s="29">
        <v>-8.476302711880237</v>
      </c>
    </row>
    <row r="39" spans="1:9" x14ac:dyDescent="0.25">
      <c r="A39" s="30" t="s">
        <v>46</v>
      </c>
      <c r="B39" s="31" t="s">
        <v>3</v>
      </c>
      <c r="C39" s="80">
        <v>1040.7448085113958</v>
      </c>
      <c r="D39" s="80">
        <v>974.59681551779806</v>
      </c>
      <c r="E39" s="83">
        <v>911.14571051956193</v>
      </c>
      <c r="F39" s="22" t="s">
        <v>236</v>
      </c>
      <c r="G39" s="37">
        <v>-12.452533698169759</v>
      </c>
      <c r="H39" s="33">
        <v>-6.5104978785021927</v>
      </c>
    </row>
    <row r="40" spans="1:9" x14ac:dyDescent="0.25">
      <c r="A40" s="34"/>
      <c r="B40" s="25" t="s">
        <v>237</v>
      </c>
      <c r="C40" s="82">
        <v>811.83848317106219</v>
      </c>
      <c r="D40" s="82">
        <v>763.59372797442848</v>
      </c>
      <c r="E40" s="82">
        <v>712.83158691164101</v>
      </c>
      <c r="F40" s="27"/>
      <c r="G40" s="28">
        <v>-12.195393333991461</v>
      </c>
      <c r="H40" s="29">
        <v>-6.6477943968245086</v>
      </c>
    </row>
    <row r="41" spans="1:9" x14ac:dyDescent="0.25">
      <c r="A41" s="30" t="s">
        <v>24</v>
      </c>
      <c r="B41" s="31" t="s">
        <v>3</v>
      </c>
      <c r="C41" s="80">
        <v>480.67555488773883</v>
      </c>
      <c r="D41" s="80">
        <v>421.7608464088438</v>
      </c>
      <c r="E41" s="83">
        <v>412.81251384075995</v>
      </c>
      <c r="F41" s="22" t="s">
        <v>236</v>
      </c>
      <c r="G41" s="23">
        <v>-14.118263422575794</v>
      </c>
      <c r="H41" s="24">
        <v>-2.121660330558413</v>
      </c>
    </row>
    <row r="42" spans="1:9" ht="14.3" thickBot="1" x14ac:dyDescent="0.3">
      <c r="A42" s="56"/>
      <c r="B42" s="42" t="s">
        <v>237</v>
      </c>
      <c r="C42" s="86">
        <v>373.45210850135078</v>
      </c>
      <c r="D42" s="86">
        <v>324.19682878472565</v>
      </c>
      <c r="E42" s="86">
        <v>318.44662171212201</v>
      </c>
      <c r="F42" s="44"/>
      <c r="G42" s="57">
        <v>-14.728926557668586</v>
      </c>
      <c r="H42" s="46">
        <v>-1.7736777667316233</v>
      </c>
    </row>
    <row r="43" spans="1:9" x14ac:dyDescent="0.25">
      <c r="A43" s="58"/>
      <c r="B43" s="62"/>
      <c r="C43" s="21"/>
      <c r="D43" s="21"/>
      <c r="E43" s="21"/>
      <c r="F43" s="63"/>
      <c r="G43" s="38"/>
      <c r="H43" s="60"/>
    </row>
    <row r="44" spans="1:9" x14ac:dyDescent="0.25">
      <c r="A44" s="58"/>
      <c r="B44" s="62"/>
      <c r="C44" s="21"/>
      <c r="D44" s="21"/>
      <c r="E44" s="21"/>
      <c r="F44" s="63"/>
      <c r="G44" s="38"/>
      <c r="H44" s="60"/>
    </row>
    <row r="45" spans="1:9" x14ac:dyDescent="0.25">
      <c r="A45" s="58"/>
      <c r="B45" s="62"/>
      <c r="C45" s="21"/>
      <c r="D45" s="21"/>
      <c r="E45" s="21"/>
      <c r="F45" s="63"/>
      <c r="G45" s="38"/>
      <c r="H45" s="60"/>
    </row>
    <row r="46" spans="1:9" x14ac:dyDescent="0.25">
      <c r="A46" s="58"/>
      <c r="B46" s="62"/>
      <c r="C46" s="21"/>
      <c r="D46" s="21"/>
      <c r="E46" s="21"/>
      <c r="F46" s="63"/>
      <c r="G46" s="38"/>
      <c r="H46" s="60"/>
    </row>
    <row r="47" spans="1:9" x14ac:dyDescent="0.25">
      <c r="A47" s="58"/>
      <c r="B47" s="62"/>
      <c r="C47" s="21"/>
      <c r="D47" s="21"/>
      <c r="E47" s="21"/>
      <c r="F47" s="63"/>
      <c r="G47" s="38"/>
      <c r="H47" s="60"/>
      <c r="I47" s="61"/>
    </row>
    <row r="48" spans="1:9" x14ac:dyDescent="0.25">
      <c r="A48" s="58"/>
      <c r="B48" s="62"/>
      <c r="C48" s="21"/>
      <c r="D48" s="21"/>
      <c r="E48" s="21"/>
      <c r="F48" s="63"/>
      <c r="G48" s="38"/>
      <c r="H48" s="60"/>
      <c r="I48" s="61"/>
    </row>
    <row r="49" spans="1:9" x14ac:dyDescent="0.25">
      <c r="A49" s="58"/>
      <c r="B49" s="58"/>
      <c r="C49" s="21"/>
      <c r="D49" s="21"/>
      <c r="E49" s="97"/>
      <c r="F49" s="59"/>
      <c r="G49" s="38"/>
      <c r="H49" s="60"/>
      <c r="I49" s="61"/>
    </row>
    <row r="50" spans="1:9" x14ac:dyDescent="0.25">
      <c r="A50" s="58"/>
      <c r="B50" s="62"/>
      <c r="C50" s="21"/>
      <c r="D50" s="21"/>
      <c r="E50" s="21"/>
      <c r="F50" s="63"/>
      <c r="G50" s="38"/>
      <c r="H50" s="60"/>
      <c r="I50" s="61"/>
    </row>
    <row r="51" spans="1:9" x14ac:dyDescent="0.25">
      <c r="A51" s="58"/>
      <c r="B51" s="58"/>
      <c r="C51" s="21"/>
      <c r="D51" s="21"/>
      <c r="E51" s="21"/>
      <c r="F51" s="59"/>
      <c r="G51" s="38"/>
      <c r="H51" s="60"/>
      <c r="I51" s="61"/>
    </row>
    <row r="52" spans="1:9" x14ac:dyDescent="0.25">
      <c r="A52" s="58"/>
      <c r="B52" s="62"/>
      <c r="C52" s="21"/>
      <c r="D52" s="21"/>
      <c r="E52" s="21"/>
      <c r="F52" s="63"/>
      <c r="G52" s="38"/>
      <c r="H52" s="60"/>
      <c r="I52" s="61"/>
    </row>
    <row r="53" spans="1:9" x14ac:dyDescent="0.25">
      <c r="A53" s="58"/>
      <c r="B53" s="58"/>
      <c r="C53" s="21"/>
      <c r="D53" s="21"/>
      <c r="E53" s="21"/>
      <c r="F53" s="59"/>
      <c r="G53" s="38"/>
      <c r="H53" s="60"/>
      <c r="I53" s="61"/>
    </row>
    <row r="54" spans="1:9" x14ac:dyDescent="0.25">
      <c r="A54" s="58"/>
      <c r="B54" s="62"/>
      <c r="C54" s="21"/>
      <c r="D54" s="21"/>
      <c r="E54" s="21"/>
      <c r="F54" s="63"/>
      <c r="G54" s="38"/>
      <c r="H54" s="60"/>
      <c r="I54" s="61"/>
    </row>
    <row r="55" spans="1:9" x14ac:dyDescent="0.25">
      <c r="A55" s="58"/>
      <c r="B55" s="58"/>
      <c r="C55" s="21"/>
      <c r="D55" s="21"/>
      <c r="E55" s="21"/>
      <c r="F55" s="59"/>
      <c r="G55" s="38"/>
      <c r="H55" s="60"/>
      <c r="I55" s="61"/>
    </row>
    <row r="56" spans="1:9" x14ac:dyDescent="0.25">
      <c r="A56" s="58"/>
      <c r="B56" s="62"/>
      <c r="C56" s="21"/>
      <c r="D56" s="21"/>
      <c r="E56" s="21"/>
      <c r="F56" s="63"/>
      <c r="G56" s="38"/>
      <c r="H56" s="60"/>
      <c r="I56" s="61"/>
    </row>
    <row r="57" spans="1:9" x14ac:dyDescent="0.25">
      <c r="A57" s="58"/>
      <c r="B57" s="58"/>
      <c r="C57" s="64"/>
      <c r="D57" s="64"/>
      <c r="E57" s="21"/>
      <c r="F57" s="59"/>
      <c r="G57" s="38"/>
      <c r="H57" s="60"/>
      <c r="I57" s="61"/>
    </row>
    <row r="58" spans="1:9" x14ac:dyDescent="0.25">
      <c r="A58" s="65"/>
      <c r="B58" s="62"/>
      <c r="C58" s="21"/>
      <c r="D58" s="21"/>
      <c r="E58" s="21"/>
      <c r="F58" s="63"/>
      <c r="G58" s="38"/>
      <c r="H58" s="60"/>
      <c r="I58" s="61"/>
    </row>
    <row r="59" spans="1:9" x14ac:dyDescent="0.25">
      <c r="A59" s="47"/>
      <c r="B59" s="48"/>
      <c r="C59" s="49"/>
      <c r="D59" s="49"/>
      <c r="E59" s="49"/>
      <c r="F59" s="49"/>
      <c r="G59" s="50"/>
      <c r="H59" s="51"/>
    </row>
    <row r="60" spans="1:9" x14ac:dyDescent="0.25">
      <c r="A60" s="52"/>
      <c r="B60" s="52"/>
      <c r="C60" s="52"/>
      <c r="D60" s="52"/>
      <c r="E60" s="52"/>
      <c r="F60" s="52"/>
      <c r="G60" s="52"/>
      <c r="H60" s="52"/>
    </row>
    <row r="61" spans="1:9" ht="12.75" customHeight="1" x14ac:dyDescent="0.25">
      <c r="A61" s="54" t="s">
        <v>238</v>
      </c>
      <c r="G61" s="53"/>
      <c r="H61" s="201">
        <v>19</v>
      </c>
    </row>
    <row r="62" spans="1:9" ht="12.75" customHeight="1" x14ac:dyDescent="0.25">
      <c r="A62" s="54" t="s">
        <v>239</v>
      </c>
      <c r="G62" s="53"/>
      <c r="H62" s="194"/>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45" display="Tilbake til innholdsfortegnelsen" xr:uid="{00000000-0004-0000-0E00-000000000000}"/>
  </hyperlinks>
  <pageMargins left="0.78740157480314965" right="0.78740157480314965" top="0.98425196850393704" bottom="0.19685039370078741" header="3.937007874015748E-2" footer="3.937007874015748E-2"/>
  <pageSetup paperSize="9" scale="95"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68"/>
  <sheetViews>
    <sheetView showGridLines="0" showRowColHeaders="0" zoomScale="80" zoomScaleNormal="80" workbookViewId="0"/>
  </sheetViews>
  <sheetFormatPr defaultColWidth="11.5" defaultRowHeight="13.6" x14ac:dyDescent="0.25"/>
  <cols>
    <col min="1" max="1" width="26.375" style="1" customWidth="1"/>
    <col min="2" max="2" width="8.125" style="1" customWidth="1"/>
    <col min="3" max="4" width="10.5" style="1" customWidth="1"/>
    <col min="5" max="5" width="9.875" style="1" customWidth="1"/>
    <col min="6" max="6" width="1.625" style="1" customWidth="1"/>
    <col min="7" max="7" width="7.625" style="1" customWidth="1"/>
    <col min="8" max="8" width="8.875" style="1" customWidth="1"/>
    <col min="9" max="16384" width="11.5" style="1"/>
  </cols>
  <sheetData>
    <row r="1" spans="1:9" ht="5.3" customHeight="1" x14ac:dyDescent="0.25"/>
    <row r="2" spans="1:9" x14ac:dyDescent="0.25">
      <c r="A2" s="92" t="s">
        <v>0</v>
      </c>
      <c r="B2" s="2"/>
      <c r="C2" s="2"/>
      <c r="D2" s="2"/>
      <c r="E2" s="2"/>
      <c r="F2" s="2"/>
      <c r="G2" s="2"/>
    </row>
    <row r="3" spans="1:9" ht="5.95" customHeight="1" x14ac:dyDescent="0.25">
      <c r="A3" s="3"/>
      <c r="B3" s="2"/>
      <c r="C3" s="2"/>
      <c r="D3" s="2"/>
      <c r="E3" s="2"/>
      <c r="F3" s="2"/>
      <c r="G3" s="2"/>
    </row>
    <row r="4" spans="1:9" ht="16.3" thickBot="1" x14ac:dyDescent="0.3">
      <c r="A4" s="4" t="s">
        <v>153</v>
      </c>
      <c r="B4" s="5"/>
      <c r="C4" s="5"/>
      <c r="D4" s="5"/>
      <c r="E4" s="5"/>
      <c r="F4" s="5"/>
      <c r="G4" s="5"/>
      <c r="H4" s="6"/>
    </row>
    <row r="5" spans="1:9" x14ac:dyDescent="0.25">
      <c r="A5" s="7"/>
      <c r="B5" s="8"/>
      <c r="C5" s="9"/>
      <c r="D5" s="8"/>
      <c r="E5" s="10"/>
      <c r="F5" s="11"/>
      <c r="G5" s="196" t="s">
        <v>1</v>
      </c>
      <c r="H5" s="197"/>
    </row>
    <row r="6" spans="1:9" x14ac:dyDescent="0.25">
      <c r="A6" s="12"/>
      <c r="B6" s="13"/>
      <c r="C6" s="14" t="s">
        <v>231</v>
      </c>
      <c r="D6" s="15" t="s">
        <v>232</v>
      </c>
      <c r="E6" s="15" t="s">
        <v>233</v>
      </c>
      <c r="F6" s="16"/>
      <c r="G6" s="17" t="s">
        <v>234</v>
      </c>
      <c r="H6" s="18" t="s">
        <v>235</v>
      </c>
    </row>
    <row r="7" spans="1:9" ht="12.75" customHeight="1" x14ac:dyDescent="0.25">
      <c r="A7" s="198" t="s">
        <v>60</v>
      </c>
      <c r="B7" s="19" t="s">
        <v>3</v>
      </c>
      <c r="C7" s="20">
        <v>25480.007092866668</v>
      </c>
      <c r="D7" s="20">
        <v>23196.559999999998</v>
      </c>
      <c r="E7" s="79">
        <v>22745.376012462788</v>
      </c>
      <c r="F7" s="22" t="s">
        <v>236</v>
      </c>
      <c r="G7" s="23">
        <v>-10.732458081495039</v>
      </c>
      <c r="H7" s="24">
        <v>-1.9450469704870414</v>
      </c>
    </row>
    <row r="8" spans="1:9" ht="13.6" customHeight="1" thickBot="1" x14ac:dyDescent="0.3">
      <c r="A8" s="204"/>
      <c r="B8" s="42" t="s">
        <v>237</v>
      </c>
      <c r="C8" s="43">
        <v>19570.410680575002</v>
      </c>
      <c r="D8" s="43">
        <v>17298.663604999998</v>
      </c>
      <c r="E8" s="43">
        <v>17128.16</v>
      </c>
      <c r="F8" s="44"/>
      <c r="G8" s="57">
        <v>-12.479302148723463</v>
      </c>
      <c r="H8" s="46">
        <v>-0.98564611055108742</v>
      </c>
    </row>
    <row r="9" spans="1:9" x14ac:dyDescent="0.25">
      <c r="A9" s="58"/>
      <c r="B9" s="58"/>
      <c r="C9" s="21"/>
      <c r="D9" s="21"/>
      <c r="E9" s="21"/>
      <c r="F9" s="59"/>
      <c r="G9" s="38"/>
      <c r="H9" s="60"/>
      <c r="I9" s="61"/>
    </row>
    <row r="10" spans="1:9" x14ac:dyDescent="0.25">
      <c r="A10" s="58"/>
      <c r="B10" s="58"/>
      <c r="C10" s="21"/>
      <c r="D10" s="21"/>
      <c r="E10" s="21"/>
      <c r="F10" s="59"/>
      <c r="G10" s="38"/>
      <c r="H10" s="60"/>
      <c r="I10" s="61"/>
    </row>
    <row r="11" spans="1:9" x14ac:dyDescent="0.25">
      <c r="A11" s="58"/>
      <c r="B11" s="58"/>
      <c r="C11" s="21"/>
      <c r="D11" s="21"/>
      <c r="E11" s="21"/>
      <c r="F11" s="59"/>
      <c r="G11" s="38"/>
      <c r="H11" s="60"/>
      <c r="I11" s="61"/>
    </row>
    <row r="12" spans="1:9" x14ac:dyDescent="0.25">
      <c r="A12" s="58"/>
      <c r="B12" s="58"/>
      <c r="C12" s="21"/>
      <c r="D12" s="21"/>
      <c r="E12" s="21"/>
      <c r="F12" s="59"/>
      <c r="G12" s="38"/>
      <c r="H12" s="60"/>
      <c r="I12" s="61"/>
    </row>
    <row r="13" spans="1:9" x14ac:dyDescent="0.25">
      <c r="A13" s="58"/>
      <c r="B13" s="58"/>
      <c r="C13" s="21"/>
      <c r="D13" s="21"/>
      <c r="E13" s="21"/>
      <c r="F13" s="59"/>
      <c r="G13" s="38"/>
      <c r="H13" s="60"/>
      <c r="I13" s="61"/>
    </row>
    <row r="14" spans="1:9" x14ac:dyDescent="0.25">
      <c r="A14" s="58"/>
      <c r="B14" s="62"/>
      <c r="C14" s="21"/>
      <c r="D14" s="21"/>
      <c r="E14" s="21"/>
      <c r="F14" s="63"/>
      <c r="G14" s="38"/>
      <c r="H14" s="60"/>
      <c r="I14" s="61"/>
    </row>
    <row r="15" spans="1:9" x14ac:dyDescent="0.25">
      <c r="A15" s="58"/>
      <c r="B15" s="58"/>
      <c r="C15" s="21"/>
      <c r="D15" s="21"/>
      <c r="E15" s="21"/>
      <c r="F15" s="59"/>
      <c r="G15" s="38"/>
      <c r="H15" s="60"/>
      <c r="I15" s="61"/>
    </row>
    <row r="16" spans="1:9" x14ac:dyDescent="0.25">
      <c r="A16" s="58"/>
      <c r="B16" s="62"/>
      <c r="C16" s="21"/>
      <c r="D16" s="21"/>
      <c r="E16" s="21"/>
      <c r="F16" s="63"/>
      <c r="G16" s="38"/>
      <c r="H16" s="60"/>
      <c r="I16" s="61"/>
    </row>
    <row r="17" spans="1:9" x14ac:dyDescent="0.25">
      <c r="A17" s="58"/>
      <c r="B17" s="58"/>
      <c r="C17" s="21"/>
      <c r="D17" s="21"/>
      <c r="E17" s="21"/>
      <c r="F17" s="59"/>
      <c r="G17" s="38"/>
      <c r="H17" s="60"/>
      <c r="I17" s="61"/>
    </row>
    <row r="18" spans="1:9" x14ac:dyDescent="0.25">
      <c r="A18" s="58"/>
      <c r="B18" s="62"/>
      <c r="C18" s="21"/>
      <c r="D18" s="21"/>
      <c r="E18" s="21"/>
      <c r="F18" s="63"/>
      <c r="G18" s="38"/>
      <c r="H18" s="60"/>
      <c r="I18" s="61"/>
    </row>
    <row r="19" spans="1:9" x14ac:dyDescent="0.25">
      <c r="A19" s="58"/>
      <c r="B19" s="58"/>
      <c r="C19" s="21"/>
      <c r="D19" s="21"/>
      <c r="E19" s="21"/>
      <c r="F19" s="59"/>
      <c r="G19" s="38"/>
      <c r="H19" s="60"/>
      <c r="I19" s="61"/>
    </row>
    <row r="20" spans="1:9" x14ac:dyDescent="0.25">
      <c r="A20" s="58"/>
      <c r="B20" s="62"/>
      <c r="C20" s="21"/>
      <c r="D20" s="21"/>
      <c r="E20" s="21"/>
      <c r="F20" s="63"/>
      <c r="G20" s="38"/>
      <c r="H20" s="60"/>
      <c r="I20" s="61"/>
    </row>
    <row r="21" spans="1:9" x14ac:dyDescent="0.25">
      <c r="A21" s="58"/>
      <c r="B21" s="58"/>
      <c r="C21" s="21"/>
      <c r="D21" s="21"/>
      <c r="E21" s="21"/>
      <c r="F21" s="59"/>
      <c r="G21" s="38"/>
      <c r="H21" s="60"/>
      <c r="I21" s="61"/>
    </row>
    <row r="22" spans="1:9" x14ac:dyDescent="0.25">
      <c r="A22" s="58"/>
      <c r="B22" s="62"/>
      <c r="C22" s="21"/>
      <c r="D22" s="21"/>
      <c r="E22" s="21"/>
      <c r="F22" s="63"/>
      <c r="G22" s="38"/>
      <c r="H22" s="60"/>
      <c r="I22" s="61"/>
    </row>
    <row r="23" spans="1:9" x14ac:dyDescent="0.25">
      <c r="A23" s="58"/>
      <c r="B23" s="58"/>
      <c r="C23" s="21"/>
      <c r="D23" s="21"/>
      <c r="E23" s="21"/>
      <c r="F23" s="59"/>
      <c r="G23" s="38"/>
      <c r="H23" s="60"/>
      <c r="I23" s="61"/>
    </row>
    <row r="24" spans="1:9" x14ac:dyDescent="0.25">
      <c r="A24" s="58"/>
      <c r="B24" s="62"/>
      <c r="C24" s="21"/>
      <c r="D24" s="21"/>
      <c r="E24" s="21"/>
      <c r="F24" s="63"/>
      <c r="G24" s="38"/>
      <c r="H24" s="60"/>
      <c r="I24" s="61"/>
    </row>
    <row r="25" spans="1:9" x14ac:dyDescent="0.25">
      <c r="A25" s="58"/>
      <c r="B25" s="58"/>
      <c r="C25" s="21"/>
      <c r="D25" s="21"/>
      <c r="E25" s="21"/>
      <c r="F25" s="59"/>
      <c r="G25" s="38"/>
      <c r="H25" s="60"/>
      <c r="I25" s="61"/>
    </row>
    <row r="26" spans="1:9" x14ac:dyDescent="0.25">
      <c r="A26" s="58"/>
      <c r="B26" s="62"/>
      <c r="C26" s="21"/>
      <c r="D26" s="21"/>
      <c r="E26" s="21"/>
      <c r="F26" s="63"/>
      <c r="G26" s="38"/>
      <c r="H26" s="60"/>
      <c r="I26" s="61"/>
    </row>
    <row r="27" spans="1:9" x14ac:dyDescent="0.25">
      <c r="A27" s="58"/>
      <c r="B27" s="58"/>
      <c r="C27" s="21"/>
      <c r="D27" s="21"/>
      <c r="E27" s="21"/>
      <c r="F27" s="59"/>
      <c r="G27" s="38"/>
      <c r="H27" s="60"/>
      <c r="I27" s="61"/>
    </row>
    <row r="28" spans="1:9" x14ac:dyDescent="0.25">
      <c r="A28" s="58"/>
      <c r="B28" s="62"/>
      <c r="C28" s="21"/>
      <c r="D28" s="21"/>
      <c r="E28" s="21"/>
      <c r="F28" s="63"/>
      <c r="G28" s="38"/>
      <c r="H28" s="60"/>
      <c r="I28" s="61"/>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3" thickBot="1" x14ac:dyDescent="0.3">
      <c r="A32" s="4" t="s">
        <v>72</v>
      </c>
      <c r="B32" s="5"/>
      <c r="C32" s="5"/>
      <c r="D32" s="5"/>
      <c r="E32" s="5"/>
      <c r="F32" s="5"/>
      <c r="G32" s="5"/>
      <c r="H32" s="6"/>
    </row>
    <row r="33" spans="1:9" x14ac:dyDescent="0.25">
      <c r="A33" s="7"/>
      <c r="B33" s="8"/>
      <c r="C33" s="202" t="s">
        <v>16</v>
      </c>
      <c r="D33" s="196"/>
      <c r="E33" s="196"/>
      <c r="F33" s="203"/>
      <c r="G33" s="196" t="s">
        <v>1</v>
      </c>
      <c r="H33" s="197"/>
    </row>
    <row r="34" spans="1:9" x14ac:dyDescent="0.25">
      <c r="A34" s="12"/>
      <c r="B34" s="13"/>
      <c r="C34" s="14" t="s">
        <v>231</v>
      </c>
      <c r="D34" s="15" t="s">
        <v>232</v>
      </c>
      <c r="E34" s="15" t="s">
        <v>233</v>
      </c>
      <c r="F34" s="16"/>
      <c r="G34" s="17" t="s">
        <v>234</v>
      </c>
      <c r="H34" s="18" t="s">
        <v>235</v>
      </c>
    </row>
    <row r="35" spans="1:9" ht="12.75" customHeight="1" x14ac:dyDescent="0.25">
      <c r="A35" s="198" t="s">
        <v>60</v>
      </c>
      <c r="B35" s="19" t="s">
        <v>3</v>
      </c>
      <c r="C35" s="80">
        <v>507.42304330194474</v>
      </c>
      <c r="D35" s="80">
        <v>531.97624857374751</v>
      </c>
      <c r="E35" s="81">
        <v>544.92382743569374</v>
      </c>
      <c r="F35" s="22" t="s">
        <v>236</v>
      </c>
      <c r="G35" s="23">
        <v>7.3904377479037606</v>
      </c>
      <c r="H35" s="24">
        <v>2.4338640863495868</v>
      </c>
    </row>
    <row r="36" spans="1:9" ht="12.75" customHeight="1" thickBot="1" x14ac:dyDescent="0.3">
      <c r="A36" s="204"/>
      <c r="B36" s="42" t="s">
        <v>237</v>
      </c>
      <c r="C36" s="86">
        <v>397.93455426671102</v>
      </c>
      <c r="D36" s="86">
        <v>401.15314912061177</v>
      </c>
      <c r="E36" s="86">
        <v>416.25019085927653</v>
      </c>
      <c r="F36" s="44"/>
      <c r="G36" s="57">
        <v>4.6026755897879781</v>
      </c>
      <c r="H36" s="46">
        <v>3.7634109994548766</v>
      </c>
    </row>
    <row r="37" spans="1:9" x14ac:dyDescent="0.25">
      <c r="A37" s="58"/>
      <c r="B37" s="58"/>
      <c r="C37" s="21"/>
      <c r="D37" s="21"/>
      <c r="E37" s="21"/>
      <c r="F37" s="59"/>
      <c r="G37" s="38"/>
      <c r="H37" s="60"/>
      <c r="I37" s="61"/>
    </row>
    <row r="38" spans="1:9" x14ac:dyDescent="0.25">
      <c r="A38" s="58"/>
      <c r="B38" s="62"/>
      <c r="C38" s="21"/>
      <c r="D38" s="21"/>
      <c r="E38" s="21"/>
      <c r="F38" s="63"/>
      <c r="G38" s="38"/>
      <c r="H38" s="60"/>
      <c r="I38" s="61"/>
    </row>
    <row r="39" spans="1:9" x14ac:dyDescent="0.25">
      <c r="A39" s="58"/>
      <c r="B39" s="58"/>
      <c r="C39" s="21"/>
      <c r="D39" s="21"/>
      <c r="E39" s="21"/>
      <c r="F39" s="59"/>
      <c r="G39" s="38"/>
      <c r="H39" s="60"/>
      <c r="I39" s="61"/>
    </row>
    <row r="40" spans="1:9" x14ac:dyDescent="0.25">
      <c r="A40" s="58"/>
      <c r="B40" s="62"/>
      <c r="C40" s="21"/>
      <c r="D40" s="21"/>
      <c r="E40" s="21"/>
      <c r="F40" s="63"/>
      <c r="G40" s="38"/>
      <c r="H40" s="60"/>
      <c r="I40" s="61"/>
    </row>
    <row r="41" spans="1:9" x14ac:dyDescent="0.25">
      <c r="A41" s="58"/>
      <c r="B41" s="58"/>
      <c r="C41" s="21"/>
      <c r="D41" s="21"/>
      <c r="E41" s="21"/>
      <c r="F41" s="59"/>
      <c r="G41" s="38"/>
      <c r="H41" s="60"/>
      <c r="I41" s="61"/>
    </row>
    <row r="42" spans="1:9" x14ac:dyDescent="0.25">
      <c r="A42" s="58"/>
      <c r="B42" s="62"/>
      <c r="C42" s="21"/>
      <c r="D42" s="21"/>
      <c r="E42" s="21"/>
      <c r="F42" s="63"/>
      <c r="G42" s="38"/>
      <c r="H42" s="60"/>
      <c r="I42" s="61"/>
    </row>
    <row r="43" spans="1:9" x14ac:dyDescent="0.25">
      <c r="A43" s="58"/>
      <c r="B43" s="58"/>
      <c r="C43" s="21"/>
      <c r="D43" s="21"/>
      <c r="E43" s="21"/>
      <c r="F43" s="59"/>
      <c r="G43" s="38"/>
      <c r="H43" s="60"/>
      <c r="I43" s="61"/>
    </row>
    <row r="44" spans="1:9" x14ac:dyDescent="0.25">
      <c r="A44" s="58"/>
      <c r="B44" s="62"/>
      <c r="C44" s="21"/>
      <c r="D44" s="21"/>
      <c r="E44" s="21"/>
      <c r="F44" s="63"/>
      <c r="G44" s="38"/>
      <c r="H44" s="60"/>
      <c r="I44" s="61"/>
    </row>
    <row r="45" spans="1:9" x14ac:dyDescent="0.25">
      <c r="A45" s="58"/>
      <c r="B45" s="58"/>
      <c r="C45" s="21"/>
      <c r="D45" s="21"/>
      <c r="E45" s="21"/>
      <c r="F45" s="59"/>
      <c r="G45" s="38"/>
      <c r="H45" s="60"/>
      <c r="I45" s="61"/>
    </row>
    <row r="46" spans="1:9" x14ac:dyDescent="0.25">
      <c r="A46" s="58"/>
      <c r="B46" s="62"/>
      <c r="C46" s="21"/>
      <c r="D46" s="21"/>
      <c r="E46" s="21"/>
      <c r="F46" s="63"/>
      <c r="G46" s="38"/>
      <c r="H46" s="60"/>
      <c r="I46" s="61"/>
    </row>
    <row r="47" spans="1:9" x14ac:dyDescent="0.25">
      <c r="A47" s="58"/>
      <c r="B47" s="58"/>
      <c r="C47" s="21"/>
      <c r="D47" s="21"/>
      <c r="E47" s="21"/>
      <c r="F47" s="59"/>
      <c r="G47" s="38"/>
      <c r="H47" s="60"/>
      <c r="I47" s="61"/>
    </row>
    <row r="48" spans="1:9" x14ac:dyDescent="0.25">
      <c r="A48" s="58"/>
      <c r="B48" s="62"/>
      <c r="C48" s="21"/>
      <c r="D48" s="21"/>
      <c r="E48" s="21"/>
      <c r="F48" s="63"/>
      <c r="G48" s="38"/>
      <c r="H48" s="60"/>
      <c r="I48" s="61"/>
    </row>
    <row r="49" spans="1:9" x14ac:dyDescent="0.25">
      <c r="A49" s="58"/>
      <c r="B49" s="58"/>
      <c r="C49" s="21"/>
      <c r="D49" s="21"/>
      <c r="E49" s="97"/>
      <c r="F49" s="59"/>
      <c r="G49" s="38"/>
      <c r="H49" s="60"/>
      <c r="I49" s="61"/>
    </row>
    <row r="50" spans="1:9" x14ac:dyDescent="0.25">
      <c r="A50" s="58"/>
      <c r="B50" s="62"/>
      <c r="C50" s="21"/>
      <c r="D50" s="21"/>
      <c r="E50" s="21"/>
      <c r="F50" s="63"/>
      <c r="G50" s="38"/>
      <c r="H50" s="60"/>
      <c r="I50" s="61"/>
    </row>
    <row r="51" spans="1:9" x14ac:dyDescent="0.25">
      <c r="A51" s="58"/>
      <c r="B51" s="58"/>
      <c r="C51" s="21"/>
      <c r="D51" s="21"/>
      <c r="E51" s="21"/>
      <c r="F51" s="59"/>
      <c r="G51" s="38"/>
      <c r="H51" s="60"/>
      <c r="I51" s="61"/>
    </row>
    <row r="52" spans="1:9" x14ac:dyDescent="0.25">
      <c r="A52" s="58"/>
      <c r="B52" s="62"/>
      <c r="C52" s="21"/>
      <c r="D52" s="21"/>
      <c r="E52" s="21"/>
      <c r="F52" s="63"/>
      <c r="G52" s="38"/>
      <c r="H52" s="60"/>
      <c r="I52" s="61"/>
    </row>
    <row r="53" spans="1:9" x14ac:dyDescent="0.25">
      <c r="A53" s="58"/>
      <c r="B53" s="58"/>
      <c r="C53" s="21"/>
      <c r="D53" s="21"/>
      <c r="E53" s="21"/>
      <c r="F53" s="59"/>
      <c r="G53" s="38"/>
      <c r="H53" s="60"/>
      <c r="I53" s="61"/>
    </row>
    <row r="54" spans="1:9" x14ac:dyDescent="0.25">
      <c r="A54" s="58"/>
      <c r="B54" s="62"/>
      <c r="C54" s="21"/>
      <c r="D54" s="21"/>
      <c r="E54" s="21"/>
      <c r="F54" s="63"/>
      <c r="G54" s="38"/>
      <c r="H54" s="60"/>
      <c r="I54" s="61"/>
    </row>
    <row r="55" spans="1:9" x14ac:dyDescent="0.25">
      <c r="A55" s="58"/>
      <c r="B55" s="58"/>
      <c r="C55" s="21"/>
      <c r="D55" s="21"/>
      <c r="E55" s="21"/>
      <c r="F55" s="59"/>
      <c r="G55" s="38"/>
      <c r="H55" s="60"/>
      <c r="I55" s="61"/>
    </row>
    <row r="56" spans="1:9" x14ac:dyDescent="0.25">
      <c r="A56" s="58"/>
      <c r="B56" s="62"/>
      <c r="C56" s="21"/>
      <c r="D56" s="21"/>
      <c r="E56" s="21"/>
      <c r="F56" s="63"/>
      <c r="G56" s="38"/>
      <c r="H56" s="60"/>
      <c r="I56" s="61"/>
    </row>
    <row r="57" spans="1:9" x14ac:dyDescent="0.25">
      <c r="A57" s="58"/>
      <c r="B57" s="58"/>
      <c r="C57" s="64"/>
      <c r="D57" s="64"/>
      <c r="E57" s="21"/>
      <c r="F57" s="59"/>
      <c r="G57" s="38"/>
      <c r="H57" s="60"/>
      <c r="I57" s="61"/>
    </row>
    <row r="58" spans="1:9" x14ac:dyDescent="0.25">
      <c r="A58" s="65"/>
      <c r="B58" s="62"/>
      <c r="C58" s="21"/>
      <c r="D58" s="21"/>
      <c r="E58" s="21"/>
      <c r="F58" s="63"/>
      <c r="G58" s="38"/>
      <c r="H58" s="60"/>
      <c r="I58" s="61"/>
    </row>
    <row r="59" spans="1:9" x14ac:dyDescent="0.25">
      <c r="A59" s="47"/>
      <c r="B59" s="48"/>
      <c r="C59" s="49"/>
      <c r="D59" s="49"/>
      <c r="E59" s="49"/>
      <c r="F59" s="49"/>
      <c r="G59" s="50"/>
      <c r="H59" s="51"/>
    </row>
    <row r="60" spans="1:9" x14ac:dyDescent="0.25">
      <c r="A60" s="52"/>
      <c r="B60" s="52"/>
      <c r="C60" s="52"/>
      <c r="D60" s="52"/>
      <c r="E60" s="52"/>
      <c r="F60" s="52"/>
      <c r="G60" s="52"/>
      <c r="H60" s="52"/>
    </row>
    <row r="61" spans="1:9" ht="12.75" customHeight="1" x14ac:dyDescent="0.25">
      <c r="A61" s="54" t="s">
        <v>238</v>
      </c>
      <c r="H61" s="193">
        <v>20</v>
      </c>
    </row>
    <row r="62" spans="1:9" ht="12.75" customHeight="1" x14ac:dyDescent="0.25">
      <c r="A62" s="54" t="s">
        <v>239</v>
      </c>
      <c r="H62" s="194"/>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47" display="Tilbake til innholdsfortegnelsen" xr:uid="{00000000-0004-0000-0F00-000000000000}"/>
  </hyperlinks>
  <pageMargins left="0.78740157480314965" right="0.78740157480314965" top="0.98425196850393704" bottom="0.19685039370078741" header="3.937007874015748E-2" footer="3.937007874015748E-2"/>
  <pageSetup paperSize="9" scale="95"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68"/>
  <sheetViews>
    <sheetView showGridLines="0" showRowColHeaders="0" zoomScale="80" zoomScaleNormal="80" workbookViewId="0"/>
  </sheetViews>
  <sheetFormatPr defaultColWidth="11.5" defaultRowHeight="13.6" x14ac:dyDescent="0.25"/>
  <cols>
    <col min="1" max="1" width="26.375" style="116" customWidth="1"/>
    <col min="2" max="2" width="8.125" style="116" customWidth="1"/>
    <col min="3" max="4" width="10.5" style="116" customWidth="1"/>
    <col min="5" max="5" width="9.875" style="116" customWidth="1"/>
    <col min="6" max="6" width="1.625" style="116" customWidth="1"/>
    <col min="7" max="7" width="7.625" style="116" customWidth="1"/>
    <col min="8" max="8" width="8.875" style="116" customWidth="1"/>
    <col min="9" max="16384" width="11.5" style="116"/>
  </cols>
  <sheetData>
    <row r="1" spans="1:8" ht="5.3" customHeight="1" x14ac:dyDescent="0.25"/>
    <row r="2" spans="1:8" x14ac:dyDescent="0.25">
      <c r="A2" s="92" t="s">
        <v>0</v>
      </c>
      <c r="B2" s="117"/>
      <c r="C2" s="117"/>
      <c r="D2" s="117"/>
      <c r="E2" s="117"/>
      <c r="F2" s="117"/>
      <c r="G2" s="117"/>
    </row>
    <row r="3" spans="1:8" ht="5.95" customHeight="1" x14ac:dyDescent="0.25">
      <c r="A3" s="3"/>
      <c r="B3" s="117"/>
      <c r="C3" s="117"/>
      <c r="D3" s="117"/>
      <c r="E3" s="117"/>
      <c r="F3" s="117"/>
      <c r="G3" s="117"/>
    </row>
    <row r="4" spans="1:8" ht="16.3" thickBot="1" x14ac:dyDescent="0.3">
      <c r="A4" s="118" t="s">
        <v>212</v>
      </c>
      <c r="B4" s="119"/>
      <c r="C4" s="119"/>
      <c r="D4" s="119"/>
      <c r="E4" s="119"/>
      <c r="F4" s="119"/>
      <c r="G4" s="119"/>
      <c r="H4" s="120"/>
    </row>
    <row r="5" spans="1:8" x14ac:dyDescent="0.25">
      <c r="A5" s="121"/>
      <c r="B5" s="122"/>
      <c r="C5" s="123"/>
      <c r="D5" s="122"/>
      <c r="E5" s="124"/>
      <c r="F5" s="125"/>
      <c r="G5" s="207" t="s">
        <v>1</v>
      </c>
      <c r="H5" s="208"/>
    </row>
    <row r="6" spans="1:8" x14ac:dyDescent="0.25">
      <c r="A6" s="126"/>
      <c r="B6" s="127"/>
      <c r="C6" s="128" t="s">
        <v>231</v>
      </c>
      <c r="D6" s="129" t="s">
        <v>232</v>
      </c>
      <c r="E6" s="129" t="s">
        <v>233</v>
      </c>
      <c r="F6" s="130"/>
      <c r="G6" s="131" t="s">
        <v>234</v>
      </c>
      <c r="H6" s="132" t="s">
        <v>235</v>
      </c>
    </row>
    <row r="7" spans="1:8" ht="12.75" customHeight="1" x14ac:dyDescent="0.25">
      <c r="A7" s="209" t="s">
        <v>193</v>
      </c>
      <c r="B7" s="133" t="s">
        <v>3</v>
      </c>
      <c r="C7" s="20">
        <v>5258</v>
      </c>
      <c r="D7" s="20">
        <v>5464</v>
      </c>
      <c r="E7" s="79">
        <v>5558.6029570061446</v>
      </c>
      <c r="F7" s="22" t="s">
        <v>236</v>
      </c>
      <c r="G7" s="134">
        <v>5.7170589008395751</v>
      </c>
      <c r="H7" s="135">
        <v>1.7313864752222656</v>
      </c>
    </row>
    <row r="8" spans="1:8" ht="12.75" customHeight="1" x14ac:dyDescent="0.25">
      <c r="A8" s="210"/>
      <c r="B8" s="136" t="s">
        <v>237</v>
      </c>
      <c r="C8" s="26">
        <v>4014</v>
      </c>
      <c r="D8" s="26">
        <v>4209</v>
      </c>
      <c r="E8" s="26">
        <v>4269</v>
      </c>
      <c r="F8" s="27"/>
      <c r="G8" s="137">
        <v>6.3527653213751876</v>
      </c>
      <c r="H8" s="138">
        <v>1.42551674982181</v>
      </c>
    </row>
    <row r="9" spans="1:8" x14ac:dyDescent="0.25">
      <c r="A9" s="139" t="s">
        <v>194</v>
      </c>
      <c r="B9" s="140" t="s">
        <v>3</v>
      </c>
      <c r="C9" s="20">
        <v>1714</v>
      </c>
      <c r="D9" s="20">
        <v>1897</v>
      </c>
      <c r="E9" s="20">
        <v>1639.9436574270051</v>
      </c>
      <c r="F9" s="22" t="s">
        <v>236</v>
      </c>
      <c r="G9" s="141">
        <v>-4.3206734289962014</v>
      </c>
      <c r="H9" s="142">
        <v>-13.550676993832099</v>
      </c>
    </row>
    <row r="10" spans="1:8" x14ac:dyDescent="0.25">
      <c r="A10" s="143"/>
      <c r="B10" s="136" t="s">
        <v>237</v>
      </c>
      <c r="C10" s="26">
        <v>1294</v>
      </c>
      <c r="D10" s="26">
        <v>1413</v>
      </c>
      <c r="E10" s="26">
        <v>1227</v>
      </c>
      <c r="F10" s="27"/>
      <c r="G10" s="144">
        <v>-5.1777434312210175</v>
      </c>
      <c r="H10" s="138">
        <v>-13.163481953290869</v>
      </c>
    </row>
    <row r="11" spans="1:8" x14ac:dyDescent="0.25">
      <c r="A11" s="139" t="s">
        <v>195</v>
      </c>
      <c r="B11" s="140" t="s">
        <v>3</v>
      </c>
      <c r="C11" s="20">
        <v>344</v>
      </c>
      <c r="D11" s="20">
        <v>458</v>
      </c>
      <c r="E11" s="20">
        <v>501.1973633542483</v>
      </c>
      <c r="F11" s="22" t="s">
        <v>236</v>
      </c>
      <c r="G11" s="145">
        <v>45.696907951816343</v>
      </c>
      <c r="H11" s="142">
        <v>9.4317387236350072</v>
      </c>
    </row>
    <row r="12" spans="1:8" x14ac:dyDescent="0.25">
      <c r="A12" s="143"/>
      <c r="B12" s="136" t="s">
        <v>237</v>
      </c>
      <c r="C12" s="26">
        <v>262</v>
      </c>
      <c r="D12" s="26">
        <v>337</v>
      </c>
      <c r="E12" s="26">
        <v>373</v>
      </c>
      <c r="F12" s="27"/>
      <c r="G12" s="137">
        <v>42.36641221374046</v>
      </c>
      <c r="H12" s="138">
        <v>10.682492581602361</v>
      </c>
    </row>
    <row r="13" spans="1:8" x14ac:dyDescent="0.25">
      <c r="A13" s="139" t="s">
        <v>228</v>
      </c>
      <c r="B13" s="140" t="s">
        <v>3</v>
      </c>
      <c r="C13" s="20">
        <v>157</v>
      </c>
      <c r="D13" s="20">
        <v>120</v>
      </c>
      <c r="E13" s="20">
        <v>127.53631315630327</v>
      </c>
      <c r="F13" s="22" t="s">
        <v>236</v>
      </c>
      <c r="G13" s="134">
        <v>-18.766679518278167</v>
      </c>
      <c r="H13" s="135">
        <v>6.2802609635860449</v>
      </c>
    </row>
    <row r="14" spans="1:8" x14ac:dyDescent="0.25">
      <c r="A14" s="143"/>
      <c r="B14" s="136" t="s">
        <v>237</v>
      </c>
      <c r="C14" s="26">
        <v>141</v>
      </c>
      <c r="D14" s="26">
        <v>86</v>
      </c>
      <c r="E14" s="26">
        <v>98</v>
      </c>
      <c r="F14" s="27"/>
      <c r="G14" s="146">
        <v>-30.496453900709213</v>
      </c>
      <c r="H14" s="135">
        <v>13.95348837209302</v>
      </c>
    </row>
    <row r="15" spans="1:8" x14ac:dyDescent="0.25">
      <c r="A15" s="139" t="s">
        <v>196</v>
      </c>
      <c r="B15" s="140" t="s">
        <v>3</v>
      </c>
      <c r="C15" s="20">
        <v>1989</v>
      </c>
      <c r="D15" s="20">
        <v>2181</v>
      </c>
      <c r="E15" s="20">
        <v>2352.3098237071204</v>
      </c>
      <c r="F15" s="22" t="s">
        <v>236</v>
      </c>
      <c r="G15" s="145">
        <v>18.265953931981912</v>
      </c>
      <c r="H15" s="142">
        <v>7.8546457453975336</v>
      </c>
    </row>
    <row r="16" spans="1:8" x14ac:dyDescent="0.25">
      <c r="A16" s="143"/>
      <c r="B16" s="136" t="s">
        <v>237</v>
      </c>
      <c r="C16" s="26">
        <v>1507</v>
      </c>
      <c r="D16" s="26">
        <v>1641</v>
      </c>
      <c r="E16" s="26">
        <v>1774</v>
      </c>
      <c r="F16" s="27"/>
      <c r="G16" s="137">
        <v>17.717319177173181</v>
      </c>
      <c r="H16" s="138">
        <v>8.1048141377209078</v>
      </c>
    </row>
    <row r="17" spans="1:9" x14ac:dyDescent="0.25">
      <c r="A17" s="139" t="s">
        <v>197</v>
      </c>
      <c r="B17" s="140" t="s">
        <v>3</v>
      </c>
      <c r="C17" s="20">
        <v>385</v>
      </c>
      <c r="D17" s="20">
        <v>541</v>
      </c>
      <c r="E17" s="20">
        <v>482.27545375972335</v>
      </c>
      <c r="F17" s="22" t="s">
        <v>236</v>
      </c>
      <c r="G17" s="145">
        <v>25.266351625902161</v>
      </c>
      <c r="H17" s="142">
        <v>-10.854814462158345</v>
      </c>
    </row>
    <row r="18" spans="1:9" x14ac:dyDescent="0.25">
      <c r="A18" s="139"/>
      <c r="B18" s="136" t="s">
        <v>237</v>
      </c>
      <c r="C18" s="26">
        <v>286</v>
      </c>
      <c r="D18" s="26">
        <v>445</v>
      </c>
      <c r="E18" s="26">
        <v>383</v>
      </c>
      <c r="F18" s="27"/>
      <c r="G18" s="137">
        <v>33.91608391608392</v>
      </c>
      <c r="H18" s="138">
        <v>-13.932584269662911</v>
      </c>
    </row>
    <row r="19" spans="1:9" x14ac:dyDescent="0.25">
      <c r="A19" s="147" t="s">
        <v>198</v>
      </c>
      <c r="B19" s="140" t="s">
        <v>3</v>
      </c>
      <c r="C19" s="20">
        <v>33</v>
      </c>
      <c r="D19" s="20">
        <v>26</v>
      </c>
      <c r="E19" s="20">
        <v>34.647435897435898</v>
      </c>
      <c r="F19" s="22" t="s">
        <v>236</v>
      </c>
      <c r="G19" s="134">
        <v>4.9922299922299942</v>
      </c>
      <c r="H19" s="135">
        <v>33.259368836291912</v>
      </c>
    </row>
    <row r="20" spans="1:9" x14ac:dyDescent="0.25">
      <c r="A20" s="143"/>
      <c r="B20" s="136" t="s">
        <v>237</v>
      </c>
      <c r="C20" s="26">
        <v>26</v>
      </c>
      <c r="D20" s="26">
        <v>16</v>
      </c>
      <c r="E20" s="26">
        <v>23</v>
      </c>
      <c r="F20" s="27"/>
      <c r="G20" s="146">
        <v>-11.538461538461547</v>
      </c>
      <c r="H20" s="135">
        <v>43.75</v>
      </c>
    </row>
    <row r="21" spans="1:9" x14ac:dyDescent="0.25">
      <c r="A21" s="147" t="s">
        <v>199</v>
      </c>
      <c r="B21" s="140" t="s">
        <v>3</v>
      </c>
      <c r="C21" s="20">
        <v>19</v>
      </c>
      <c r="D21" s="20">
        <v>84</v>
      </c>
      <c r="E21" s="20">
        <v>59.410256410256409</v>
      </c>
      <c r="F21" s="22" t="s">
        <v>236</v>
      </c>
      <c r="G21" s="145">
        <v>212.68556005398113</v>
      </c>
      <c r="H21" s="142">
        <v>-29.273504273504287</v>
      </c>
    </row>
    <row r="22" spans="1:9" x14ac:dyDescent="0.25">
      <c r="A22" s="143"/>
      <c r="B22" s="136" t="s">
        <v>237</v>
      </c>
      <c r="C22" s="26">
        <v>13</v>
      </c>
      <c r="D22" s="26">
        <v>7</v>
      </c>
      <c r="E22" s="26">
        <v>7</v>
      </c>
      <c r="F22" s="27"/>
      <c r="G22" s="137">
        <v>-46.153846153846153</v>
      </c>
      <c r="H22" s="138">
        <v>0</v>
      </c>
    </row>
    <row r="23" spans="1:9" x14ac:dyDescent="0.25">
      <c r="A23" s="147" t="s">
        <v>200</v>
      </c>
      <c r="B23" s="140" t="s">
        <v>3</v>
      </c>
      <c r="C23" s="20">
        <v>178</v>
      </c>
      <c r="D23" s="20">
        <v>188</v>
      </c>
      <c r="E23" s="20">
        <v>158.7303635293585</v>
      </c>
      <c r="F23" s="22" t="s">
        <v>236</v>
      </c>
      <c r="G23" s="145">
        <v>-10.825638466652535</v>
      </c>
      <c r="H23" s="142">
        <v>-15.568955569490157</v>
      </c>
    </row>
    <row r="24" spans="1:9" x14ac:dyDescent="0.25">
      <c r="A24" s="143"/>
      <c r="B24" s="136" t="s">
        <v>237</v>
      </c>
      <c r="C24" s="26">
        <v>148</v>
      </c>
      <c r="D24" s="26">
        <v>199</v>
      </c>
      <c r="E24" s="26">
        <v>154</v>
      </c>
      <c r="F24" s="27"/>
      <c r="G24" s="137">
        <v>4.0540540540540633</v>
      </c>
      <c r="H24" s="138">
        <v>-22.613065326633162</v>
      </c>
    </row>
    <row r="25" spans="1:9" x14ac:dyDescent="0.25">
      <c r="A25" s="139" t="s">
        <v>24</v>
      </c>
      <c r="B25" s="140" t="s">
        <v>3</v>
      </c>
      <c r="C25" s="20">
        <v>1507</v>
      </c>
      <c r="D25" s="20">
        <v>1392</v>
      </c>
      <c r="E25" s="20">
        <v>1573.9149871381044</v>
      </c>
      <c r="F25" s="22" t="s">
        <v>236</v>
      </c>
      <c r="G25" s="134">
        <v>4.4402778459259764</v>
      </c>
      <c r="H25" s="135">
        <v>13.068605397852323</v>
      </c>
      <c r="I25" s="148"/>
    </row>
    <row r="26" spans="1:9" ht="14.3" thickBot="1" x14ac:dyDescent="0.3">
      <c r="A26" s="149"/>
      <c r="B26" s="150" t="s">
        <v>237</v>
      </c>
      <c r="C26" s="43">
        <v>1238</v>
      </c>
      <c r="D26" s="43">
        <v>1022</v>
      </c>
      <c r="E26" s="43">
        <v>1198</v>
      </c>
      <c r="F26" s="44"/>
      <c r="G26" s="151">
        <v>-3.231017770597731</v>
      </c>
      <c r="H26" s="152">
        <v>17.221135029354201</v>
      </c>
      <c r="I26" s="148"/>
    </row>
    <row r="27" spans="1:9" x14ac:dyDescent="0.25">
      <c r="A27" s="153"/>
      <c r="B27" s="153"/>
      <c r="C27" s="64"/>
      <c r="D27" s="64"/>
      <c r="E27" s="21"/>
      <c r="F27" s="59"/>
      <c r="G27" s="146"/>
      <c r="H27" s="154"/>
      <c r="I27" s="148"/>
    </row>
    <row r="28" spans="1:9" x14ac:dyDescent="0.25">
      <c r="A28" s="153"/>
      <c r="B28" s="153"/>
      <c r="C28" s="64"/>
      <c r="D28" s="64"/>
      <c r="E28" s="21"/>
      <c r="F28" s="59"/>
      <c r="G28" s="146"/>
      <c r="H28" s="154"/>
      <c r="I28" s="148"/>
    </row>
    <row r="29" spans="1:9" x14ac:dyDescent="0.25">
      <c r="A29" s="153"/>
      <c r="B29" s="153"/>
      <c r="C29" s="64"/>
      <c r="D29" s="64"/>
      <c r="E29" s="21"/>
      <c r="F29" s="59"/>
      <c r="G29" s="146"/>
      <c r="H29" s="154"/>
      <c r="I29" s="148"/>
    </row>
    <row r="30" spans="1:9" x14ac:dyDescent="0.25">
      <c r="A30" s="155"/>
      <c r="B30" s="156"/>
      <c r="C30" s="21"/>
      <c r="D30" s="21"/>
      <c r="E30" s="21"/>
      <c r="F30" s="63"/>
      <c r="G30" s="146"/>
      <c r="H30" s="154"/>
      <c r="I30" s="148"/>
    </row>
    <row r="31" spans="1:9" x14ac:dyDescent="0.25">
      <c r="A31" s="157"/>
      <c r="B31" s="158"/>
      <c r="C31" s="49"/>
      <c r="D31" s="55"/>
      <c r="E31" s="49"/>
      <c r="F31" s="49"/>
      <c r="G31" s="159"/>
      <c r="H31" s="160"/>
      <c r="I31" s="148"/>
    </row>
    <row r="32" spans="1:9" ht="16.3" thickBot="1" x14ac:dyDescent="0.3">
      <c r="A32" s="118" t="s">
        <v>213</v>
      </c>
      <c r="B32" s="119"/>
      <c r="C32" s="119"/>
      <c r="D32" s="119"/>
      <c r="E32" s="119"/>
      <c r="F32" s="119"/>
      <c r="G32" s="119"/>
      <c r="H32" s="120"/>
    </row>
    <row r="33" spans="1:8" x14ac:dyDescent="0.25">
      <c r="A33" s="121"/>
      <c r="B33" s="122"/>
      <c r="C33" s="211" t="s">
        <v>16</v>
      </c>
      <c r="D33" s="207"/>
      <c r="E33" s="207"/>
      <c r="F33" s="212"/>
      <c r="G33" s="207" t="s">
        <v>1</v>
      </c>
      <c r="H33" s="208"/>
    </row>
    <row r="34" spans="1:8" x14ac:dyDescent="0.25">
      <c r="A34" s="126"/>
      <c r="B34" s="127"/>
      <c r="C34" s="128" t="s">
        <v>231</v>
      </c>
      <c r="D34" s="129" t="s">
        <v>232</v>
      </c>
      <c r="E34" s="129" t="s">
        <v>233</v>
      </c>
      <c r="F34" s="130"/>
      <c r="G34" s="131" t="s">
        <v>234</v>
      </c>
      <c r="H34" s="132" t="s">
        <v>235</v>
      </c>
    </row>
    <row r="35" spans="1:8" ht="12.75" customHeight="1" x14ac:dyDescent="0.25">
      <c r="A35" s="209" t="s">
        <v>193</v>
      </c>
      <c r="B35" s="133" t="s">
        <v>3</v>
      </c>
      <c r="C35" s="80">
        <v>831.72795936495015</v>
      </c>
      <c r="D35" s="80">
        <v>991.88485422989675</v>
      </c>
      <c r="E35" s="81">
        <v>1019.009928554333</v>
      </c>
      <c r="F35" s="22" t="s">
        <v>236</v>
      </c>
      <c r="G35" s="134">
        <v>22.517214562845567</v>
      </c>
      <c r="H35" s="135">
        <v>2.7346999209395335</v>
      </c>
    </row>
    <row r="36" spans="1:8" ht="12.75" customHeight="1" x14ac:dyDescent="0.25">
      <c r="A36" s="210"/>
      <c r="B36" s="136" t="s">
        <v>237</v>
      </c>
      <c r="C36" s="82">
        <v>654.47906621228992</v>
      </c>
      <c r="D36" s="82">
        <v>761.31006413039324</v>
      </c>
      <c r="E36" s="82">
        <v>788.59425140615417</v>
      </c>
      <c r="F36" s="27"/>
      <c r="G36" s="137">
        <v>20.49189838416649</v>
      </c>
      <c r="H36" s="138">
        <v>3.5838469187881259</v>
      </c>
    </row>
    <row r="37" spans="1:8" x14ac:dyDescent="0.25">
      <c r="A37" s="139" t="s">
        <v>194</v>
      </c>
      <c r="B37" s="140" t="s">
        <v>3</v>
      </c>
      <c r="C37" s="80">
        <v>412.13149725173218</v>
      </c>
      <c r="D37" s="80">
        <v>499.91934977461614</v>
      </c>
      <c r="E37" s="80">
        <v>490.46335874914712</v>
      </c>
      <c r="F37" s="22" t="s">
        <v>236</v>
      </c>
      <c r="G37" s="141">
        <v>19.006521466999018</v>
      </c>
      <c r="H37" s="142">
        <v>-1.8915033054295947</v>
      </c>
    </row>
    <row r="38" spans="1:8" x14ac:dyDescent="0.25">
      <c r="A38" s="143"/>
      <c r="B38" s="136" t="s">
        <v>237</v>
      </c>
      <c r="C38" s="82">
        <v>318.94669930288228</v>
      </c>
      <c r="D38" s="82">
        <v>392.0532481995001</v>
      </c>
      <c r="E38" s="82">
        <v>382.93250585808238</v>
      </c>
      <c r="F38" s="27"/>
      <c r="G38" s="144">
        <v>20.061598597838781</v>
      </c>
      <c r="H38" s="138">
        <v>-2.3264039727523311</v>
      </c>
    </row>
    <row r="39" spans="1:8" x14ac:dyDescent="0.25">
      <c r="A39" s="139" t="s">
        <v>195</v>
      </c>
      <c r="B39" s="140" t="s">
        <v>3</v>
      </c>
      <c r="C39" s="80">
        <v>52.074247156466519</v>
      </c>
      <c r="D39" s="80">
        <v>57.699737556827024</v>
      </c>
      <c r="E39" s="80">
        <v>56.494301268438448</v>
      </c>
      <c r="F39" s="22" t="s">
        <v>236</v>
      </c>
      <c r="G39" s="145">
        <v>8.4879846629199989</v>
      </c>
      <c r="H39" s="142">
        <v>-2.0891538496191089</v>
      </c>
    </row>
    <row r="40" spans="1:8" x14ac:dyDescent="0.25">
      <c r="A40" s="143"/>
      <c r="B40" s="136" t="s">
        <v>237</v>
      </c>
      <c r="C40" s="82">
        <v>41.227332537860292</v>
      </c>
      <c r="D40" s="82">
        <v>48.111863414937503</v>
      </c>
      <c r="E40" s="82">
        <v>46.285735632260305</v>
      </c>
      <c r="F40" s="27"/>
      <c r="G40" s="137">
        <v>12.269537665951916</v>
      </c>
      <c r="H40" s="138">
        <v>-3.7955873106137688</v>
      </c>
    </row>
    <row r="41" spans="1:8" x14ac:dyDescent="0.25">
      <c r="A41" s="139" t="s">
        <v>228</v>
      </c>
      <c r="B41" s="140" t="s">
        <v>3</v>
      </c>
      <c r="C41" s="80">
        <v>85.579461268228329</v>
      </c>
      <c r="D41" s="80">
        <v>77.360013137417738</v>
      </c>
      <c r="E41" s="80">
        <v>82.874101531582014</v>
      </c>
      <c r="F41" s="22" t="s">
        <v>236</v>
      </c>
      <c r="G41" s="134">
        <v>-3.1612254816222958</v>
      </c>
      <c r="H41" s="135">
        <v>7.1278276341155475</v>
      </c>
    </row>
    <row r="42" spans="1:8" x14ac:dyDescent="0.25">
      <c r="A42" s="143"/>
      <c r="B42" s="136" t="s">
        <v>237</v>
      </c>
      <c r="C42" s="82">
        <v>72.247426493474791</v>
      </c>
      <c r="D42" s="82">
        <v>64.311046185607154</v>
      </c>
      <c r="E42" s="82">
        <v>69.247547115303362</v>
      </c>
      <c r="F42" s="27"/>
      <c r="G42" s="146">
        <v>-4.1522300845447688</v>
      </c>
      <c r="H42" s="135">
        <v>7.6759767139365778</v>
      </c>
    </row>
    <row r="43" spans="1:8" x14ac:dyDescent="0.25">
      <c r="A43" s="139" t="s">
        <v>196</v>
      </c>
      <c r="B43" s="140" t="s">
        <v>3</v>
      </c>
      <c r="C43" s="80">
        <v>34.345372111761804</v>
      </c>
      <c r="D43" s="80">
        <v>41.184975390590722</v>
      </c>
      <c r="E43" s="80">
        <v>41.544392639421169</v>
      </c>
      <c r="F43" s="22" t="s">
        <v>236</v>
      </c>
      <c r="G43" s="145">
        <v>20.960671220079789</v>
      </c>
      <c r="H43" s="142">
        <v>0.87269021147105263</v>
      </c>
    </row>
    <row r="44" spans="1:8" x14ac:dyDescent="0.25">
      <c r="A44" s="143"/>
      <c r="B44" s="136" t="s">
        <v>237</v>
      </c>
      <c r="C44" s="82">
        <v>28.904553955614496</v>
      </c>
      <c r="D44" s="82">
        <v>31.976474910669651</v>
      </c>
      <c r="E44" s="82">
        <v>33.110236973043072</v>
      </c>
      <c r="F44" s="27"/>
      <c r="G44" s="137">
        <v>14.550243618658754</v>
      </c>
      <c r="H44" s="138">
        <v>3.5456130343970926</v>
      </c>
    </row>
    <row r="45" spans="1:8" x14ac:dyDescent="0.25">
      <c r="A45" s="139" t="s">
        <v>197</v>
      </c>
      <c r="B45" s="140" t="s">
        <v>3</v>
      </c>
      <c r="C45" s="80">
        <v>11.843247022352362</v>
      </c>
      <c r="D45" s="80">
        <v>17.769426878118143</v>
      </c>
      <c r="E45" s="80">
        <v>15.696864152891935</v>
      </c>
      <c r="F45" s="22" t="s">
        <v>236</v>
      </c>
      <c r="G45" s="145">
        <v>32.538518560547175</v>
      </c>
      <c r="H45" s="142">
        <v>-11.663644187525421</v>
      </c>
    </row>
    <row r="46" spans="1:8" x14ac:dyDescent="0.25">
      <c r="A46" s="139"/>
      <c r="B46" s="136" t="s">
        <v>237</v>
      </c>
      <c r="C46" s="82">
        <v>8.5924987911228996</v>
      </c>
      <c r="D46" s="82">
        <v>15.428084782133929</v>
      </c>
      <c r="E46" s="82">
        <v>12.789958714608613</v>
      </c>
      <c r="F46" s="27"/>
      <c r="G46" s="137">
        <v>48.850282386099394</v>
      </c>
      <c r="H46" s="138">
        <v>-17.099504603321378</v>
      </c>
    </row>
    <row r="47" spans="1:8" x14ac:dyDescent="0.25">
      <c r="A47" s="147" t="s">
        <v>198</v>
      </c>
      <c r="B47" s="140" t="s">
        <v>3</v>
      </c>
      <c r="C47" s="80">
        <v>8.7836500223523597</v>
      </c>
      <c r="D47" s="80">
        <v>7.2138101781181465</v>
      </c>
      <c r="E47" s="80">
        <v>8.4249096113938968</v>
      </c>
      <c r="F47" s="22" t="s">
        <v>236</v>
      </c>
      <c r="G47" s="134">
        <v>-4.0841837965487144</v>
      </c>
      <c r="H47" s="135">
        <v>16.788623534195722</v>
      </c>
    </row>
    <row r="48" spans="1:8" x14ac:dyDescent="0.25">
      <c r="A48" s="143"/>
      <c r="B48" s="136" t="s">
        <v>237</v>
      </c>
      <c r="C48" s="82">
        <v>6.3080577911228985</v>
      </c>
      <c r="D48" s="82">
        <v>5.2014131821339298</v>
      </c>
      <c r="E48" s="82">
        <v>6.066559404608614</v>
      </c>
      <c r="F48" s="27"/>
      <c r="G48" s="146">
        <v>-3.8284111292407061</v>
      </c>
      <c r="H48" s="135">
        <v>16.632907100061402</v>
      </c>
    </row>
    <row r="49" spans="1:9" x14ac:dyDescent="0.25">
      <c r="A49" s="147" t="s">
        <v>199</v>
      </c>
      <c r="B49" s="140" t="s">
        <v>3</v>
      </c>
      <c r="C49" s="80">
        <v>5.6724030223523609</v>
      </c>
      <c r="D49" s="80">
        <v>19.561452178118145</v>
      </c>
      <c r="E49" s="80">
        <v>14.021753277640148</v>
      </c>
      <c r="F49" s="22" t="s">
        <v>236</v>
      </c>
      <c r="G49" s="145">
        <v>147.19247243869651</v>
      </c>
      <c r="H49" s="142">
        <v>-28.319466520357935</v>
      </c>
    </row>
    <row r="50" spans="1:9" x14ac:dyDescent="0.25">
      <c r="A50" s="143"/>
      <c r="B50" s="136" t="s">
        <v>237</v>
      </c>
      <c r="C50" s="82">
        <v>4.6244727911228987</v>
      </c>
      <c r="D50" s="82">
        <v>4.9661451821339293</v>
      </c>
      <c r="E50" s="82">
        <v>4.6202574046086138</v>
      </c>
      <c r="F50" s="27"/>
      <c r="G50" s="137">
        <v>-9.1153882932914598E-2</v>
      </c>
      <c r="H50" s="138">
        <v>-6.9649147344639175</v>
      </c>
    </row>
    <row r="51" spans="1:9" x14ac:dyDescent="0.25">
      <c r="A51" s="147" t="s">
        <v>200</v>
      </c>
      <c r="B51" s="140" t="s">
        <v>3</v>
      </c>
      <c r="C51" s="80">
        <v>64.9146621117618</v>
      </c>
      <c r="D51" s="80">
        <v>59.653928890590727</v>
      </c>
      <c r="E51" s="80">
        <v>55.806966179435697</v>
      </c>
      <c r="F51" s="22" t="s">
        <v>236</v>
      </c>
      <c r="G51" s="145">
        <v>-14.030260092312631</v>
      </c>
      <c r="H51" s="142">
        <v>-6.4488002428316378</v>
      </c>
    </row>
    <row r="52" spans="1:9" x14ac:dyDescent="0.25">
      <c r="A52" s="143"/>
      <c r="B52" s="136" t="s">
        <v>237</v>
      </c>
      <c r="C52" s="82">
        <v>52.817677955614485</v>
      </c>
      <c r="D52" s="82">
        <v>61.217295910669641</v>
      </c>
      <c r="E52" s="82">
        <v>52.681929023043075</v>
      </c>
      <c r="F52" s="27"/>
      <c r="G52" s="137">
        <v>-0.25701420021813703</v>
      </c>
      <c r="H52" s="138">
        <v>-13.942737523202041</v>
      </c>
    </row>
    <row r="53" spans="1:9" x14ac:dyDescent="0.25">
      <c r="A53" s="139" t="s">
        <v>24</v>
      </c>
      <c r="B53" s="140" t="s">
        <v>3</v>
      </c>
      <c r="C53" s="80">
        <v>156.38341939794262</v>
      </c>
      <c r="D53" s="80">
        <v>211.52216024550012</v>
      </c>
      <c r="E53" s="80">
        <v>262.78914827864855</v>
      </c>
      <c r="F53" s="22" t="s">
        <v>236</v>
      </c>
      <c r="G53" s="134">
        <v>68.041566868377231</v>
      </c>
      <c r="H53" s="135">
        <v>24.237171166201279</v>
      </c>
      <c r="I53" s="148"/>
    </row>
    <row r="54" spans="1:9" ht="14.3" thickBot="1" x14ac:dyDescent="0.3">
      <c r="A54" s="149"/>
      <c r="B54" s="150" t="s">
        <v>237</v>
      </c>
      <c r="C54" s="86">
        <v>120.81034659347478</v>
      </c>
      <c r="D54" s="86">
        <v>138.04449236260717</v>
      </c>
      <c r="E54" s="86">
        <v>180.8595212805962</v>
      </c>
      <c r="F54" s="44"/>
      <c r="G54" s="151">
        <v>49.705324403369275</v>
      </c>
      <c r="H54" s="152">
        <v>31.015383652920406</v>
      </c>
      <c r="I54" s="148"/>
    </row>
    <row r="55" spans="1:9" x14ac:dyDescent="0.25">
      <c r="A55" s="155"/>
      <c r="B55" s="156"/>
      <c r="C55" s="21"/>
      <c r="D55" s="21"/>
      <c r="E55" s="21"/>
      <c r="F55" s="63"/>
      <c r="G55" s="146"/>
      <c r="H55" s="154"/>
      <c r="I55" s="148"/>
    </row>
    <row r="56" spans="1:9" x14ac:dyDescent="0.25">
      <c r="A56" s="155"/>
      <c r="B56" s="156"/>
      <c r="C56" s="21"/>
      <c r="D56" s="21"/>
      <c r="E56" s="21"/>
      <c r="F56" s="63"/>
      <c r="G56" s="146"/>
      <c r="H56" s="154"/>
      <c r="I56" s="148"/>
    </row>
    <row r="57" spans="1:9" x14ac:dyDescent="0.25">
      <c r="A57" s="155"/>
      <c r="B57" s="156"/>
      <c r="C57" s="21"/>
      <c r="D57" s="21"/>
      <c r="E57" s="21"/>
      <c r="F57" s="63"/>
      <c r="G57" s="146"/>
      <c r="H57" s="154"/>
      <c r="I57" s="148"/>
    </row>
    <row r="58" spans="1:9" x14ac:dyDescent="0.25">
      <c r="A58" s="155"/>
      <c r="B58" s="156"/>
      <c r="C58" s="21"/>
      <c r="D58" s="21"/>
      <c r="E58" s="21"/>
      <c r="F58" s="63"/>
      <c r="G58" s="146"/>
      <c r="H58" s="154"/>
      <c r="I58" s="148"/>
    </row>
    <row r="59" spans="1:9" x14ac:dyDescent="0.25">
      <c r="A59" s="157"/>
      <c r="B59" s="158"/>
      <c r="C59" s="49"/>
      <c r="D59" s="49"/>
      <c r="E59" s="49"/>
      <c r="F59" s="49"/>
      <c r="G59" s="159"/>
      <c r="H59" s="160"/>
      <c r="I59" s="148"/>
    </row>
    <row r="60" spans="1:9" x14ac:dyDescent="0.25">
      <c r="A60" s="161"/>
      <c r="B60" s="161"/>
      <c r="C60" s="161"/>
      <c r="D60" s="161"/>
      <c r="E60" s="161"/>
      <c r="F60" s="161"/>
      <c r="G60" s="161"/>
      <c r="H60" s="161"/>
    </row>
    <row r="61" spans="1:9" ht="12.75" customHeight="1" x14ac:dyDescent="0.25">
      <c r="A61" s="162" t="s">
        <v>238</v>
      </c>
      <c r="G61" s="163"/>
      <c r="H61" s="205">
        <v>21</v>
      </c>
    </row>
    <row r="62" spans="1:9" ht="12.75" customHeight="1" x14ac:dyDescent="0.25">
      <c r="A62" s="162" t="s">
        <v>239</v>
      </c>
      <c r="G62" s="163"/>
      <c r="H62" s="206"/>
    </row>
    <row r="67" ht="12.75" customHeight="1" x14ac:dyDescent="0.25"/>
    <row r="68" ht="12.75" customHeight="1" x14ac:dyDescent="0.25"/>
  </sheetData>
  <mergeCells count="6">
    <mergeCell ref="H61:H62"/>
    <mergeCell ref="G5:H5"/>
    <mergeCell ref="A7:A8"/>
    <mergeCell ref="C33:F33"/>
    <mergeCell ref="G33:H33"/>
    <mergeCell ref="A35:A36"/>
  </mergeCells>
  <hyperlinks>
    <hyperlink ref="A2" location="Innhold!A66" display="Tilbake til innholdsfortegnelsen" xr:uid="{00000000-0004-0000-1000-000000000000}"/>
  </hyperlinks>
  <pageMargins left="0.78740157480314965" right="0.78740157480314965" top="0.98425196850393704" bottom="0.19685039370078741" header="3.937007874015748E-2" footer="3.937007874015748E-2"/>
  <pageSetup paperSize="9" scale="95"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68"/>
  <sheetViews>
    <sheetView showGridLines="0" showRowColHeaders="0" zoomScale="80" zoomScaleNormal="80" workbookViewId="0"/>
  </sheetViews>
  <sheetFormatPr defaultColWidth="11.5" defaultRowHeight="13.6" x14ac:dyDescent="0.25"/>
  <cols>
    <col min="1" max="1" width="26.375" style="116" customWidth="1"/>
    <col min="2" max="2" width="8.125" style="116" customWidth="1"/>
    <col min="3" max="4" width="10.5" style="116" customWidth="1"/>
    <col min="5" max="5" width="9.875" style="116" customWidth="1"/>
    <col min="6" max="6" width="1.625" style="116" customWidth="1"/>
    <col min="7" max="7" width="7.625" style="116" customWidth="1"/>
    <col min="8" max="8" width="8.875" style="116" customWidth="1"/>
    <col min="9" max="16384" width="11.5" style="116"/>
  </cols>
  <sheetData>
    <row r="1" spans="1:8" ht="5.3" customHeight="1" x14ac:dyDescent="0.25"/>
    <row r="2" spans="1:8" x14ac:dyDescent="0.25">
      <c r="A2" s="92" t="s">
        <v>0</v>
      </c>
      <c r="B2" s="117"/>
      <c r="C2" s="117"/>
      <c r="D2" s="117"/>
      <c r="E2" s="117"/>
      <c r="F2" s="117"/>
      <c r="G2" s="117"/>
    </row>
    <row r="3" spans="1:8" ht="5.95" customHeight="1" x14ac:dyDescent="0.25">
      <c r="A3" s="3"/>
      <c r="B3" s="117"/>
      <c r="C3" s="117"/>
      <c r="D3" s="117"/>
      <c r="E3" s="117"/>
      <c r="F3" s="117"/>
      <c r="G3" s="117"/>
    </row>
    <row r="4" spans="1:8" ht="16.3" thickBot="1" x14ac:dyDescent="0.3">
      <c r="A4" s="118" t="s">
        <v>214</v>
      </c>
      <c r="B4" s="119"/>
      <c r="C4" s="119"/>
      <c r="D4" s="119"/>
      <c r="E4" s="119"/>
      <c r="F4" s="119"/>
      <c r="G4" s="119"/>
      <c r="H4" s="120"/>
    </row>
    <row r="5" spans="1:8" x14ac:dyDescent="0.25">
      <c r="A5" s="121"/>
      <c r="B5" s="122"/>
      <c r="C5" s="123"/>
      <c r="D5" s="122"/>
      <c r="E5" s="124"/>
      <c r="F5" s="125"/>
      <c r="G5" s="207" t="s">
        <v>1</v>
      </c>
      <c r="H5" s="208"/>
    </row>
    <row r="6" spans="1:8" x14ac:dyDescent="0.25">
      <c r="A6" s="126"/>
      <c r="B6" s="127"/>
      <c r="C6" s="128" t="s">
        <v>231</v>
      </c>
      <c r="D6" s="129" t="s">
        <v>232</v>
      </c>
      <c r="E6" s="129" t="s">
        <v>233</v>
      </c>
      <c r="F6" s="130"/>
      <c r="G6" s="131" t="s">
        <v>234</v>
      </c>
      <c r="H6" s="132" t="s">
        <v>235</v>
      </c>
    </row>
    <row r="7" spans="1:8" ht="12.75" customHeight="1" x14ac:dyDescent="0.25">
      <c r="A7" s="209" t="s">
        <v>201</v>
      </c>
      <c r="B7" s="133" t="s">
        <v>3</v>
      </c>
      <c r="C7" s="20">
        <v>918</v>
      </c>
      <c r="D7" s="20">
        <v>978</v>
      </c>
      <c r="E7" s="79">
        <v>1231.6967324445675</v>
      </c>
      <c r="F7" s="22" t="s">
        <v>236</v>
      </c>
      <c r="G7" s="134">
        <v>34.17175734690278</v>
      </c>
      <c r="H7" s="135">
        <v>25.94036119065106</v>
      </c>
    </row>
    <row r="8" spans="1:8" ht="12.75" customHeight="1" x14ac:dyDescent="0.25">
      <c r="A8" s="210"/>
      <c r="B8" s="136" t="s">
        <v>237</v>
      </c>
      <c r="C8" s="26">
        <v>674</v>
      </c>
      <c r="D8" s="26">
        <v>686</v>
      </c>
      <c r="E8" s="26">
        <v>877</v>
      </c>
      <c r="F8" s="27"/>
      <c r="G8" s="137">
        <v>30.118694362017806</v>
      </c>
      <c r="H8" s="138">
        <v>27.842565597667644</v>
      </c>
    </row>
    <row r="9" spans="1:8" x14ac:dyDescent="0.25">
      <c r="A9" s="139" t="s">
        <v>202</v>
      </c>
      <c r="B9" s="140" t="s">
        <v>3</v>
      </c>
      <c r="C9" s="20">
        <v>318</v>
      </c>
      <c r="D9" s="20">
        <v>355</v>
      </c>
      <c r="E9" s="20">
        <v>379.16197456827143</v>
      </c>
      <c r="F9" s="22" t="s">
        <v>236</v>
      </c>
      <c r="G9" s="141">
        <v>19.23332533593441</v>
      </c>
      <c r="H9" s="142">
        <v>6.8061900192313942</v>
      </c>
    </row>
    <row r="10" spans="1:8" x14ac:dyDescent="0.25">
      <c r="A10" s="143"/>
      <c r="B10" s="136" t="s">
        <v>237</v>
      </c>
      <c r="C10" s="26">
        <v>253</v>
      </c>
      <c r="D10" s="26">
        <v>261</v>
      </c>
      <c r="E10" s="26">
        <v>286</v>
      </c>
      <c r="F10" s="27"/>
      <c r="G10" s="144">
        <v>13.043478260869563</v>
      </c>
      <c r="H10" s="138">
        <v>9.5785440613026793</v>
      </c>
    </row>
    <row r="11" spans="1:8" x14ac:dyDescent="0.25">
      <c r="A11" s="139" t="s">
        <v>203</v>
      </c>
      <c r="B11" s="140" t="s">
        <v>3</v>
      </c>
      <c r="C11" s="20">
        <v>86</v>
      </c>
      <c r="D11" s="20">
        <v>98</v>
      </c>
      <c r="E11" s="20">
        <v>128.94620486366986</v>
      </c>
      <c r="F11" s="22" t="s">
        <v>236</v>
      </c>
      <c r="G11" s="145">
        <v>49.937447515895201</v>
      </c>
      <c r="H11" s="142">
        <v>31.577760064969254</v>
      </c>
    </row>
    <row r="12" spans="1:8" x14ac:dyDescent="0.25">
      <c r="A12" s="143"/>
      <c r="B12" s="136" t="s">
        <v>237</v>
      </c>
      <c r="C12" s="26">
        <v>59</v>
      </c>
      <c r="D12" s="26">
        <v>69</v>
      </c>
      <c r="E12" s="26">
        <v>90</v>
      </c>
      <c r="F12" s="27"/>
      <c r="G12" s="137">
        <v>52.542372881355931</v>
      </c>
      <c r="H12" s="138">
        <v>30.434782608695656</v>
      </c>
    </row>
    <row r="13" spans="1:8" x14ac:dyDescent="0.25">
      <c r="A13" s="139" t="s">
        <v>204</v>
      </c>
      <c r="B13" s="140" t="s">
        <v>3</v>
      </c>
      <c r="C13" s="20">
        <v>38</v>
      </c>
      <c r="D13" s="20">
        <v>51</v>
      </c>
      <c r="E13" s="20">
        <v>68.898821898821893</v>
      </c>
      <c r="F13" s="22" t="s">
        <v>236</v>
      </c>
      <c r="G13" s="134">
        <v>81.312689207426018</v>
      </c>
      <c r="H13" s="135">
        <v>35.095729213376273</v>
      </c>
    </row>
    <row r="14" spans="1:8" x14ac:dyDescent="0.25">
      <c r="A14" s="143"/>
      <c r="B14" s="136" t="s">
        <v>237</v>
      </c>
      <c r="C14" s="26">
        <v>26</v>
      </c>
      <c r="D14" s="26">
        <v>37</v>
      </c>
      <c r="E14" s="26">
        <v>49</v>
      </c>
      <c r="F14" s="27"/>
      <c r="G14" s="146">
        <v>88.461538461538453</v>
      </c>
      <c r="H14" s="135">
        <v>32.432432432432421</v>
      </c>
    </row>
    <row r="15" spans="1:8" x14ac:dyDescent="0.25">
      <c r="A15" s="139" t="s">
        <v>205</v>
      </c>
      <c r="B15" s="140" t="s">
        <v>3</v>
      </c>
      <c r="C15" s="20">
        <v>5</v>
      </c>
      <c r="D15" s="20">
        <v>4</v>
      </c>
      <c r="E15" s="20">
        <v>13.222222222222221</v>
      </c>
      <c r="F15" s="22" t="s">
        <v>236</v>
      </c>
      <c r="G15" s="145">
        <v>164.44444444444446</v>
      </c>
      <c r="H15" s="142">
        <v>230.55555555555554</v>
      </c>
    </row>
    <row r="16" spans="1:8" x14ac:dyDescent="0.25">
      <c r="A16" s="143"/>
      <c r="B16" s="136" t="s">
        <v>237</v>
      </c>
      <c r="C16" s="26">
        <v>3</v>
      </c>
      <c r="D16" s="26">
        <v>2</v>
      </c>
      <c r="E16" s="26">
        <v>7</v>
      </c>
      <c r="F16" s="27"/>
      <c r="G16" s="137">
        <v>133.33333333333334</v>
      </c>
      <c r="H16" s="138">
        <v>250</v>
      </c>
    </row>
    <row r="17" spans="1:9" x14ac:dyDescent="0.25">
      <c r="A17" s="139" t="s">
        <v>206</v>
      </c>
      <c r="B17" s="140" t="s">
        <v>3</v>
      </c>
      <c r="C17" s="20">
        <v>53</v>
      </c>
      <c r="D17" s="20">
        <v>49</v>
      </c>
      <c r="E17" s="20">
        <v>65.410256410256409</v>
      </c>
      <c r="F17" s="22" t="s">
        <v>236</v>
      </c>
      <c r="G17" s="145">
        <v>23.415578132559261</v>
      </c>
      <c r="H17" s="142">
        <v>33.49031920460493</v>
      </c>
    </row>
    <row r="18" spans="1:9" x14ac:dyDescent="0.25">
      <c r="A18" s="143"/>
      <c r="B18" s="136" t="s">
        <v>237</v>
      </c>
      <c r="C18" s="26">
        <v>38</v>
      </c>
      <c r="D18" s="26">
        <v>26</v>
      </c>
      <c r="E18" s="26">
        <v>38</v>
      </c>
      <c r="F18" s="27"/>
      <c r="G18" s="137">
        <v>0</v>
      </c>
      <c r="H18" s="138">
        <v>46.153846153846132</v>
      </c>
    </row>
    <row r="19" spans="1:9" x14ac:dyDescent="0.25">
      <c r="A19" s="139" t="s">
        <v>207</v>
      </c>
      <c r="B19" s="140" t="s">
        <v>3</v>
      </c>
      <c r="C19" s="20">
        <v>431</v>
      </c>
      <c r="D19" s="20">
        <v>441</v>
      </c>
      <c r="E19" s="20">
        <v>605.72907894736841</v>
      </c>
      <c r="F19" s="22" t="s">
        <v>236</v>
      </c>
      <c r="G19" s="134">
        <v>40.540389546953236</v>
      </c>
      <c r="H19" s="135">
        <v>37.353532641126606</v>
      </c>
    </row>
    <row r="20" spans="1:9" ht="14.3" thickBot="1" x14ac:dyDescent="0.3">
      <c r="A20" s="149"/>
      <c r="B20" s="150" t="s">
        <v>237</v>
      </c>
      <c r="C20" s="43">
        <v>304</v>
      </c>
      <c r="D20" s="43">
        <v>300</v>
      </c>
      <c r="E20" s="43">
        <v>417</v>
      </c>
      <c r="F20" s="44"/>
      <c r="G20" s="151">
        <v>37.171052631578931</v>
      </c>
      <c r="H20" s="152">
        <v>39</v>
      </c>
    </row>
    <row r="25" spans="1:9" x14ac:dyDescent="0.25">
      <c r="I25" s="148"/>
    </row>
    <row r="26" spans="1:9" x14ac:dyDescent="0.25">
      <c r="I26" s="148"/>
    </row>
    <row r="27" spans="1:9" x14ac:dyDescent="0.25">
      <c r="A27" s="153"/>
      <c r="B27" s="153"/>
      <c r="C27" s="64"/>
      <c r="D27" s="64"/>
      <c r="E27" s="21"/>
      <c r="F27" s="59"/>
      <c r="G27" s="146"/>
      <c r="H27" s="154"/>
      <c r="I27" s="148"/>
    </row>
    <row r="28" spans="1:9" x14ac:dyDescent="0.25">
      <c r="A28" s="153"/>
      <c r="B28" s="153"/>
      <c r="C28" s="64"/>
      <c r="D28" s="64"/>
      <c r="E28" s="21"/>
      <c r="F28" s="59"/>
      <c r="G28" s="146"/>
      <c r="H28" s="154"/>
      <c r="I28" s="148"/>
    </row>
    <row r="29" spans="1:9" x14ac:dyDescent="0.25">
      <c r="A29" s="153"/>
      <c r="B29" s="153"/>
      <c r="C29" s="64"/>
      <c r="D29" s="64"/>
      <c r="E29" s="21"/>
      <c r="F29" s="59"/>
      <c r="G29" s="146"/>
      <c r="H29" s="154"/>
      <c r="I29" s="148"/>
    </row>
    <row r="30" spans="1:9" x14ac:dyDescent="0.25">
      <c r="A30" s="155"/>
      <c r="B30" s="156"/>
      <c r="C30" s="21"/>
      <c r="D30" s="21"/>
      <c r="E30" s="21"/>
      <c r="F30" s="63"/>
      <c r="G30" s="146"/>
      <c r="H30" s="154"/>
      <c r="I30" s="148"/>
    </row>
    <row r="31" spans="1:9" x14ac:dyDescent="0.25">
      <c r="A31" s="157"/>
      <c r="B31" s="158"/>
      <c r="C31" s="49"/>
      <c r="D31" s="55"/>
      <c r="E31" s="49"/>
      <c r="F31" s="49"/>
      <c r="G31" s="159"/>
      <c r="H31" s="160"/>
      <c r="I31" s="148"/>
    </row>
    <row r="32" spans="1:9" ht="16.3" thickBot="1" x14ac:dyDescent="0.3">
      <c r="A32" s="118" t="s">
        <v>215</v>
      </c>
      <c r="B32" s="119"/>
      <c r="C32" s="119"/>
      <c r="D32" s="119"/>
      <c r="E32" s="119"/>
      <c r="F32" s="119"/>
      <c r="G32" s="119"/>
      <c r="H32" s="120"/>
    </row>
    <row r="33" spans="1:8" x14ac:dyDescent="0.25">
      <c r="A33" s="121"/>
      <c r="B33" s="122"/>
      <c r="C33" s="211" t="s">
        <v>16</v>
      </c>
      <c r="D33" s="207"/>
      <c r="E33" s="207"/>
      <c r="F33" s="212"/>
      <c r="G33" s="207" t="s">
        <v>1</v>
      </c>
      <c r="H33" s="208"/>
    </row>
    <row r="34" spans="1:8" x14ac:dyDescent="0.25">
      <c r="A34" s="126"/>
      <c r="B34" s="127"/>
      <c r="C34" s="128" t="s">
        <v>231</v>
      </c>
      <c r="D34" s="129" t="s">
        <v>232</v>
      </c>
      <c r="E34" s="129" t="s">
        <v>233</v>
      </c>
      <c r="F34" s="130"/>
      <c r="G34" s="131" t="s">
        <v>234</v>
      </c>
      <c r="H34" s="132" t="s">
        <v>235</v>
      </c>
    </row>
    <row r="35" spans="1:8" ht="12.75" customHeight="1" x14ac:dyDescent="0.25">
      <c r="A35" s="209" t="s">
        <v>201</v>
      </c>
      <c r="B35" s="133" t="s">
        <v>3</v>
      </c>
      <c r="C35" s="80">
        <v>330.10029545906696</v>
      </c>
      <c r="D35" s="80">
        <v>415.12542028118122</v>
      </c>
      <c r="E35" s="81">
        <v>521.88213136690581</v>
      </c>
      <c r="F35" s="22" t="s">
        <v>236</v>
      </c>
      <c r="G35" s="134">
        <v>58.09805036409611</v>
      </c>
      <c r="H35" s="135">
        <v>25.716736646340266</v>
      </c>
    </row>
    <row r="36" spans="1:8" ht="12.75" customHeight="1" x14ac:dyDescent="0.25">
      <c r="A36" s="210"/>
      <c r="B36" s="136" t="s">
        <v>237</v>
      </c>
      <c r="C36" s="82">
        <v>246.95777738939387</v>
      </c>
      <c r="D36" s="82">
        <v>286.79966274721505</v>
      </c>
      <c r="E36" s="82">
        <v>369.99379130361172</v>
      </c>
      <c r="F36" s="27"/>
      <c r="G36" s="137">
        <v>49.820667814085169</v>
      </c>
      <c r="H36" s="138">
        <v>29.007749785857982</v>
      </c>
    </row>
    <row r="37" spans="1:8" x14ac:dyDescent="0.25">
      <c r="A37" s="139" t="s">
        <v>202</v>
      </c>
      <c r="B37" s="140" t="s">
        <v>3</v>
      </c>
      <c r="C37" s="80">
        <v>144.5095346570775</v>
      </c>
      <c r="D37" s="80">
        <v>207.30359711746152</v>
      </c>
      <c r="E37" s="80">
        <v>259.66492533344984</v>
      </c>
      <c r="F37" s="22" t="s">
        <v>236</v>
      </c>
      <c r="G37" s="141">
        <v>79.687053833255504</v>
      </c>
      <c r="H37" s="142">
        <v>25.258282511286836</v>
      </c>
    </row>
    <row r="38" spans="1:8" x14ac:dyDescent="0.25">
      <c r="A38" s="143"/>
      <c r="B38" s="136" t="s">
        <v>237</v>
      </c>
      <c r="C38" s="82">
        <v>112.61240181806058</v>
      </c>
      <c r="D38" s="82">
        <v>143.28821033844039</v>
      </c>
      <c r="E38" s="82">
        <v>186.50666981002257</v>
      </c>
      <c r="F38" s="27"/>
      <c r="G38" s="144">
        <v>65.618232804720236</v>
      </c>
      <c r="H38" s="138">
        <v>30.161908903392742</v>
      </c>
    </row>
    <row r="39" spans="1:8" x14ac:dyDescent="0.25">
      <c r="A39" s="139" t="s">
        <v>203</v>
      </c>
      <c r="B39" s="140" t="s">
        <v>3</v>
      </c>
      <c r="C39" s="80">
        <v>46.373355378041396</v>
      </c>
      <c r="D39" s="80">
        <v>50.908147267800821</v>
      </c>
      <c r="E39" s="80">
        <v>71.783655644469135</v>
      </c>
      <c r="F39" s="22" t="s">
        <v>236</v>
      </c>
      <c r="G39" s="145">
        <v>54.795043531527512</v>
      </c>
      <c r="H39" s="142">
        <v>41.006222966342335</v>
      </c>
    </row>
    <row r="40" spans="1:8" x14ac:dyDescent="0.25">
      <c r="A40" s="143"/>
      <c r="B40" s="136" t="s">
        <v>237</v>
      </c>
      <c r="C40" s="82">
        <v>32.986559266196956</v>
      </c>
      <c r="D40" s="82">
        <v>34.960477817026543</v>
      </c>
      <c r="E40" s="82">
        <v>49.871101781614016</v>
      </c>
      <c r="F40" s="27"/>
      <c r="G40" s="137">
        <v>51.186128201978107</v>
      </c>
      <c r="H40" s="138">
        <v>42.649943294898719</v>
      </c>
    </row>
    <row r="41" spans="1:8" x14ac:dyDescent="0.25">
      <c r="A41" s="139" t="s">
        <v>204</v>
      </c>
      <c r="B41" s="140" t="s">
        <v>3</v>
      </c>
      <c r="C41" s="80">
        <v>17.830273332134695</v>
      </c>
      <c r="D41" s="80">
        <v>28.439677639682692</v>
      </c>
      <c r="E41" s="80">
        <v>34.681540413689952</v>
      </c>
      <c r="F41" s="22" t="s">
        <v>236</v>
      </c>
      <c r="G41" s="134">
        <v>94.509303181488434</v>
      </c>
      <c r="H41" s="135">
        <v>21.947726880342032</v>
      </c>
    </row>
    <row r="42" spans="1:8" x14ac:dyDescent="0.25">
      <c r="A42" s="143"/>
      <c r="B42" s="136" t="s">
        <v>237</v>
      </c>
      <c r="C42" s="82">
        <v>13.443304227257572</v>
      </c>
      <c r="D42" s="82">
        <v>20.445544042305045</v>
      </c>
      <c r="E42" s="82">
        <v>25.325320851252826</v>
      </c>
      <c r="F42" s="27"/>
      <c r="G42" s="146">
        <v>88.38613203369556</v>
      </c>
      <c r="H42" s="135">
        <v>23.867189832908124</v>
      </c>
    </row>
    <row r="43" spans="1:8" x14ac:dyDescent="0.25">
      <c r="A43" s="139" t="s">
        <v>205</v>
      </c>
      <c r="B43" s="140" t="s">
        <v>3</v>
      </c>
      <c r="C43" s="80">
        <v>2.0636149045906702</v>
      </c>
      <c r="D43" s="80">
        <v>2.426936662811813</v>
      </c>
      <c r="E43" s="80">
        <v>4.3292248002343756</v>
      </c>
      <c r="F43" s="22" t="s">
        <v>236</v>
      </c>
      <c r="G43" s="145">
        <v>109.78840531746897</v>
      </c>
      <c r="H43" s="142">
        <v>78.382273693891932</v>
      </c>
    </row>
    <row r="44" spans="1:8" x14ac:dyDescent="0.25">
      <c r="A44" s="143"/>
      <c r="B44" s="136" t="s">
        <v>237</v>
      </c>
      <c r="C44" s="82">
        <v>0.9890526038939389</v>
      </c>
      <c r="D44" s="82">
        <v>2.16156857747215</v>
      </c>
      <c r="E44" s="82">
        <v>2.9980856930361179</v>
      </c>
      <c r="F44" s="27"/>
      <c r="G44" s="137">
        <v>203.12702087154281</v>
      </c>
      <c r="H44" s="138">
        <v>38.699540892763821</v>
      </c>
    </row>
    <row r="45" spans="1:8" x14ac:dyDescent="0.25">
      <c r="A45" s="139" t="s">
        <v>206</v>
      </c>
      <c r="B45" s="140" t="s">
        <v>3</v>
      </c>
      <c r="C45" s="80">
        <v>17.034349522953352</v>
      </c>
      <c r="D45" s="80">
        <v>21.842891314059063</v>
      </c>
      <c r="E45" s="80">
        <v>32.368089857599145</v>
      </c>
      <c r="F45" s="22" t="s">
        <v>236</v>
      </c>
      <c r="G45" s="145">
        <v>90.016588622793989</v>
      </c>
      <c r="H45" s="142">
        <v>48.185921873655957</v>
      </c>
    </row>
    <row r="46" spans="1:8" x14ac:dyDescent="0.25">
      <c r="A46" s="143"/>
      <c r="B46" s="136" t="s">
        <v>237</v>
      </c>
      <c r="C46" s="82">
        <v>12.720587019469695</v>
      </c>
      <c r="D46" s="82">
        <v>11.741842887360749</v>
      </c>
      <c r="E46" s="82">
        <v>19.191938465180588</v>
      </c>
      <c r="F46" s="27"/>
      <c r="G46" s="137">
        <v>50.873056689962993</v>
      </c>
      <c r="H46" s="138">
        <v>63.449116542338771</v>
      </c>
    </row>
    <row r="47" spans="1:8" x14ac:dyDescent="0.25">
      <c r="A47" s="139" t="s">
        <v>207</v>
      </c>
      <c r="B47" s="140" t="s">
        <v>3</v>
      </c>
      <c r="C47" s="80">
        <v>102.28916766426939</v>
      </c>
      <c r="D47" s="80">
        <v>104.20417027936539</v>
      </c>
      <c r="E47" s="80">
        <v>120.17106846502716</v>
      </c>
      <c r="F47" s="22" t="s">
        <v>236</v>
      </c>
      <c r="G47" s="134">
        <v>17.481715033061221</v>
      </c>
      <c r="H47" s="135">
        <v>15.322705552815634</v>
      </c>
    </row>
    <row r="48" spans="1:8" ht="14.3" thickBot="1" x14ac:dyDescent="0.3">
      <c r="A48" s="149"/>
      <c r="B48" s="150" t="s">
        <v>237</v>
      </c>
      <c r="C48" s="86">
        <v>74.205872454515145</v>
      </c>
      <c r="D48" s="86">
        <v>74.2020190846101</v>
      </c>
      <c r="E48" s="86">
        <v>86.100674702505643</v>
      </c>
      <c r="F48" s="44"/>
      <c r="G48" s="151">
        <v>16.029462163229027</v>
      </c>
      <c r="H48" s="152">
        <v>16.03548766554168</v>
      </c>
    </row>
    <row r="53" spans="1:9" x14ac:dyDescent="0.25">
      <c r="I53" s="148"/>
    </row>
    <row r="54" spans="1:9" x14ac:dyDescent="0.25">
      <c r="I54" s="148"/>
    </row>
    <row r="55" spans="1:9" x14ac:dyDescent="0.25">
      <c r="A55" s="155"/>
      <c r="B55" s="156"/>
      <c r="C55" s="21"/>
      <c r="D55" s="21"/>
      <c r="E55" s="21"/>
      <c r="F55" s="63"/>
      <c r="G55" s="146"/>
      <c r="H55" s="154"/>
      <c r="I55" s="148"/>
    </row>
    <row r="56" spans="1:9" x14ac:dyDescent="0.25">
      <c r="A56" s="155"/>
      <c r="B56" s="156"/>
      <c r="C56" s="21"/>
      <c r="D56" s="21"/>
      <c r="E56" s="21"/>
      <c r="F56" s="63"/>
      <c r="G56" s="146"/>
      <c r="H56" s="154"/>
      <c r="I56" s="148"/>
    </row>
    <row r="57" spans="1:9" x14ac:dyDescent="0.25">
      <c r="A57" s="155"/>
      <c r="B57" s="156"/>
      <c r="C57" s="21"/>
      <c r="D57" s="21"/>
      <c r="E57" s="21"/>
      <c r="F57" s="63"/>
      <c r="G57" s="146"/>
      <c r="H57" s="154"/>
      <c r="I57" s="148"/>
    </row>
    <row r="58" spans="1:9" x14ac:dyDescent="0.25">
      <c r="A58" s="155"/>
      <c r="B58" s="156"/>
      <c r="C58" s="21"/>
      <c r="D58" s="21"/>
      <c r="E58" s="21"/>
      <c r="F58" s="63"/>
      <c r="G58" s="146"/>
      <c r="H58" s="154"/>
      <c r="I58" s="148"/>
    </row>
    <row r="59" spans="1:9" x14ac:dyDescent="0.25">
      <c r="A59" s="157"/>
      <c r="B59" s="158"/>
      <c r="C59" s="49"/>
      <c r="D59" s="49"/>
      <c r="E59" s="49"/>
      <c r="F59" s="49"/>
      <c r="G59" s="159"/>
      <c r="H59" s="160"/>
      <c r="I59" s="148"/>
    </row>
    <row r="60" spans="1:9" x14ac:dyDescent="0.25">
      <c r="A60" s="161"/>
      <c r="B60" s="161"/>
      <c r="C60" s="161"/>
      <c r="D60" s="161"/>
      <c r="E60" s="161"/>
      <c r="F60" s="161"/>
      <c r="G60" s="161"/>
      <c r="H60" s="161"/>
    </row>
    <row r="61" spans="1:9" ht="12.75" customHeight="1" x14ac:dyDescent="0.25">
      <c r="A61" s="162" t="s">
        <v>238</v>
      </c>
      <c r="G61" s="163"/>
      <c r="H61" s="205">
        <v>22</v>
      </c>
    </row>
    <row r="62" spans="1:9" ht="12.75" customHeight="1" x14ac:dyDescent="0.25">
      <c r="A62" s="162" t="s">
        <v>239</v>
      </c>
      <c r="G62" s="163"/>
      <c r="H62" s="206"/>
    </row>
    <row r="67" ht="12.75" customHeight="1" x14ac:dyDescent="0.25"/>
    <row r="68" ht="12.75" customHeight="1" x14ac:dyDescent="0.25"/>
  </sheetData>
  <mergeCells count="6">
    <mergeCell ref="H61:H62"/>
    <mergeCell ref="G5:H5"/>
    <mergeCell ref="A7:A8"/>
    <mergeCell ref="C33:F33"/>
    <mergeCell ref="G33:H33"/>
    <mergeCell ref="A35:A36"/>
  </mergeCells>
  <hyperlinks>
    <hyperlink ref="A2" location="Innhold!A68" display="Tilbake til innholdsfortegnelsen" xr:uid="{00000000-0004-0000-1100-000000000000}"/>
  </hyperlinks>
  <pageMargins left="0.78740157480314965" right="0.78740157480314965" top="0.98425196850393704" bottom="0.19685039370078741" header="3.937007874015748E-2" footer="3.937007874015748E-2"/>
  <pageSetup paperSize="9" scale="95"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68"/>
  <sheetViews>
    <sheetView showGridLines="0" showRowColHeaders="0" zoomScale="80" zoomScaleNormal="80" workbookViewId="0"/>
  </sheetViews>
  <sheetFormatPr defaultColWidth="11.5" defaultRowHeight="13.6" x14ac:dyDescent="0.25"/>
  <cols>
    <col min="1" max="1" width="26.375" style="116" customWidth="1"/>
    <col min="2" max="2" width="8.125" style="116" customWidth="1"/>
    <col min="3" max="4" width="10.5" style="116" customWidth="1"/>
    <col min="5" max="5" width="9.875" style="116" customWidth="1"/>
    <col min="6" max="6" width="1.625" style="116" customWidth="1"/>
    <col min="7" max="7" width="7.625" style="116" customWidth="1"/>
    <col min="8" max="8" width="8.875" style="116" customWidth="1"/>
    <col min="9" max="16384" width="11.5" style="116"/>
  </cols>
  <sheetData>
    <row r="1" spans="1:8" ht="5.3" customHeight="1" x14ac:dyDescent="0.25"/>
    <row r="2" spans="1:8" x14ac:dyDescent="0.25">
      <c r="A2" s="92" t="s">
        <v>0</v>
      </c>
      <c r="B2" s="117"/>
      <c r="C2" s="117"/>
      <c r="D2" s="117"/>
      <c r="E2" s="117"/>
      <c r="F2" s="117"/>
      <c r="G2" s="117"/>
    </row>
    <row r="3" spans="1:8" ht="5.95" customHeight="1" x14ac:dyDescent="0.25">
      <c r="A3" s="3"/>
      <c r="B3" s="117"/>
      <c r="C3" s="117"/>
      <c r="D3" s="117"/>
      <c r="E3" s="117"/>
      <c r="F3" s="117"/>
      <c r="G3" s="117"/>
    </row>
    <row r="4" spans="1:8" ht="16.3" thickBot="1" x14ac:dyDescent="0.3">
      <c r="A4" s="118" t="s">
        <v>216</v>
      </c>
      <c r="B4" s="119"/>
      <c r="C4" s="119"/>
      <c r="D4" s="119"/>
      <c r="E4" s="119"/>
      <c r="F4" s="119"/>
      <c r="G4" s="119"/>
      <c r="H4" s="120"/>
    </row>
    <row r="5" spans="1:8" x14ac:dyDescent="0.25">
      <c r="A5" s="121"/>
      <c r="B5" s="122"/>
      <c r="C5" s="123"/>
      <c r="D5" s="122"/>
      <c r="E5" s="124"/>
      <c r="F5" s="125"/>
      <c r="G5" s="207" t="s">
        <v>1</v>
      </c>
      <c r="H5" s="208"/>
    </row>
    <row r="6" spans="1:8" x14ac:dyDescent="0.25">
      <c r="A6" s="126"/>
      <c r="B6" s="127"/>
      <c r="C6" s="128" t="s">
        <v>231</v>
      </c>
      <c r="D6" s="129" t="s">
        <v>232</v>
      </c>
      <c r="E6" s="129" t="s">
        <v>233</v>
      </c>
      <c r="F6" s="130"/>
      <c r="G6" s="131" t="s">
        <v>234</v>
      </c>
      <c r="H6" s="132" t="s">
        <v>235</v>
      </c>
    </row>
    <row r="7" spans="1:8" ht="12.75" customHeight="1" x14ac:dyDescent="0.25">
      <c r="A7" s="209" t="s">
        <v>208</v>
      </c>
      <c r="B7" s="133" t="s">
        <v>3</v>
      </c>
      <c r="C7" s="20">
        <v>247116.93649583758</v>
      </c>
      <c r="D7" s="20">
        <v>269991.33667365054</v>
      </c>
      <c r="E7" s="79">
        <v>282904.66913923167</v>
      </c>
      <c r="F7" s="22" t="s">
        <v>236</v>
      </c>
      <c r="G7" s="134">
        <v>14.482104363573995</v>
      </c>
      <c r="H7" s="135">
        <v>4.7828691930178451</v>
      </c>
    </row>
    <row r="8" spans="1:8" ht="12.75" customHeight="1" x14ac:dyDescent="0.25">
      <c r="A8" s="210"/>
      <c r="B8" s="136" t="s">
        <v>237</v>
      </c>
      <c r="C8" s="26">
        <v>175130.33367981407</v>
      </c>
      <c r="D8" s="26">
        <v>193238.6</v>
      </c>
      <c r="E8" s="26">
        <v>201813.89713771018</v>
      </c>
      <c r="F8" s="27"/>
      <c r="G8" s="137">
        <v>15.23640302466444</v>
      </c>
      <c r="H8" s="138">
        <v>4.437672979265102</v>
      </c>
    </row>
    <row r="9" spans="1:8" x14ac:dyDescent="0.25">
      <c r="A9" s="139" t="s">
        <v>227</v>
      </c>
      <c r="B9" s="140" t="s">
        <v>3</v>
      </c>
      <c r="C9" s="20">
        <v>10549.791249242462</v>
      </c>
      <c r="D9" s="20">
        <v>11637.129718670916</v>
      </c>
      <c r="E9" s="20">
        <v>11616.686998248842</v>
      </c>
      <c r="F9" s="22" t="s">
        <v>236</v>
      </c>
      <c r="G9" s="141">
        <v>10.112956017807377</v>
      </c>
      <c r="H9" s="142">
        <v>-0.17566806348540354</v>
      </c>
    </row>
    <row r="10" spans="1:8" x14ac:dyDescent="0.25">
      <c r="A10" s="143"/>
      <c r="B10" s="136" t="s">
        <v>237</v>
      </c>
      <c r="C10" s="26">
        <v>7242.6958761860787</v>
      </c>
      <c r="D10" s="26">
        <v>8219.9991421959057</v>
      </c>
      <c r="E10" s="26">
        <v>8127.2897863524149</v>
      </c>
      <c r="F10" s="27"/>
      <c r="G10" s="144">
        <v>12.213600091574634</v>
      </c>
      <c r="H10" s="138">
        <v>-1.1278511620224378</v>
      </c>
    </row>
    <row r="11" spans="1:8" x14ac:dyDescent="0.25">
      <c r="A11" s="139" t="s">
        <v>241</v>
      </c>
      <c r="B11" s="140" t="s">
        <v>3</v>
      </c>
      <c r="C11" s="20">
        <v>151361.056871704</v>
      </c>
      <c r="D11" s="20">
        <v>152231.31228188321</v>
      </c>
      <c r="E11" s="20">
        <v>166766.62802284578</v>
      </c>
      <c r="F11" s="22" t="s">
        <v>236</v>
      </c>
      <c r="G11" s="145">
        <v>10.178028265354783</v>
      </c>
      <c r="H11" s="142">
        <v>9.5481773907642946</v>
      </c>
    </row>
    <row r="12" spans="1:8" x14ac:dyDescent="0.25">
      <c r="A12" s="143"/>
      <c r="B12" s="136" t="s">
        <v>237</v>
      </c>
      <c r="C12" s="26">
        <v>105672.03990387896</v>
      </c>
      <c r="D12" s="26">
        <v>105909.06826498281</v>
      </c>
      <c r="E12" s="26">
        <v>116156.44446076429</v>
      </c>
      <c r="F12" s="27"/>
      <c r="G12" s="137">
        <v>9.9216448990878945</v>
      </c>
      <c r="H12" s="138">
        <v>9.675636244993413</v>
      </c>
    </row>
    <row r="13" spans="1:8" x14ac:dyDescent="0.25">
      <c r="A13" s="139" t="s">
        <v>209</v>
      </c>
      <c r="B13" s="140" t="s">
        <v>3</v>
      </c>
      <c r="C13" s="20">
        <v>87322.360329718533</v>
      </c>
      <c r="D13" s="20">
        <v>101479.15804518112</v>
      </c>
      <c r="E13" s="20">
        <v>103652.78213524475</v>
      </c>
      <c r="F13" s="22" t="s">
        <v>236</v>
      </c>
      <c r="G13" s="134">
        <v>18.701305992949059</v>
      </c>
      <c r="H13" s="135">
        <v>2.1419413916460286</v>
      </c>
    </row>
    <row r="14" spans="1:8" x14ac:dyDescent="0.25">
      <c r="A14" s="143"/>
      <c r="B14" s="136" t="s">
        <v>237</v>
      </c>
      <c r="C14" s="26">
        <v>61059.535948152021</v>
      </c>
      <c r="D14" s="26">
        <v>73103.283569076564</v>
      </c>
      <c r="E14" s="26">
        <v>73924.330594911618</v>
      </c>
      <c r="F14" s="27"/>
      <c r="G14" s="146">
        <v>21.06926370630066</v>
      </c>
      <c r="H14" s="135">
        <v>1.1231328960199534</v>
      </c>
    </row>
    <row r="15" spans="1:8" x14ac:dyDescent="0.25">
      <c r="A15" s="139" t="s">
        <v>210</v>
      </c>
      <c r="B15" s="140" t="s">
        <v>3</v>
      </c>
      <c r="C15" s="20">
        <v>5622</v>
      </c>
      <c r="D15" s="20">
        <v>6395</v>
      </c>
      <c r="E15" s="20">
        <v>9214.2591888059906</v>
      </c>
      <c r="F15" s="22" t="s">
        <v>236</v>
      </c>
      <c r="G15" s="145">
        <v>63.896463692742628</v>
      </c>
      <c r="H15" s="142">
        <v>44.085366517685543</v>
      </c>
    </row>
    <row r="16" spans="1:8" x14ac:dyDescent="0.25">
      <c r="A16" s="143"/>
      <c r="B16" s="136" t="s">
        <v>237</v>
      </c>
      <c r="C16" s="26">
        <v>3824</v>
      </c>
      <c r="D16" s="26">
        <v>4191</v>
      </c>
      <c r="E16" s="26">
        <v>6113</v>
      </c>
      <c r="F16" s="27"/>
      <c r="G16" s="137">
        <v>59.858786610878667</v>
      </c>
      <c r="H16" s="138">
        <v>45.860176568837971</v>
      </c>
    </row>
    <row r="17" spans="1:9" x14ac:dyDescent="0.25">
      <c r="A17" s="139" t="s">
        <v>211</v>
      </c>
      <c r="B17" s="140" t="s">
        <v>3</v>
      </c>
      <c r="C17" s="20">
        <v>12116.728045172593</v>
      </c>
      <c r="D17" s="20">
        <v>15147.73662791529</v>
      </c>
      <c r="E17" s="20">
        <v>12184.47405797266</v>
      </c>
      <c r="F17" s="22" t="s">
        <v>236</v>
      </c>
      <c r="G17" s="134">
        <v>0.55911144120346989</v>
      </c>
      <c r="H17" s="135">
        <v>-19.562411485830339</v>
      </c>
    </row>
    <row r="18" spans="1:9" ht="14.3" thickBot="1" x14ac:dyDescent="0.3">
      <c r="A18" s="149"/>
      <c r="B18" s="150" t="s">
        <v>237</v>
      </c>
      <c r="C18" s="43">
        <v>7556.0619515970184</v>
      </c>
      <c r="D18" s="43">
        <v>10628.326737179937</v>
      </c>
      <c r="E18" s="43">
        <v>8206.8322956818502</v>
      </c>
      <c r="F18" s="44"/>
      <c r="G18" s="151">
        <v>8.6125596673712721</v>
      </c>
      <c r="H18" s="152">
        <v>-22.783402330182724</v>
      </c>
    </row>
    <row r="25" spans="1:9" x14ac:dyDescent="0.25">
      <c r="I25" s="148"/>
    </row>
    <row r="26" spans="1:9" x14ac:dyDescent="0.25">
      <c r="I26" s="148"/>
    </row>
    <row r="27" spans="1:9" x14ac:dyDescent="0.25">
      <c r="A27" s="153"/>
      <c r="B27" s="153"/>
      <c r="C27" s="64"/>
      <c r="D27" s="64"/>
      <c r="E27" s="21"/>
      <c r="F27" s="59"/>
      <c r="G27" s="146"/>
      <c r="H27" s="154"/>
      <c r="I27" s="148"/>
    </row>
    <row r="28" spans="1:9" x14ac:dyDescent="0.25">
      <c r="A28" s="153"/>
      <c r="B28" s="153"/>
      <c r="C28" s="64"/>
      <c r="D28" s="64"/>
      <c r="E28" s="21"/>
      <c r="F28" s="59"/>
      <c r="G28" s="146"/>
      <c r="H28" s="154"/>
      <c r="I28" s="148"/>
    </row>
    <row r="29" spans="1:9" x14ac:dyDescent="0.25">
      <c r="A29" s="153"/>
      <c r="B29" s="153"/>
      <c r="C29" s="64"/>
      <c r="D29" s="64"/>
      <c r="E29" s="21"/>
      <c r="F29" s="59"/>
      <c r="G29" s="146"/>
      <c r="H29" s="154"/>
      <c r="I29" s="148"/>
    </row>
    <row r="30" spans="1:9" x14ac:dyDescent="0.25">
      <c r="A30" s="155"/>
      <c r="B30" s="156"/>
      <c r="C30" s="21"/>
      <c r="D30" s="21"/>
      <c r="E30" s="21"/>
      <c r="F30" s="63"/>
      <c r="G30" s="146"/>
      <c r="H30" s="154"/>
      <c r="I30" s="148"/>
    </row>
    <row r="31" spans="1:9" x14ac:dyDescent="0.25">
      <c r="A31" s="157"/>
      <c r="B31" s="158"/>
      <c r="C31" s="49"/>
      <c r="D31" s="55"/>
      <c r="E31" s="49"/>
      <c r="F31" s="49"/>
      <c r="G31" s="159"/>
      <c r="H31" s="160"/>
      <c r="I31" s="148"/>
    </row>
    <row r="32" spans="1:9" ht="16.3" thickBot="1" x14ac:dyDescent="0.3">
      <c r="A32" s="118" t="s">
        <v>217</v>
      </c>
      <c r="B32" s="119"/>
      <c r="C32" s="119"/>
      <c r="D32" s="119"/>
      <c r="E32" s="119"/>
      <c r="F32" s="119"/>
      <c r="G32" s="119"/>
      <c r="H32" s="120"/>
    </row>
    <row r="33" spans="1:8" x14ac:dyDescent="0.25">
      <c r="A33" s="121"/>
      <c r="B33" s="122"/>
      <c r="C33" s="211" t="s">
        <v>16</v>
      </c>
      <c r="D33" s="207"/>
      <c r="E33" s="207"/>
      <c r="F33" s="212"/>
      <c r="G33" s="207" t="s">
        <v>1</v>
      </c>
      <c r="H33" s="208"/>
    </row>
    <row r="34" spans="1:8" x14ac:dyDescent="0.25">
      <c r="A34" s="126"/>
      <c r="B34" s="127"/>
      <c r="C34" s="128" t="s">
        <v>231</v>
      </c>
      <c r="D34" s="129" t="s">
        <v>232</v>
      </c>
      <c r="E34" s="129" t="s">
        <v>233</v>
      </c>
      <c r="F34" s="130"/>
      <c r="G34" s="131" t="s">
        <v>234</v>
      </c>
      <c r="H34" s="132" t="s">
        <v>235</v>
      </c>
    </row>
    <row r="35" spans="1:8" ht="12.75" customHeight="1" x14ac:dyDescent="0.25">
      <c r="A35" s="209" t="s">
        <v>208</v>
      </c>
      <c r="B35" s="133" t="s">
        <v>3</v>
      </c>
      <c r="C35" s="80">
        <v>889.62084010833598</v>
      </c>
      <c r="D35" s="80">
        <v>982.35582708179106</v>
      </c>
      <c r="E35" s="81">
        <v>1105.8301251416167</v>
      </c>
      <c r="F35" s="22" t="s">
        <v>236</v>
      </c>
      <c r="G35" s="134">
        <v>24.30353194142252</v>
      </c>
      <c r="H35" s="135">
        <v>12.569202997107595</v>
      </c>
    </row>
    <row r="36" spans="1:8" ht="12.75" customHeight="1" x14ac:dyDescent="0.25">
      <c r="A36" s="210"/>
      <c r="B36" s="136" t="s">
        <v>237</v>
      </c>
      <c r="C36" s="82">
        <v>630.32073313995556</v>
      </c>
      <c r="D36" s="82">
        <v>708.14075528587591</v>
      </c>
      <c r="E36" s="82">
        <v>792.55013661210501</v>
      </c>
      <c r="F36" s="27"/>
      <c r="G36" s="137">
        <v>25.737595948018452</v>
      </c>
      <c r="H36" s="138">
        <v>11.9198592506024</v>
      </c>
    </row>
    <row r="37" spans="1:8" x14ac:dyDescent="0.25">
      <c r="A37" s="139" t="s">
        <v>227</v>
      </c>
      <c r="B37" s="140" t="s">
        <v>3</v>
      </c>
      <c r="C37" s="80">
        <v>299.26708655348745</v>
      </c>
      <c r="D37" s="80">
        <v>317.98876156719399</v>
      </c>
      <c r="E37" s="80">
        <v>333.42671807001506</v>
      </c>
      <c r="F37" s="22" t="s">
        <v>236</v>
      </c>
      <c r="G37" s="141">
        <v>11.414429802464213</v>
      </c>
      <c r="H37" s="142">
        <v>4.8548748788277152</v>
      </c>
    </row>
    <row r="38" spans="1:8" x14ac:dyDescent="0.25">
      <c r="A38" s="143"/>
      <c r="B38" s="136" t="s">
        <v>237</v>
      </c>
      <c r="C38" s="82">
        <v>213.85979742965762</v>
      </c>
      <c r="D38" s="82">
        <v>229.66169367090362</v>
      </c>
      <c r="E38" s="82">
        <v>239.95854609502211</v>
      </c>
      <c r="F38" s="27"/>
      <c r="G38" s="144">
        <v>12.203672209101796</v>
      </c>
      <c r="H38" s="138">
        <v>4.4834871064190196</v>
      </c>
    </row>
    <row r="39" spans="1:8" x14ac:dyDescent="0.25">
      <c r="A39" s="139" t="s">
        <v>241</v>
      </c>
      <c r="B39" s="140" t="s">
        <v>3</v>
      </c>
      <c r="C39" s="80">
        <v>217.65020579376716</v>
      </c>
      <c r="D39" s="80">
        <v>227.19536181345052</v>
      </c>
      <c r="E39" s="80">
        <v>258.85163255750115</v>
      </c>
      <c r="F39" s="22" t="s">
        <v>236</v>
      </c>
      <c r="G39" s="145">
        <v>18.930111558347946</v>
      </c>
      <c r="H39" s="142">
        <v>13.933502203290345</v>
      </c>
    </row>
    <row r="40" spans="1:8" x14ac:dyDescent="0.25">
      <c r="A40" s="143"/>
      <c r="B40" s="136" t="s">
        <v>237</v>
      </c>
      <c r="C40" s="82">
        <v>162.24347769759765</v>
      </c>
      <c r="D40" s="82">
        <v>165.73797608526792</v>
      </c>
      <c r="E40" s="82">
        <v>190.1864304730079</v>
      </c>
      <c r="F40" s="27"/>
      <c r="G40" s="137">
        <v>17.222851218396926</v>
      </c>
      <c r="H40" s="138">
        <v>14.75126881914008</v>
      </c>
    </row>
    <row r="41" spans="1:8" x14ac:dyDescent="0.25">
      <c r="A41" s="139" t="s">
        <v>209</v>
      </c>
      <c r="B41" s="140" t="s">
        <v>3</v>
      </c>
      <c r="C41" s="80">
        <v>269.30721068588025</v>
      </c>
      <c r="D41" s="80">
        <v>283.77362038047022</v>
      </c>
      <c r="E41" s="80">
        <v>343.01631160496072</v>
      </c>
      <c r="F41" s="22" t="s">
        <v>236</v>
      </c>
      <c r="G41" s="134">
        <v>27.369895047130655</v>
      </c>
      <c r="H41" s="135">
        <v>20.876743632850975</v>
      </c>
    </row>
    <row r="42" spans="1:8" x14ac:dyDescent="0.25">
      <c r="A42" s="143"/>
      <c r="B42" s="136" t="s">
        <v>237</v>
      </c>
      <c r="C42" s="82">
        <v>198.20002046976799</v>
      </c>
      <c r="D42" s="82">
        <v>208.30173736120145</v>
      </c>
      <c r="E42" s="82">
        <v>252.00757499986557</v>
      </c>
      <c r="F42" s="27"/>
      <c r="G42" s="146">
        <v>27.148107453553479</v>
      </c>
      <c r="H42" s="135">
        <v>20.981984208262688</v>
      </c>
    </row>
    <row r="43" spans="1:8" x14ac:dyDescent="0.25">
      <c r="A43" s="139" t="s">
        <v>210</v>
      </c>
      <c r="B43" s="140" t="s">
        <v>3</v>
      </c>
      <c r="C43" s="80">
        <v>27.488966675166722</v>
      </c>
      <c r="D43" s="80">
        <v>31.958343427435821</v>
      </c>
      <c r="E43" s="80">
        <v>49.343200364145723</v>
      </c>
      <c r="F43" s="22" t="s">
        <v>236</v>
      </c>
      <c r="G43" s="145">
        <v>79.501837763592306</v>
      </c>
      <c r="H43" s="142">
        <v>54.398492137690823</v>
      </c>
    </row>
    <row r="44" spans="1:8" x14ac:dyDescent="0.25">
      <c r="A44" s="143"/>
      <c r="B44" s="136" t="s">
        <v>237</v>
      </c>
      <c r="C44" s="82">
        <v>19.078627667599118</v>
      </c>
      <c r="D44" s="82">
        <v>22.662126820117518</v>
      </c>
      <c r="E44" s="82">
        <v>34.738589296842477</v>
      </c>
      <c r="F44" s="27"/>
      <c r="G44" s="137">
        <v>82.081174296610357</v>
      </c>
      <c r="H44" s="138">
        <v>53.289184076070455</v>
      </c>
    </row>
    <row r="45" spans="1:8" x14ac:dyDescent="0.25">
      <c r="A45" s="139" t="s">
        <v>211</v>
      </c>
      <c r="B45" s="140" t="s">
        <v>3</v>
      </c>
      <c r="C45" s="80">
        <v>75.907370400034452</v>
      </c>
      <c r="D45" s="80">
        <v>121.43973989324057</v>
      </c>
      <c r="E45" s="80">
        <v>126.72788088461968</v>
      </c>
      <c r="F45" s="22" t="s">
        <v>236</v>
      </c>
      <c r="G45" s="134">
        <v>66.950692952159187</v>
      </c>
      <c r="H45" s="135">
        <v>4.3545391286476729</v>
      </c>
    </row>
    <row r="46" spans="1:8" ht="14.3" thickBot="1" x14ac:dyDescent="0.3">
      <c r="A46" s="149"/>
      <c r="B46" s="150" t="s">
        <v>237</v>
      </c>
      <c r="C46" s="86">
        <v>36.938809875333298</v>
      </c>
      <c r="D46" s="86">
        <v>81.777221348385424</v>
      </c>
      <c r="E46" s="86">
        <v>75.65899574736703</v>
      </c>
      <c r="F46" s="44"/>
      <c r="G46" s="151">
        <v>104.82250511782186</v>
      </c>
      <c r="H46" s="152">
        <v>-7.4815767766841503</v>
      </c>
    </row>
    <row r="53" spans="1:9" x14ac:dyDescent="0.25">
      <c r="I53" s="148"/>
    </row>
    <row r="54" spans="1:9" x14ac:dyDescent="0.25">
      <c r="I54" s="148"/>
    </row>
    <row r="55" spans="1:9" x14ac:dyDescent="0.25">
      <c r="A55" s="155"/>
      <c r="B55" s="156"/>
      <c r="C55" s="21"/>
      <c r="D55" s="21"/>
      <c r="E55" s="21"/>
      <c r="F55" s="63"/>
      <c r="G55" s="146"/>
      <c r="H55" s="154"/>
      <c r="I55" s="148"/>
    </row>
    <row r="56" spans="1:9" x14ac:dyDescent="0.25">
      <c r="A56" s="155"/>
      <c r="B56" s="156"/>
      <c r="C56" s="21"/>
      <c r="D56" s="21"/>
      <c r="E56" s="21"/>
      <c r="F56" s="63"/>
      <c r="G56" s="146"/>
      <c r="H56" s="154"/>
      <c r="I56" s="148"/>
    </row>
    <row r="57" spans="1:9" x14ac:dyDescent="0.25">
      <c r="A57" s="155"/>
      <c r="B57" s="156"/>
      <c r="C57" s="21"/>
      <c r="D57" s="21"/>
      <c r="E57" s="21"/>
      <c r="F57" s="63"/>
      <c r="G57" s="146"/>
      <c r="H57" s="154"/>
      <c r="I57" s="148"/>
    </row>
    <row r="58" spans="1:9" x14ac:dyDescent="0.25">
      <c r="A58" s="155"/>
      <c r="B58" s="156"/>
      <c r="C58" s="21"/>
      <c r="D58" s="21"/>
      <c r="E58" s="21"/>
      <c r="F58" s="63"/>
      <c r="G58" s="146"/>
      <c r="H58" s="154"/>
      <c r="I58" s="148"/>
    </row>
    <row r="59" spans="1:9" x14ac:dyDescent="0.25">
      <c r="A59" s="157"/>
      <c r="B59" s="158"/>
      <c r="C59" s="49"/>
      <c r="D59" s="49"/>
      <c r="E59" s="49"/>
      <c r="F59" s="49"/>
      <c r="G59" s="159"/>
      <c r="H59" s="160"/>
      <c r="I59" s="148"/>
    </row>
    <row r="60" spans="1:9" x14ac:dyDescent="0.25">
      <c r="A60" s="161"/>
      <c r="B60" s="161"/>
      <c r="C60" s="161"/>
      <c r="D60" s="161"/>
      <c r="E60" s="161"/>
      <c r="F60" s="161"/>
      <c r="G60" s="161"/>
      <c r="H60" s="161"/>
    </row>
    <row r="61" spans="1:9" ht="12.75" customHeight="1" x14ac:dyDescent="0.25">
      <c r="A61" s="162" t="s">
        <v>238</v>
      </c>
      <c r="G61" s="163"/>
      <c r="H61" s="205">
        <v>23</v>
      </c>
    </row>
    <row r="62" spans="1:9" ht="12.75" customHeight="1" x14ac:dyDescent="0.25">
      <c r="A62" s="162" t="s">
        <v>239</v>
      </c>
      <c r="G62" s="163"/>
      <c r="H62" s="206"/>
    </row>
    <row r="67" ht="12.75" customHeight="1" x14ac:dyDescent="0.25"/>
    <row r="68" ht="12.75" customHeight="1" x14ac:dyDescent="0.25"/>
  </sheetData>
  <mergeCells count="6">
    <mergeCell ref="H61:H62"/>
    <mergeCell ref="G5:H5"/>
    <mergeCell ref="A7:A8"/>
    <mergeCell ref="C33:F33"/>
    <mergeCell ref="G33:H33"/>
    <mergeCell ref="A35:A36"/>
  </mergeCells>
  <hyperlinks>
    <hyperlink ref="A2" location="Innhold!A70" display="Tilbake til innholdsfortegnelsen" xr:uid="{00000000-0004-0000-1200-000000000000}"/>
  </hyperlinks>
  <pageMargins left="0.78740157480314965" right="0.78740157480314965" top="0.98425196850393704" bottom="0.19685039370078741" header="3.937007874015748E-2" footer="3.937007874015748E-2"/>
  <pageSetup paperSize="9" scale="9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N163"/>
  <sheetViews>
    <sheetView showGridLines="0" showRowColHeaders="0" zoomScale="80" zoomScaleNormal="80" workbookViewId="0"/>
  </sheetViews>
  <sheetFormatPr defaultColWidth="11.5" defaultRowHeight="12.75" customHeight="1" x14ac:dyDescent="0.25"/>
  <cols>
    <col min="1" max="1" width="11.375" style="89" customWidth="1"/>
    <col min="2" max="2" width="27.125" style="1" customWidth="1"/>
    <col min="3" max="5" width="10.625" style="1" customWidth="1"/>
    <col min="6" max="8" width="7.625" style="1" customWidth="1"/>
    <col min="9" max="16384" width="11.5" style="1"/>
  </cols>
  <sheetData>
    <row r="2" spans="1:8" ht="12.75" customHeight="1" x14ac:dyDescent="0.25">
      <c r="B2" s="2"/>
      <c r="C2" s="2"/>
      <c r="D2" s="2"/>
      <c r="E2" s="2"/>
      <c r="F2" s="2"/>
      <c r="G2" s="2"/>
    </row>
    <row r="3" spans="1:8" ht="12.75" customHeight="1" x14ac:dyDescent="0.25">
      <c r="A3" s="90"/>
      <c r="B3" s="2"/>
      <c r="C3" s="2"/>
      <c r="D3" s="2"/>
      <c r="E3" s="2"/>
      <c r="F3" s="2"/>
      <c r="G3" s="2"/>
    </row>
    <row r="4" spans="1:8" ht="12.75" customHeight="1" x14ac:dyDescent="0.25">
      <c r="A4" s="90"/>
      <c r="C4" s="74"/>
      <c r="D4" s="74" t="s">
        <v>88</v>
      </c>
      <c r="E4" s="74"/>
      <c r="F4" s="74"/>
      <c r="G4" s="74"/>
      <c r="H4" s="74"/>
    </row>
    <row r="5" spans="1:8" ht="12.75" customHeight="1" x14ac:dyDescent="0.25">
      <c r="A5" s="90"/>
      <c r="B5" s="75"/>
      <c r="C5" s="74"/>
      <c r="D5" s="74"/>
      <c r="E5" s="74"/>
      <c r="F5" s="74"/>
      <c r="G5" s="74"/>
      <c r="H5" s="74"/>
    </row>
    <row r="6" spans="1:8" ht="12.75" customHeight="1" x14ac:dyDescent="0.25">
      <c r="A6" s="90"/>
      <c r="B6" s="73"/>
      <c r="C6" s="73"/>
      <c r="D6" s="73"/>
      <c r="E6" s="73"/>
      <c r="F6" s="73"/>
      <c r="G6" s="73"/>
      <c r="H6" s="73"/>
    </row>
    <row r="7" spans="1:8" ht="12.75" customHeight="1" x14ac:dyDescent="0.25">
      <c r="A7" s="90"/>
      <c r="B7" s="73"/>
      <c r="C7" s="73"/>
      <c r="D7" s="73"/>
      <c r="E7" s="73"/>
      <c r="F7" s="73"/>
      <c r="G7" s="73"/>
      <c r="H7" s="73"/>
    </row>
    <row r="8" spans="1:8" ht="12.75" customHeight="1" x14ac:dyDescent="0.25">
      <c r="A8" s="91" t="s">
        <v>114</v>
      </c>
      <c r="B8" s="73" t="s">
        <v>89</v>
      </c>
      <c r="C8" s="73"/>
      <c r="D8" s="73"/>
      <c r="E8" s="73"/>
      <c r="F8" s="73"/>
      <c r="G8" s="73"/>
      <c r="H8" s="76">
        <v>2</v>
      </c>
    </row>
    <row r="9" spans="1:8" ht="12.75" customHeight="1" x14ac:dyDescent="0.25">
      <c r="B9" s="73"/>
      <c r="C9" s="73"/>
      <c r="D9" s="73"/>
      <c r="E9" s="73"/>
      <c r="F9" s="73"/>
      <c r="G9" s="73"/>
      <c r="H9" s="76"/>
    </row>
    <row r="10" spans="1:8" ht="12.75" customHeight="1" x14ac:dyDescent="0.25">
      <c r="B10" s="73" t="s">
        <v>90</v>
      </c>
      <c r="C10" s="73"/>
      <c r="D10" s="73"/>
      <c r="E10" s="73"/>
      <c r="F10" s="73"/>
      <c r="G10" s="73"/>
      <c r="H10" s="76"/>
    </row>
    <row r="11" spans="1:8" ht="12.75" customHeight="1" x14ac:dyDescent="0.25">
      <c r="A11" s="91" t="s">
        <v>115</v>
      </c>
      <c r="B11" s="73" t="str">
        <f>+'Tab2'!A6&amp;" ……………………………………………"</f>
        <v>Figur 1. Antall meldte skader etter bransjer  ……………………………………………</v>
      </c>
      <c r="C11" s="73"/>
      <c r="D11" s="73"/>
      <c r="E11" s="73"/>
      <c r="F11" s="73"/>
      <c r="G11" s="73"/>
      <c r="H11" s="76">
        <v>4</v>
      </c>
    </row>
    <row r="12" spans="1:8" ht="12.75" customHeight="1" x14ac:dyDescent="0.25">
      <c r="B12" s="73" t="str">
        <f>+'Tab2'!A32&amp;" ……………………………"</f>
        <v>Figur 2. Antall meldte skader etter bransjer  ……………………………</v>
      </c>
      <c r="C12" s="73"/>
      <c r="D12" s="73"/>
      <c r="E12" s="73"/>
      <c r="F12" s="73"/>
      <c r="G12" s="73"/>
      <c r="H12" s="76">
        <v>4</v>
      </c>
    </row>
    <row r="13" spans="1:8" ht="12.75" customHeight="1" x14ac:dyDescent="0.25">
      <c r="B13" s="73" t="str">
        <f>+'Tab2'!I6&amp;"  ………………………………………………………………………………………………….."</f>
        <v>Figur 3. Anslått erstatning etter bransje, pr.   …………………………………………………………………………………………………..</v>
      </c>
      <c r="C13" s="73"/>
      <c r="D13" s="73"/>
      <c r="E13" s="73"/>
      <c r="F13" s="73"/>
      <c r="G13" s="73"/>
      <c r="H13" s="76">
        <v>5</v>
      </c>
    </row>
    <row r="14" spans="1:8" ht="12.75" customHeight="1" x14ac:dyDescent="0.25">
      <c r="B14" s="73" t="str">
        <f>+'Tab2'!I32&amp;"  ………………………………………………………………………………………………….."</f>
        <v>Figur 4. Vannskader pr. kvartal  …………………………………………………………………………………………………..</v>
      </c>
      <c r="C14" s="73"/>
      <c r="D14" s="73"/>
      <c r="E14" s="73"/>
      <c r="F14" s="73"/>
      <c r="G14" s="73"/>
      <c r="H14" s="76">
        <v>5</v>
      </c>
    </row>
    <row r="15" spans="1:8" ht="12.75" customHeight="1" x14ac:dyDescent="0.25">
      <c r="B15" s="73" t="str">
        <f>+'Tab2'!P6&amp;" ……………………………"</f>
        <v>Figur 5. Antall meldte skader i motorvogn kvartalsvis (i 1000) ……………………………</v>
      </c>
      <c r="C15" s="73"/>
      <c r="D15" s="73"/>
      <c r="E15" s="73"/>
      <c r="F15" s="73"/>
      <c r="G15" s="73"/>
      <c r="H15" s="76">
        <v>6</v>
      </c>
    </row>
    <row r="16" spans="1:8" ht="12.75" customHeight="1" x14ac:dyDescent="0.25">
      <c r="B16" s="73" t="str">
        <f>+'Tab2'!P32&amp;" ……………………………"</f>
        <v>Figur 6. Anslått erstatning etter skadetype, motorvogn  2018 ……………………………</v>
      </c>
      <c r="C16" s="73"/>
      <c r="D16" s="73"/>
      <c r="E16" s="73"/>
      <c r="F16" s="73"/>
      <c r="G16" s="73"/>
      <c r="H16" s="76">
        <v>6</v>
      </c>
    </row>
    <row r="17" spans="1:14" ht="12.75" customHeight="1" x14ac:dyDescent="0.25">
      <c r="B17" s="73" t="str">
        <f>+'Tab2'!W6&amp;" ……………………………………………………………"</f>
        <v>Figur 7. Antall meldte skader i de Brann-kombinerte bransjer etter skadetype  ……………………………………………………………</v>
      </c>
      <c r="C17" s="73"/>
      <c r="D17" s="73"/>
      <c r="E17" s="73"/>
      <c r="F17" s="73"/>
      <c r="G17" s="73"/>
      <c r="H17" s="76">
        <v>7</v>
      </c>
    </row>
    <row r="18" spans="1:14" ht="12.75" customHeight="1" x14ac:dyDescent="0.25">
      <c r="B18" s="73" t="str">
        <f>+'Tab2'!W32&amp;" ……………………………………………………………"</f>
        <v>Figur 8. Anslått erstatning i de Brann-kombinerte bransjer etter skadetype  ……………………………………………………………</v>
      </c>
      <c r="C18" s="73"/>
      <c r="D18" s="73"/>
      <c r="E18" s="73"/>
      <c r="F18" s="73"/>
      <c r="G18" s="73"/>
      <c r="H18" s="76">
        <v>7</v>
      </c>
    </row>
    <row r="19" spans="1:14" ht="12.75" customHeight="1" x14ac:dyDescent="0.25">
      <c r="B19" s="73" t="str">
        <f>+'Tab2'!AD6&amp;"  ………………………………………………………………………………………………….."</f>
        <v>Figur 9. Brannskader pr. kvartal  …………………………………………………………………………………………………..</v>
      </c>
      <c r="C19" s="73"/>
      <c r="D19" s="73"/>
      <c r="E19" s="73"/>
      <c r="F19" s="73"/>
      <c r="G19" s="73"/>
      <c r="H19" s="76">
        <v>8</v>
      </c>
    </row>
    <row r="20" spans="1:14" ht="12.75" customHeight="1" x14ac:dyDescent="0.25">
      <c r="B20" s="73" t="str">
        <f>+'Tab2'!AD32&amp;"  ………………………………………………………………………………………………….."</f>
        <v>Figur 10. Innbrudd, tyverier og ran pr. kvartal  …………………………………………………………………………………………………..</v>
      </c>
      <c r="C20" s="73"/>
      <c r="D20" s="73"/>
      <c r="E20" s="73"/>
      <c r="F20" s="73"/>
      <c r="G20" s="73"/>
      <c r="H20" s="76">
        <v>8</v>
      </c>
    </row>
    <row r="22" spans="1:14" ht="12.75" customHeight="1" x14ac:dyDescent="0.25">
      <c r="B22" s="73" t="s">
        <v>91</v>
      </c>
      <c r="C22" s="73"/>
      <c r="D22" s="73"/>
      <c r="E22" s="73"/>
      <c r="F22" s="73"/>
      <c r="G22" s="73"/>
      <c r="H22" s="76"/>
    </row>
    <row r="23" spans="1:14" ht="12.75" customHeight="1" x14ac:dyDescent="0.25">
      <c r="A23" s="91" t="s">
        <v>116</v>
      </c>
      <c r="B23" s="73" t="s">
        <v>131</v>
      </c>
      <c r="C23" s="73"/>
      <c r="D23" s="73"/>
      <c r="E23" s="73"/>
      <c r="F23" s="73"/>
      <c r="G23" s="73"/>
      <c r="H23" s="76">
        <v>9</v>
      </c>
    </row>
    <row r="24" spans="1:14" ht="12.75" customHeight="1" x14ac:dyDescent="0.25">
      <c r="A24" s="91" t="s">
        <v>117</v>
      </c>
      <c r="B24" s="73" t="s">
        <v>93</v>
      </c>
      <c r="C24" s="73"/>
      <c r="D24" s="73"/>
      <c r="E24" s="73"/>
      <c r="F24" s="73"/>
      <c r="G24" s="73"/>
      <c r="H24" s="76">
        <f>H23+1</f>
        <v>10</v>
      </c>
    </row>
    <row r="25" spans="1:14" ht="12.75" customHeight="1" x14ac:dyDescent="0.25">
      <c r="B25" s="73"/>
      <c r="C25" s="73"/>
      <c r="D25" s="73"/>
      <c r="E25" s="73"/>
      <c r="F25" s="73"/>
      <c r="G25" s="73"/>
      <c r="H25" s="76"/>
    </row>
    <row r="26" spans="1:14" ht="12.75" customHeight="1" x14ac:dyDescent="0.25">
      <c r="A26" s="91" t="s">
        <v>118</v>
      </c>
      <c r="B26" s="73" t="s">
        <v>132</v>
      </c>
      <c r="C26" s="73"/>
      <c r="D26" s="73"/>
      <c r="E26" s="73"/>
      <c r="F26" s="73"/>
      <c r="G26" s="73"/>
      <c r="H26" s="76">
        <f>+H24+1</f>
        <v>11</v>
      </c>
    </row>
    <row r="27" spans="1:14" ht="12.75" customHeight="1" x14ac:dyDescent="0.25">
      <c r="B27" s="73" t="s">
        <v>94</v>
      </c>
      <c r="C27" s="73"/>
      <c r="D27" s="73"/>
      <c r="E27" s="73"/>
      <c r="F27" s="73"/>
      <c r="G27" s="73"/>
      <c r="H27" s="76">
        <f>+H26</f>
        <v>11</v>
      </c>
      <c r="N27" s="77"/>
    </row>
    <row r="28" spans="1:14" ht="12.75" customHeight="1" x14ac:dyDescent="0.25">
      <c r="A28" s="91" t="s">
        <v>119</v>
      </c>
      <c r="B28" s="73" t="s">
        <v>133</v>
      </c>
      <c r="C28" s="73"/>
      <c r="D28" s="73"/>
      <c r="E28" s="73"/>
      <c r="F28" s="73"/>
      <c r="G28" s="73"/>
      <c r="H28" s="76">
        <f>+H26+1</f>
        <v>12</v>
      </c>
      <c r="N28" s="77"/>
    </row>
    <row r="29" spans="1:14" ht="12.75" customHeight="1" x14ac:dyDescent="0.25">
      <c r="B29" s="73" t="s">
        <v>95</v>
      </c>
      <c r="C29" s="73"/>
      <c r="D29" s="73"/>
      <c r="E29" s="73"/>
      <c r="F29" s="73"/>
      <c r="G29" s="73"/>
      <c r="H29" s="76">
        <f>+H28</f>
        <v>12</v>
      </c>
      <c r="N29" s="77"/>
    </row>
    <row r="30" spans="1:14" ht="12.75" customHeight="1" x14ac:dyDescent="0.25">
      <c r="B30" s="73"/>
      <c r="C30" s="73"/>
      <c r="D30" s="73"/>
      <c r="E30" s="73"/>
      <c r="F30" s="73"/>
      <c r="G30" s="73"/>
      <c r="H30" s="76"/>
      <c r="N30" s="77"/>
    </row>
    <row r="31" spans="1:14" ht="12.75" customHeight="1" x14ac:dyDescent="0.25">
      <c r="A31" s="91" t="s">
        <v>120</v>
      </c>
      <c r="B31" s="73" t="s">
        <v>134</v>
      </c>
      <c r="C31" s="73"/>
      <c r="D31" s="73"/>
      <c r="E31" s="73"/>
      <c r="F31" s="73"/>
      <c r="G31" s="73"/>
      <c r="H31" s="76">
        <f>+H29+1</f>
        <v>13</v>
      </c>
      <c r="N31" s="77"/>
    </row>
    <row r="32" spans="1:14" ht="12.75" customHeight="1" x14ac:dyDescent="0.25">
      <c r="B32" s="73" t="s">
        <v>96</v>
      </c>
      <c r="C32" s="73"/>
      <c r="D32" s="73"/>
      <c r="E32" s="73"/>
      <c r="F32" s="73"/>
      <c r="G32" s="73"/>
      <c r="H32" s="76">
        <f>+H31</f>
        <v>13</v>
      </c>
      <c r="N32" s="77"/>
    </row>
    <row r="33" spans="1:14" ht="12.75" customHeight="1" x14ac:dyDescent="0.25">
      <c r="A33" s="91" t="s">
        <v>121</v>
      </c>
      <c r="B33" s="73" t="s">
        <v>135</v>
      </c>
      <c r="C33" s="73"/>
      <c r="D33" s="73"/>
      <c r="E33" s="73"/>
      <c r="F33" s="73"/>
      <c r="G33" s="73"/>
      <c r="H33" s="76">
        <f>+H31+1</f>
        <v>14</v>
      </c>
      <c r="N33" s="77"/>
    </row>
    <row r="34" spans="1:14" ht="12.75" customHeight="1" x14ac:dyDescent="0.25">
      <c r="B34" s="73" t="s">
        <v>97</v>
      </c>
      <c r="C34" s="73"/>
      <c r="D34" s="73"/>
      <c r="E34" s="73"/>
      <c r="F34" s="73"/>
      <c r="G34" s="73"/>
      <c r="H34" s="76">
        <f>+H33</f>
        <v>14</v>
      </c>
      <c r="N34" s="77"/>
    </row>
    <row r="35" spans="1:14" ht="12.75" customHeight="1" x14ac:dyDescent="0.25">
      <c r="A35" s="91" t="s">
        <v>122</v>
      </c>
      <c r="B35" s="73" t="s">
        <v>136</v>
      </c>
      <c r="C35" s="73"/>
      <c r="D35" s="73"/>
      <c r="E35" s="73"/>
      <c r="F35" s="73"/>
      <c r="G35" s="73"/>
      <c r="H35" s="76">
        <f>+H34+1</f>
        <v>15</v>
      </c>
      <c r="N35" s="77"/>
    </row>
    <row r="36" spans="1:14" ht="12.75" customHeight="1" x14ac:dyDescent="0.25">
      <c r="B36" s="73" t="s">
        <v>100</v>
      </c>
      <c r="C36" s="73"/>
      <c r="D36" s="73"/>
      <c r="E36" s="73"/>
      <c r="F36" s="73"/>
      <c r="G36" s="73"/>
      <c r="H36" s="76">
        <f>+H35</f>
        <v>15</v>
      </c>
      <c r="N36" s="77"/>
    </row>
    <row r="37" spans="1:14" ht="12.75" customHeight="1" x14ac:dyDescent="0.25">
      <c r="A37" s="91" t="s">
        <v>123</v>
      </c>
      <c r="B37" s="73" t="s">
        <v>137</v>
      </c>
      <c r="C37" s="73"/>
      <c r="D37" s="73"/>
      <c r="E37" s="73"/>
      <c r="F37" s="73"/>
      <c r="G37" s="73"/>
      <c r="H37" s="76">
        <f>+H36+1</f>
        <v>16</v>
      </c>
      <c r="N37" s="77"/>
    </row>
    <row r="38" spans="1:14" ht="12.75" customHeight="1" x14ac:dyDescent="0.25">
      <c r="B38" s="73" t="s">
        <v>101</v>
      </c>
      <c r="C38" s="73"/>
      <c r="D38" s="73"/>
      <c r="E38" s="73"/>
      <c r="F38" s="73"/>
      <c r="G38" s="73"/>
      <c r="H38" s="76">
        <f>+H37</f>
        <v>16</v>
      </c>
      <c r="N38" s="77"/>
    </row>
    <row r="39" spans="1:14" ht="12.75" customHeight="1" x14ac:dyDescent="0.25">
      <c r="B39" s="73"/>
      <c r="C39" s="73"/>
      <c r="D39" s="73"/>
      <c r="E39" s="73"/>
      <c r="F39" s="73"/>
      <c r="G39" s="73"/>
      <c r="H39" s="76"/>
      <c r="N39" s="77"/>
    </row>
    <row r="40" spans="1:14" ht="12.75" customHeight="1" x14ac:dyDescent="0.25">
      <c r="A40" s="91" t="s">
        <v>124</v>
      </c>
      <c r="B40" s="73" t="s">
        <v>166</v>
      </c>
      <c r="C40" s="73"/>
      <c r="D40" s="73"/>
      <c r="E40" s="73"/>
      <c r="F40" s="73"/>
      <c r="G40" s="73"/>
      <c r="H40" s="76">
        <f>+H38+1</f>
        <v>17</v>
      </c>
      <c r="N40" s="77"/>
    </row>
    <row r="41" spans="1:14" ht="12.75" customHeight="1" x14ac:dyDescent="0.25">
      <c r="B41" s="73" t="s">
        <v>167</v>
      </c>
      <c r="C41" s="73"/>
      <c r="D41" s="73"/>
      <c r="E41" s="73"/>
      <c r="F41" s="73"/>
      <c r="G41" s="73"/>
      <c r="H41" s="76">
        <f>+H40</f>
        <v>17</v>
      </c>
      <c r="N41" s="77"/>
    </row>
    <row r="42" spans="1:14" ht="12.75" customHeight="1" x14ac:dyDescent="0.25">
      <c r="B42" s="73"/>
      <c r="C42" s="73"/>
      <c r="D42" s="73"/>
      <c r="E42" s="73"/>
      <c r="F42" s="73"/>
      <c r="G42" s="73"/>
      <c r="H42" s="76"/>
      <c r="N42" s="77"/>
    </row>
    <row r="43" spans="1:14" ht="12.75" customHeight="1" x14ac:dyDescent="0.25">
      <c r="A43" s="91" t="s">
        <v>172</v>
      </c>
      <c r="B43" s="73" t="s">
        <v>138</v>
      </c>
      <c r="H43" s="76">
        <f>+H40+1</f>
        <v>18</v>
      </c>
      <c r="N43" s="77"/>
    </row>
    <row r="44" spans="1:14" ht="12.75" customHeight="1" x14ac:dyDescent="0.25">
      <c r="B44" s="73" t="s">
        <v>104</v>
      </c>
      <c r="H44" s="76">
        <f>+H43</f>
        <v>18</v>
      </c>
      <c r="N44" s="77"/>
    </row>
    <row r="45" spans="1:14" ht="12.75" customHeight="1" x14ac:dyDescent="0.25">
      <c r="A45" s="91" t="s">
        <v>125</v>
      </c>
      <c r="B45" s="73" t="s">
        <v>139</v>
      </c>
      <c r="H45" s="76">
        <f>+H43+1</f>
        <v>19</v>
      </c>
      <c r="N45" s="77"/>
    </row>
    <row r="46" spans="1:14" ht="12.75" customHeight="1" x14ac:dyDescent="0.25">
      <c r="B46" s="73" t="s">
        <v>102</v>
      </c>
      <c r="H46" s="76">
        <f>+H45</f>
        <v>19</v>
      </c>
      <c r="N46" s="77"/>
    </row>
    <row r="47" spans="1:14" ht="12.75" customHeight="1" x14ac:dyDescent="0.25">
      <c r="A47" s="91" t="s">
        <v>126</v>
      </c>
      <c r="B47" s="73" t="s">
        <v>140</v>
      </c>
      <c r="H47" s="76">
        <f>+H46+1</f>
        <v>20</v>
      </c>
      <c r="N47" s="77"/>
    </row>
    <row r="48" spans="1:14" ht="12.75" customHeight="1" x14ac:dyDescent="0.25">
      <c r="B48" s="73" t="s">
        <v>103</v>
      </c>
      <c r="H48" s="76">
        <f>H47</f>
        <v>20</v>
      </c>
      <c r="N48" s="77"/>
    </row>
    <row r="49" spans="1:14" ht="12.75" customHeight="1" x14ac:dyDescent="0.25">
      <c r="A49" s="91"/>
      <c r="B49" s="73"/>
      <c r="C49" s="73"/>
      <c r="D49" s="73"/>
      <c r="E49" s="73"/>
      <c r="F49" s="73"/>
      <c r="G49" s="73"/>
      <c r="H49" s="76"/>
      <c r="N49" s="77"/>
    </row>
    <row r="50" spans="1:14" ht="12.75" customHeight="1" x14ac:dyDescent="0.25">
      <c r="A50" s="91"/>
      <c r="B50" s="73"/>
      <c r="C50" s="73"/>
      <c r="D50" s="73"/>
      <c r="E50" s="73"/>
      <c r="F50" s="73"/>
      <c r="G50" s="73"/>
      <c r="H50" s="76"/>
      <c r="N50" s="77"/>
    </row>
    <row r="51" spans="1:14" ht="12.75" customHeight="1" x14ac:dyDescent="0.25">
      <c r="A51" s="91"/>
      <c r="B51" s="73"/>
      <c r="C51" s="73"/>
      <c r="D51" s="73"/>
      <c r="E51" s="73"/>
      <c r="F51" s="73"/>
      <c r="G51" s="73"/>
      <c r="H51" s="76"/>
      <c r="N51" s="77"/>
    </row>
    <row r="52" spans="1:14" ht="12.75" customHeight="1" x14ac:dyDescent="0.25">
      <c r="A52" s="91"/>
      <c r="B52" s="73"/>
      <c r="C52" s="73"/>
      <c r="D52" s="73"/>
      <c r="E52" s="73"/>
      <c r="F52" s="73"/>
      <c r="G52" s="73"/>
      <c r="H52" s="76"/>
      <c r="N52" s="77"/>
    </row>
    <row r="53" spans="1:14" ht="12.75" customHeight="1" x14ac:dyDescent="0.25">
      <c r="A53" s="91"/>
      <c r="B53" s="73"/>
      <c r="C53" s="73"/>
      <c r="D53" s="73"/>
      <c r="E53" s="73"/>
      <c r="F53" s="73"/>
      <c r="G53" s="73"/>
      <c r="H53" s="76"/>
      <c r="N53" s="77"/>
    </row>
    <row r="54" spans="1:14" ht="12.75" customHeight="1" x14ac:dyDescent="0.25">
      <c r="A54" s="91"/>
      <c r="B54" s="73"/>
      <c r="C54" s="73"/>
      <c r="D54" s="73"/>
      <c r="E54" s="73"/>
      <c r="F54" s="73"/>
      <c r="G54" s="73"/>
      <c r="H54" s="76"/>
      <c r="N54" s="77"/>
    </row>
    <row r="55" spans="1:14" ht="12.75" customHeight="1" x14ac:dyDescent="0.25">
      <c r="A55" s="91"/>
      <c r="B55" s="73"/>
      <c r="C55" s="73"/>
      <c r="D55" s="73"/>
      <c r="E55" s="73"/>
      <c r="F55" s="73"/>
      <c r="G55" s="73"/>
      <c r="H55" s="76"/>
      <c r="N55" s="77"/>
    </row>
    <row r="56" spans="1:14" ht="12.75" customHeight="1" x14ac:dyDescent="0.25">
      <c r="A56" s="91"/>
      <c r="B56" s="73"/>
      <c r="C56" s="73"/>
      <c r="D56" s="73"/>
      <c r="E56" s="73"/>
      <c r="F56" s="73"/>
      <c r="G56" s="73"/>
      <c r="H56" s="76"/>
      <c r="N56" s="77"/>
    </row>
    <row r="57" spans="1:14" ht="12.75" customHeight="1" x14ac:dyDescent="0.25">
      <c r="A57" s="91"/>
      <c r="B57" s="73"/>
      <c r="C57" s="73"/>
      <c r="D57" s="73"/>
      <c r="E57" s="73"/>
      <c r="F57" s="73"/>
      <c r="G57" s="73"/>
      <c r="H57" s="76"/>
      <c r="N57" s="77"/>
    </row>
    <row r="58" spans="1:14" ht="12.75" customHeight="1" x14ac:dyDescent="0.25">
      <c r="B58" s="73"/>
      <c r="C58" s="73"/>
      <c r="D58" s="73"/>
      <c r="E58" s="73"/>
      <c r="F58" s="73"/>
      <c r="G58" s="73"/>
      <c r="H58" s="76"/>
      <c r="N58" s="77"/>
    </row>
    <row r="59" spans="1:14" ht="12.75" customHeight="1" x14ac:dyDescent="0.25">
      <c r="B59" s="48"/>
      <c r="C59" s="49"/>
      <c r="D59" s="49"/>
      <c r="E59" s="98"/>
      <c r="F59" s="49"/>
      <c r="G59" s="50"/>
      <c r="H59" s="51"/>
      <c r="N59" s="77"/>
    </row>
    <row r="60" spans="1:14" ht="12.75" customHeight="1" x14ac:dyDescent="0.25">
      <c r="B60" s="52"/>
      <c r="C60" s="52"/>
      <c r="D60" s="52"/>
      <c r="E60" s="52"/>
      <c r="F60" s="52"/>
      <c r="G60" s="52"/>
      <c r="H60" s="52"/>
      <c r="I60" s="77"/>
    </row>
    <row r="61" spans="1:14" ht="12.75" customHeight="1" x14ac:dyDescent="0.25">
      <c r="B61" s="54" t="str">
        <f>+B123</f>
        <v>Finans Norge / Skadestatistikk</v>
      </c>
      <c r="H61" s="193">
        <v>1</v>
      </c>
      <c r="I61" s="77"/>
    </row>
    <row r="62" spans="1:14" ht="12.75" customHeight="1" x14ac:dyDescent="0.25">
      <c r="B62" s="54" t="str">
        <f>+B124</f>
        <v>Skadestatistikk for landbasert forsikring 3. kvartal 2018</v>
      </c>
      <c r="H62" s="194"/>
      <c r="I62" s="77"/>
    </row>
    <row r="63" spans="1:14" ht="12.75" customHeight="1" x14ac:dyDescent="0.25">
      <c r="I63" s="77"/>
    </row>
    <row r="64" spans="1:14" ht="12.75" customHeight="1" x14ac:dyDescent="0.25">
      <c r="I64" s="77"/>
    </row>
    <row r="66" spans="1:13" ht="12.75" customHeight="1" x14ac:dyDescent="0.25">
      <c r="A66" s="91" t="s">
        <v>127</v>
      </c>
      <c r="B66" s="73" t="s">
        <v>218</v>
      </c>
      <c r="H66" s="76">
        <f>H48+1</f>
        <v>21</v>
      </c>
    </row>
    <row r="67" spans="1:13" ht="12.75" customHeight="1" x14ac:dyDescent="0.25">
      <c r="B67" s="73" t="s">
        <v>219</v>
      </c>
      <c r="H67" s="76">
        <f>H66</f>
        <v>21</v>
      </c>
    </row>
    <row r="68" spans="1:13" ht="12.75" customHeight="1" x14ac:dyDescent="0.25">
      <c r="A68" s="91" t="s">
        <v>128</v>
      </c>
      <c r="B68" s="73" t="s">
        <v>220</v>
      </c>
      <c r="H68" s="76">
        <f>H67+1</f>
        <v>22</v>
      </c>
    </row>
    <row r="69" spans="1:13" ht="12.75" customHeight="1" x14ac:dyDescent="0.25">
      <c r="B69" s="73" t="s">
        <v>221</v>
      </c>
      <c r="H69" s="76">
        <f>H68</f>
        <v>22</v>
      </c>
    </row>
    <row r="70" spans="1:13" ht="12.75" customHeight="1" x14ac:dyDescent="0.25">
      <c r="A70" s="91" t="s">
        <v>129</v>
      </c>
      <c r="B70" s="73" t="s">
        <v>222</v>
      </c>
      <c r="H70" s="76">
        <f>H69+1</f>
        <v>23</v>
      </c>
      <c r="J70"/>
      <c r="K70"/>
      <c r="L70"/>
      <c r="M70"/>
    </row>
    <row r="71" spans="1:13" ht="12.75" customHeight="1" x14ac:dyDescent="0.25">
      <c r="B71" s="73" t="s">
        <v>223</v>
      </c>
      <c r="H71" s="76">
        <f>H70</f>
        <v>23</v>
      </c>
      <c r="J71"/>
      <c r="K71" s="71"/>
      <c r="L71" s="72"/>
      <c r="M71" s="72"/>
    </row>
    <row r="72" spans="1:13" ht="12.75" customHeight="1" x14ac:dyDescent="0.25">
      <c r="J72"/>
      <c r="K72" s="70"/>
      <c r="L72"/>
      <c r="M72"/>
    </row>
    <row r="73" spans="1:13" ht="12.75" customHeight="1" x14ac:dyDescent="0.25">
      <c r="A73" s="91" t="s">
        <v>130</v>
      </c>
      <c r="B73" s="73" t="s">
        <v>141</v>
      </c>
      <c r="C73" s="73"/>
      <c r="D73" s="73"/>
      <c r="E73" s="73"/>
      <c r="F73" s="73"/>
      <c r="G73" s="73"/>
      <c r="H73" s="76">
        <f>+H71+1</f>
        <v>24</v>
      </c>
      <c r="J73"/>
      <c r="K73" s="69"/>
      <c r="L73" s="69"/>
      <c r="M73" s="69"/>
    </row>
    <row r="74" spans="1:13" ht="12.75" customHeight="1" x14ac:dyDescent="0.25">
      <c r="B74" s="73" t="s">
        <v>107</v>
      </c>
      <c r="C74" s="73"/>
      <c r="D74" s="73"/>
      <c r="E74" s="73"/>
      <c r="F74" s="73"/>
      <c r="G74" s="73"/>
      <c r="H74" s="76">
        <f>+H73</f>
        <v>24</v>
      </c>
      <c r="J74"/>
      <c r="K74" s="69"/>
      <c r="L74" s="69"/>
      <c r="M74" s="69"/>
    </row>
    <row r="75" spans="1:13" ht="12.75" customHeight="1" x14ac:dyDescent="0.25">
      <c r="A75" s="91" t="s">
        <v>224</v>
      </c>
      <c r="B75" s="73" t="s">
        <v>142</v>
      </c>
      <c r="C75" s="73"/>
      <c r="D75" s="73"/>
      <c r="E75" s="73"/>
      <c r="F75" s="73"/>
      <c r="G75" s="73"/>
      <c r="H75" s="76">
        <f>+H74+1</f>
        <v>25</v>
      </c>
      <c r="J75"/>
      <c r="K75" s="69"/>
      <c r="L75" s="69"/>
      <c r="M75" s="69"/>
    </row>
    <row r="76" spans="1:13" ht="12.75" customHeight="1" x14ac:dyDescent="0.25">
      <c r="B76" s="73" t="s">
        <v>105</v>
      </c>
      <c r="C76" s="73"/>
      <c r="D76" s="73"/>
      <c r="E76" s="73"/>
      <c r="F76" s="73"/>
      <c r="G76" s="73"/>
      <c r="H76" s="76">
        <f>+H75</f>
        <v>25</v>
      </c>
      <c r="J76"/>
      <c r="K76" s="69"/>
      <c r="L76" s="69"/>
      <c r="M76" s="69"/>
    </row>
    <row r="77" spans="1:13" ht="12.75" customHeight="1" x14ac:dyDescent="0.25">
      <c r="A77" s="91" t="s">
        <v>225</v>
      </c>
      <c r="B77" s="73" t="s">
        <v>143</v>
      </c>
      <c r="C77" s="73"/>
      <c r="D77" s="73"/>
      <c r="E77" s="73"/>
      <c r="F77" s="73"/>
      <c r="G77" s="73"/>
      <c r="H77" s="76">
        <f>+H76+1</f>
        <v>26</v>
      </c>
      <c r="J77"/>
      <c r="K77"/>
      <c r="L77"/>
      <c r="M77"/>
    </row>
    <row r="78" spans="1:13" ht="12.75" customHeight="1" x14ac:dyDescent="0.25">
      <c r="B78" s="73" t="s">
        <v>106</v>
      </c>
      <c r="C78" s="73"/>
      <c r="D78" s="73"/>
      <c r="E78" s="73"/>
      <c r="F78" s="73"/>
      <c r="G78" s="73"/>
      <c r="H78" s="76">
        <f>+H77</f>
        <v>26</v>
      </c>
      <c r="J78"/>
      <c r="K78"/>
      <c r="L78"/>
      <c r="M78"/>
    </row>
    <row r="79" spans="1:13" ht="12.75" customHeight="1" x14ac:dyDescent="0.25">
      <c r="B79"/>
      <c r="C79"/>
      <c r="D79"/>
      <c r="E79"/>
      <c r="F79"/>
      <c r="G79"/>
      <c r="I79"/>
      <c r="J79"/>
      <c r="K79"/>
      <c r="L79"/>
      <c r="M79"/>
    </row>
    <row r="80" spans="1:13" ht="12.75" customHeight="1" x14ac:dyDescent="0.25">
      <c r="A80" s="91" t="s">
        <v>226</v>
      </c>
      <c r="B80" s="73" t="s">
        <v>92</v>
      </c>
      <c r="C80" s="73"/>
      <c r="D80" s="73"/>
      <c r="E80" s="73"/>
      <c r="F80" s="73"/>
      <c r="G80" s="73"/>
      <c r="H80" s="76">
        <f>+H78+1</f>
        <v>27</v>
      </c>
      <c r="I80"/>
      <c r="J80"/>
      <c r="K80"/>
      <c r="L80"/>
      <c r="M80"/>
    </row>
    <row r="81" spans="2:13" ht="12.75" customHeight="1" x14ac:dyDescent="0.25">
      <c r="C81"/>
      <c r="D81"/>
      <c r="E81"/>
      <c r="F81"/>
      <c r="G81"/>
      <c r="I81" s="68"/>
      <c r="J81"/>
      <c r="K81"/>
      <c r="L81"/>
      <c r="M81"/>
    </row>
    <row r="82" spans="2:13" ht="12.75" customHeight="1" x14ac:dyDescent="0.25">
      <c r="C82"/>
      <c r="D82"/>
      <c r="E82"/>
      <c r="F82"/>
      <c r="G82"/>
      <c r="I82" s="68"/>
      <c r="J82"/>
      <c r="K82"/>
      <c r="L82"/>
      <c r="M82"/>
    </row>
    <row r="83" spans="2:13" ht="12.75" customHeight="1" x14ac:dyDescent="0.25">
      <c r="C83"/>
      <c r="D83"/>
      <c r="E83"/>
      <c r="F83"/>
      <c r="G83"/>
      <c r="I83" s="68"/>
      <c r="J83"/>
      <c r="K83"/>
      <c r="L83"/>
      <c r="M83"/>
    </row>
    <row r="84" spans="2:13" ht="12.75" customHeight="1" x14ac:dyDescent="0.25">
      <c r="C84"/>
      <c r="D84"/>
      <c r="E84"/>
      <c r="F84"/>
      <c r="G84"/>
      <c r="I84" s="68"/>
      <c r="J84"/>
      <c r="K84"/>
      <c r="L84"/>
      <c r="M84"/>
    </row>
    <row r="85" spans="2:13" ht="12.75" customHeight="1" x14ac:dyDescent="0.25">
      <c r="C85"/>
      <c r="D85"/>
      <c r="E85"/>
      <c r="F85"/>
      <c r="G85"/>
      <c r="I85" s="68"/>
      <c r="J85"/>
      <c r="K85"/>
      <c r="L85"/>
      <c r="M85"/>
    </row>
    <row r="86" spans="2:13" ht="12.75" customHeight="1" x14ac:dyDescent="0.25">
      <c r="C86"/>
      <c r="D86"/>
      <c r="E86"/>
      <c r="F86"/>
      <c r="G86"/>
      <c r="I86" s="68"/>
      <c r="J86"/>
      <c r="K86"/>
      <c r="L86"/>
      <c r="M86"/>
    </row>
    <row r="87" spans="2:13" ht="12.75" customHeight="1" x14ac:dyDescent="0.25">
      <c r="C87"/>
      <c r="D87"/>
      <c r="E87"/>
      <c r="F87"/>
      <c r="G87"/>
      <c r="I87" s="68"/>
      <c r="J87"/>
      <c r="K87"/>
      <c r="L87"/>
      <c r="M87"/>
    </row>
    <row r="88" spans="2:13" ht="12.75" customHeight="1" x14ac:dyDescent="0.25">
      <c r="C88"/>
      <c r="D88"/>
      <c r="E88"/>
      <c r="F88"/>
      <c r="G88"/>
      <c r="I88" s="68"/>
      <c r="J88"/>
      <c r="K88"/>
      <c r="L88"/>
      <c r="M88"/>
    </row>
    <row r="89" spans="2:13" ht="12.75" customHeight="1" x14ac:dyDescent="0.25">
      <c r="C89"/>
      <c r="D89"/>
      <c r="E89"/>
      <c r="F89"/>
      <c r="G89"/>
      <c r="I89"/>
      <c r="J89"/>
      <c r="K89"/>
      <c r="L89"/>
      <c r="M89"/>
    </row>
    <row r="90" spans="2:13" ht="12.75" customHeight="1" x14ac:dyDescent="0.25">
      <c r="C90"/>
      <c r="D90"/>
      <c r="E90"/>
      <c r="F90"/>
      <c r="G90"/>
      <c r="I90"/>
      <c r="J90"/>
      <c r="K90"/>
      <c r="L90"/>
      <c r="M90"/>
    </row>
    <row r="91" spans="2:13" ht="12.75" customHeight="1" x14ac:dyDescent="0.25">
      <c r="B91" s="88"/>
      <c r="C91"/>
      <c r="D91"/>
      <c r="E91"/>
      <c r="F91"/>
      <c r="G91"/>
      <c r="I91"/>
      <c r="J91"/>
      <c r="K91"/>
      <c r="L91"/>
      <c r="M91"/>
    </row>
    <row r="92" spans="2:13" ht="12.75" customHeight="1" x14ac:dyDescent="0.25">
      <c r="C92"/>
      <c r="D92"/>
      <c r="E92"/>
      <c r="F92"/>
      <c r="G92"/>
      <c r="I92"/>
      <c r="J92"/>
      <c r="K92"/>
      <c r="L92"/>
      <c r="M92"/>
    </row>
    <row r="93" spans="2:13" ht="12.75" customHeight="1" x14ac:dyDescent="0.25">
      <c r="C93"/>
      <c r="D93"/>
      <c r="E93"/>
      <c r="F93"/>
      <c r="G93"/>
      <c r="I93"/>
      <c r="J93"/>
      <c r="K93"/>
      <c r="L93"/>
      <c r="M93"/>
    </row>
    <row r="94" spans="2:13" ht="12.75" customHeight="1" x14ac:dyDescent="0.25">
      <c r="B94"/>
      <c r="C94"/>
      <c r="D94"/>
      <c r="E94"/>
      <c r="F94"/>
      <c r="G94"/>
      <c r="I94"/>
      <c r="J94"/>
      <c r="K94"/>
      <c r="L94"/>
      <c r="M94"/>
    </row>
    <row r="95" spans="2:13" ht="12.75" customHeight="1" x14ac:dyDescent="0.25">
      <c r="B95"/>
      <c r="C95"/>
      <c r="D95"/>
      <c r="E95"/>
      <c r="F95"/>
      <c r="G95"/>
      <c r="I95"/>
      <c r="J95"/>
      <c r="K95"/>
      <c r="L95"/>
      <c r="M95"/>
    </row>
    <row r="96" spans="2:13" ht="12.75" customHeight="1" x14ac:dyDescent="0.25">
      <c r="C96"/>
      <c r="D96"/>
      <c r="E96"/>
      <c r="F96"/>
      <c r="G96"/>
      <c r="I96"/>
      <c r="J96"/>
      <c r="K96"/>
      <c r="L96"/>
      <c r="M96"/>
    </row>
    <row r="97" spans="2:13" ht="12.75" customHeight="1" x14ac:dyDescent="0.25">
      <c r="C97"/>
      <c r="D97"/>
      <c r="E97"/>
      <c r="F97"/>
      <c r="G97"/>
      <c r="I97"/>
      <c r="J97"/>
      <c r="K97"/>
      <c r="L97"/>
      <c r="M97"/>
    </row>
    <row r="98" spans="2:13" ht="12.75" customHeight="1" x14ac:dyDescent="0.25">
      <c r="B98"/>
      <c r="C98"/>
      <c r="D98"/>
      <c r="E98"/>
      <c r="F98"/>
      <c r="G98"/>
      <c r="I98"/>
      <c r="J98"/>
      <c r="K98"/>
      <c r="L98"/>
      <c r="M98"/>
    </row>
    <row r="99" spans="2:13" ht="12.75" customHeight="1" x14ac:dyDescent="0.25">
      <c r="C99"/>
      <c r="D99"/>
      <c r="E99"/>
      <c r="F99"/>
      <c r="G99"/>
      <c r="I99"/>
      <c r="J99"/>
      <c r="K99"/>
      <c r="L99"/>
      <c r="M99"/>
    </row>
    <row r="100" spans="2:13" ht="12.75" customHeight="1" x14ac:dyDescent="0.25">
      <c r="C100"/>
      <c r="D100"/>
      <c r="E100"/>
      <c r="F100"/>
      <c r="G100"/>
      <c r="I100"/>
      <c r="J100"/>
      <c r="K100"/>
      <c r="L100"/>
      <c r="M100"/>
    </row>
    <row r="101" spans="2:13" ht="12.75" customHeight="1" x14ac:dyDescent="0.25">
      <c r="B101"/>
      <c r="C101"/>
      <c r="D101"/>
      <c r="E101"/>
      <c r="F101"/>
      <c r="G101"/>
      <c r="I101"/>
      <c r="J101"/>
      <c r="K101"/>
      <c r="L101"/>
      <c r="M101"/>
    </row>
    <row r="102" spans="2:13" ht="12.75" customHeight="1" x14ac:dyDescent="0.25">
      <c r="B102"/>
      <c r="C102"/>
      <c r="D102"/>
      <c r="E102"/>
      <c r="F102"/>
      <c r="G102"/>
      <c r="I102"/>
      <c r="J102"/>
      <c r="K102"/>
      <c r="L102"/>
      <c r="M102"/>
    </row>
    <row r="103" spans="2:13" ht="12.75" customHeight="1" x14ac:dyDescent="0.25">
      <c r="B103"/>
      <c r="C103"/>
      <c r="D103"/>
      <c r="E103"/>
      <c r="F103"/>
      <c r="G103"/>
      <c r="I103"/>
      <c r="J103"/>
      <c r="K103"/>
      <c r="L103"/>
      <c r="M103"/>
    </row>
    <row r="104" spans="2:13" ht="12.75" customHeight="1" x14ac:dyDescent="0.25">
      <c r="B104"/>
      <c r="C104"/>
      <c r="D104"/>
      <c r="E104"/>
      <c r="F104"/>
      <c r="G104"/>
      <c r="I104"/>
      <c r="J104"/>
      <c r="K104"/>
      <c r="L104"/>
      <c r="M104"/>
    </row>
    <row r="105" spans="2:13" ht="12.75" customHeight="1" x14ac:dyDescent="0.25">
      <c r="B105"/>
      <c r="C105"/>
      <c r="D105"/>
      <c r="E105"/>
      <c r="F105"/>
      <c r="G105"/>
      <c r="I105"/>
      <c r="J105"/>
      <c r="K105"/>
      <c r="L105"/>
      <c r="M105"/>
    </row>
    <row r="106" spans="2:13" ht="12.75" customHeight="1" x14ac:dyDescent="0.25">
      <c r="B106"/>
      <c r="C106"/>
      <c r="D106"/>
      <c r="E106"/>
      <c r="F106"/>
      <c r="G106"/>
      <c r="I106"/>
      <c r="J106"/>
      <c r="K106"/>
      <c r="L106"/>
      <c r="M106"/>
    </row>
    <row r="107" spans="2:13" ht="12.75" customHeight="1" x14ac:dyDescent="0.25">
      <c r="B107"/>
      <c r="C107"/>
      <c r="D107"/>
      <c r="E107"/>
      <c r="F107"/>
      <c r="G107"/>
      <c r="I107"/>
      <c r="J107"/>
      <c r="K107"/>
      <c r="L107"/>
      <c r="M107"/>
    </row>
    <row r="108" spans="2:13" ht="12.75" customHeight="1" x14ac:dyDescent="0.25">
      <c r="B108"/>
      <c r="C108"/>
      <c r="D108"/>
      <c r="E108"/>
      <c r="F108"/>
      <c r="G108"/>
      <c r="I108"/>
      <c r="J108"/>
      <c r="K108"/>
      <c r="L108"/>
      <c r="M108"/>
    </row>
    <row r="109" spans="2:13" ht="12.75" customHeight="1" x14ac:dyDescent="0.25">
      <c r="B109"/>
      <c r="C109"/>
      <c r="D109"/>
      <c r="E109"/>
      <c r="F109"/>
      <c r="G109"/>
      <c r="I109"/>
      <c r="J109"/>
      <c r="K109"/>
      <c r="L109"/>
      <c r="M109"/>
    </row>
    <row r="110" spans="2:13" ht="12.75" customHeight="1" x14ac:dyDescent="0.25">
      <c r="B110"/>
      <c r="C110"/>
      <c r="D110"/>
      <c r="E110"/>
      <c r="F110"/>
      <c r="G110"/>
      <c r="I110"/>
      <c r="J110"/>
      <c r="K110"/>
      <c r="L110"/>
      <c r="M110"/>
    </row>
    <row r="111" spans="2:13" ht="12.75" customHeight="1" x14ac:dyDescent="0.25">
      <c r="B111"/>
      <c r="C111"/>
      <c r="D111"/>
      <c r="E111"/>
      <c r="F111"/>
      <c r="G111"/>
      <c r="I111"/>
      <c r="J111"/>
      <c r="K111"/>
      <c r="L111"/>
      <c r="M111"/>
    </row>
    <row r="112" spans="2:13" ht="12.75" customHeight="1" x14ac:dyDescent="0.25">
      <c r="B112"/>
      <c r="C112"/>
      <c r="D112"/>
      <c r="E112"/>
      <c r="F112"/>
      <c r="G112"/>
      <c r="I112"/>
      <c r="J112"/>
      <c r="K112"/>
      <c r="L112"/>
      <c r="M112"/>
    </row>
    <row r="113" spans="2:13" ht="12.75" customHeight="1" x14ac:dyDescent="0.25">
      <c r="B113"/>
      <c r="C113"/>
      <c r="D113"/>
      <c r="E113"/>
      <c r="F113"/>
      <c r="G113"/>
      <c r="I113"/>
      <c r="J113"/>
      <c r="K113"/>
      <c r="L113"/>
      <c r="M113"/>
    </row>
    <row r="114" spans="2:13" ht="12.75" customHeight="1" x14ac:dyDescent="0.25">
      <c r="B114"/>
      <c r="C114"/>
      <c r="D114"/>
      <c r="E114"/>
      <c r="F114"/>
      <c r="G114"/>
      <c r="I114"/>
      <c r="J114"/>
      <c r="K114"/>
      <c r="L114"/>
      <c r="M114"/>
    </row>
    <row r="115" spans="2:13" ht="12.75" customHeight="1" x14ac:dyDescent="0.25">
      <c r="B115"/>
      <c r="C115"/>
      <c r="D115"/>
      <c r="E115"/>
      <c r="F115"/>
      <c r="G115"/>
      <c r="L115"/>
    </row>
    <row r="116" spans="2:13" ht="12.75" customHeight="1" x14ac:dyDescent="0.25">
      <c r="B116"/>
      <c r="C116"/>
      <c r="D116"/>
      <c r="E116"/>
      <c r="F116"/>
      <c r="G116"/>
      <c r="L116"/>
    </row>
    <row r="117" spans="2:13" ht="12.75" customHeight="1" x14ac:dyDescent="0.25">
      <c r="B117"/>
      <c r="C117"/>
      <c r="D117"/>
      <c r="E117"/>
      <c r="F117"/>
      <c r="G117"/>
      <c r="I117"/>
      <c r="J117"/>
      <c r="K117"/>
      <c r="L117"/>
    </row>
    <row r="118" spans="2:13" ht="12.75" customHeight="1" x14ac:dyDescent="0.25">
      <c r="B118"/>
      <c r="C118"/>
      <c r="D118"/>
      <c r="E118"/>
      <c r="F118"/>
      <c r="G118"/>
      <c r="I118"/>
      <c r="J118"/>
      <c r="K118"/>
      <c r="L118"/>
    </row>
    <row r="119" spans="2:13" ht="12.75" customHeight="1" x14ac:dyDescent="0.25">
      <c r="B119"/>
      <c r="C119"/>
      <c r="D119"/>
      <c r="E119"/>
      <c r="F119"/>
      <c r="G119"/>
      <c r="I119"/>
      <c r="J119"/>
      <c r="K119"/>
      <c r="L119"/>
    </row>
    <row r="120" spans="2:13" ht="12.75" customHeight="1" x14ac:dyDescent="0.25">
      <c r="B120"/>
      <c r="C120"/>
      <c r="D120"/>
      <c r="E120"/>
      <c r="F120"/>
      <c r="G120"/>
      <c r="I120"/>
      <c r="J120"/>
      <c r="K120"/>
      <c r="L120"/>
    </row>
    <row r="121" spans="2:13" ht="12.75" customHeight="1" x14ac:dyDescent="0.25">
      <c r="B121"/>
      <c r="C121"/>
      <c r="D121"/>
      <c r="E121"/>
      <c r="F121"/>
      <c r="G121"/>
      <c r="I121"/>
      <c r="J121"/>
      <c r="K121"/>
      <c r="L121"/>
    </row>
    <row r="122" spans="2:13" ht="12.75" customHeight="1" x14ac:dyDescent="0.25">
      <c r="B122" s="52"/>
      <c r="C122" s="52"/>
      <c r="D122" s="52"/>
      <c r="E122" s="52"/>
      <c r="F122" s="52"/>
      <c r="G122" s="52"/>
      <c r="H122" s="52"/>
      <c r="I122"/>
      <c r="J122" s="69"/>
      <c r="K122" s="69"/>
      <c r="L122" s="69"/>
    </row>
    <row r="123" spans="2:13" ht="12.75" customHeight="1" x14ac:dyDescent="0.25">
      <c r="B123" s="54" t="str">
        <f>"Finans Norge / Skadestatistikk"</f>
        <v>Finans Norge / Skadestatistikk</v>
      </c>
      <c r="H123" s="193">
        <v>2</v>
      </c>
      <c r="I123"/>
      <c r="J123" s="69"/>
      <c r="K123" s="69"/>
      <c r="L123" s="69"/>
    </row>
    <row r="124" spans="2:13" ht="12.75" customHeight="1" x14ac:dyDescent="0.25">
      <c r="B124" s="54" t="str">
        <f>"Skadestatistikk for landbasert forsikring 3. kvartal 2018"</f>
        <v>Skadestatistikk for landbasert forsikring 3. kvartal 2018</v>
      </c>
      <c r="H124" s="194"/>
      <c r="I124"/>
      <c r="J124"/>
      <c r="K124"/>
      <c r="L124"/>
    </row>
    <row r="125" spans="2:13" ht="12.75" customHeight="1" x14ac:dyDescent="0.25">
      <c r="B125" s="78"/>
      <c r="C125"/>
      <c r="D125"/>
      <c r="E125"/>
      <c r="F125"/>
      <c r="G125"/>
      <c r="I125"/>
      <c r="J125"/>
      <c r="K125"/>
      <c r="L125"/>
    </row>
    <row r="126" spans="2:13" ht="12.75" customHeight="1" x14ac:dyDescent="0.25">
      <c r="B126"/>
      <c r="C126"/>
      <c r="D126"/>
      <c r="E126"/>
      <c r="F126"/>
      <c r="G126"/>
      <c r="I126"/>
      <c r="J126"/>
      <c r="K126"/>
      <c r="L126"/>
    </row>
    <row r="127" spans="2:13" ht="12.75" customHeight="1" x14ac:dyDescent="0.25">
      <c r="B127"/>
      <c r="C127"/>
      <c r="D127"/>
      <c r="E127"/>
      <c r="F127"/>
      <c r="G127"/>
      <c r="L127"/>
    </row>
    <row r="128" spans="2:13" ht="12.75" customHeight="1" x14ac:dyDescent="0.25">
      <c r="B128"/>
      <c r="C128"/>
      <c r="D128"/>
      <c r="E128"/>
      <c r="F128"/>
      <c r="G128"/>
      <c r="L128"/>
    </row>
    <row r="129" spans="2:12" ht="12.75" customHeight="1" x14ac:dyDescent="0.25">
      <c r="B129"/>
      <c r="C129"/>
      <c r="D129"/>
      <c r="E129"/>
      <c r="F129"/>
      <c r="G129"/>
      <c r="I129" s="68"/>
      <c r="J129"/>
      <c r="K129"/>
      <c r="L129"/>
    </row>
    <row r="130" spans="2:12" ht="12.75" customHeight="1" x14ac:dyDescent="0.25">
      <c r="B130"/>
      <c r="C130"/>
      <c r="D130"/>
      <c r="E130"/>
      <c r="F130"/>
      <c r="G130"/>
      <c r="I130"/>
      <c r="J130"/>
      <c r="K130"/>
      <c r="L130"/>
    </row>
    <row r="131" spans="2:12" ht="12.75" customHeight="1" x14ac:dyDescent="0.25">
      <c r="B131"/>
      <c r="C131"/>
      <c r="D131"/>
      <c r="E131"/>
      <c r="F131"/>
      <c r="G131"/>
      <c r="I131"/>
      <c r="J131"/>
      <c r="K131"/>
      <c r="L131"/>
    </row>
    <row r="132" spans="2:12" ht="12.75" customHeight="1" x14ac:dyDescent="0.25">
      <c r="B132"/>
      <c r="C132"/>
      <c r="D132"/>
      <c r="E132"/>
      <c r="F132"/>
      <c r="G132"/>
      <c r="I132"/>
      <c r="J132"/>
      <c r="K132" s="69"/>
      <c r="L132" s="69"/>
    </row>
    <row r="133" spans="2:12" ht="12.75" customHeight="1" x14ac:dyDescent="0.25">
      <c r="B133"/>
      <c r="C133"/>
      <c r="D133"/>
      <c r="E133"/>
      <c r="F133"/>
      <c r="G133"/>
      <c r="I133"/>
      <c r="J133"/>
      <c r="K133" s="69"/>
      <c r="L133" s="69"/>
    </row>
    <row r="134" spans="2:12" ht="12.75" customHeight="1" x14ac:dyDescent="0.25">
      <c r="B134"/>
      <c r="C134"/>
      <c r="D134"/>
      <c r="E134"/>
      <c r="F134"/>
      <c r="G134"/>
      <c r="I134"/>
      <c r="J134"/>
      <c r="K134" s="69"/>
      <c r="L134" s="69"/>
    </row>
    <row r="135" spans="2:12" ht="12.75" customHeight="1" x14ac:dyDescent="0.25">
      <c r="B135"/>
      <c r="C135"/>
      <c r="D135"/>
      <c r="E135"/>
      <c r="F135"/>
      <c r="G135"/>
      <c r="I135"/>
      <c r="J135"/>
      <c r="K135"/>
      <c r="L135"/>
    </row>
    <row r="136" spans="2:12" ht="12.75" customHeight="1" x14ac:dyDescent="0.25">
      <c r="B136"/>
      <c r="C136"/>
      <c r="D136"/>
      <c r="E136"/>
      <c r="F136"/>
      <c r="G136"/>
      <c r="I136"/>
      <c r="J136"/>
      <c r="K136"/>
      <c r="L136"/>
    </row>
    <row r="137" spans="2:12" ht="12.75" customHeight="1" x14ac:dyDescent="0.25">
      <c r="B137"/>
      <c r="C137"/>
      <c r="D137"/>
      <c r="E137"/>
      <c r="F137"/>
      <c r="G137"/>
      <c r="I137"/>
      <c r="J137"/>
      <c r="K137"/>
      <c r="L137"/>
    </row>
    <row r="138" spans="2:12" ht="12.75" customHeight="1" x14ac:dyDescent="0.25">
      <c r="B138"/>
      <c r="C138"/>
      <c r="D138"/>
      <c r="E138"/>
      <c r="F138"/>
      <c r="G138"/>
    </row>
    <row r="139" spans="2:12" ht="12.75" customHeight="1" x14ac:dyDescent="0.25">
      <c r="B139"/>
      <c r="C139"/>
      <c r="D139"/>
      <c r="E139"/>
      <c r="F139"/>
      <c r="G139"/>
    </row>
    <row r="140" spans="2:12" ht="12.75" customHeight="1" x14ac:dyDescent="0.25">
      <c r="B140"/>
      <c r="C140"/>
      <c r="D140"/>
      <c r="E140"/>
      <c r="F140"/>
      <c r="G140"/>
      <c r="I140" s="68"/>
      <c r="J140"/>
      <c r="K140"/>
      <c r="L140"/>
    </row>
    <row r="141" spans="2:12" ht="12.75" customHeight="1" x14ac:dyDescent="0.25">
      <c r="B141"/>
      <c r="C141"/>
      <c r="D141"/>
      <c r="E141"/>
      <c r="F141"/>
      <c r="G141"/>
      <c r="I141"/>
      <c r="J141"/>
      <c r="K141"/>
      <c r="L141"/>
    </row>
    <row r="142" spans="2:12" ht="12.75" customHeight="1" x14ac:dyDescent="0.25">
      <c r="B142"/>
      <c r="C142"/>
      <c r="D142"/>
      <c r="E142"/>
      <c r="F142"/>
      <c r="G142"/>
      <c r="I142"/>
      <c r="J142"/>
      <c r="K142"/>
      <c r="L142"/>
    </row>
    <row r="143" spans="2:12" ht="12.75" customHeight="1" x14ac:dyDescent="0.25">
      <c r="B143"/>
      <c r="C143"/>
      <c r="D143"/>
      <c r="E143"/>
      <c r="F143"/>
      <c r="G143"/>
      <c r="I143"/>
      <c r="J143"/>
      <c r="K143" s="69"/>
      <c r="L143" s="69"/>
    </row>
    <row r="144" spans="2:12" ht="12.75" customHeight="1" x14ac:dyDescent="0.25">
      <c r="B144"/>
      <c r="C144"/>
      <c r="D144"/>
      <c r="E144"/>
      <c r="F144"/>
      <c r="G144"/>
      <c r="I144"/>
      <c r="J144"/>
      <c r="K144" s="69"/>
      <c r="L144" s="69"/>
    </row>
    <row r="145" spans="2:12" ht="12.75" customHeight="1" x14ac:dyDescent="0.25">
      <c r="B145"/>
      <c r="C145"/>
      <c r="D145"/>
      <c r="E145"/>
      <c r="F145"/>
      <c r="G145"/>
      <c r="I145"/>
      <c r="J145"/>
      <c r="K145" s="69"/>
      <c r="L145" s="69"/>
    </row>
    <row r="146" spans="2:12" ht="12.75" customHeight="1" x14ac:dyDescent="0.25">
      <c r="B146"/>
      <c r="C146"/>
      <c r="D146"/>
      <c r="E146"/>
      <c r="F146"/>
      <c r="G146"/>
      <c r="I146"/>
      <c r="J146"/>
      <c r="K146"/>
      <c r="L146"/>
    </row>
    <row r="147" spans="2:12" ht="12.75" customHeight="1" x14ac:dyDescent="0.25">
      <c r="B147"/>
      <c r="C147"/>
      <c r="D147"/>
      <c r="E147"/>
      <c r="F147"/>
      <c r="G147"/>
      <c r="H147"/>
      <c r="I147"/>
      <c r="J147"/>
      <c r="K147"/>
      <c r="L147"/>
    </row>
    <row r="148" spans="2:12" ht="12.75" customHeight="1" x14ac:dyDescent="0.25">
      <c r="B148"/>
      <c r="C148"/>
      <c r="D148"/>
      <c r="E148"/>
      <c r="F148"/>
      <c r="G148"/>
      <c r="H148"/>
      <c r="I148"/>
      <c r="J148"/>
      <c r="K148"/>
      <c r="L148"/>
    </row>
    <row r="149" spans="2:12" ht="12.75" customHeight="1" x14ac:dyDescent="0.25">
      <c r="B149"/>
      <c r="C149"/>
      <c r="D149"/>
      <c r="E149"/>
      <c r="F149"/>
      <c r="G149"/>
      <c r="H149"/>
      <c r="I149"/>
      <c r="J149" s="69"/>
      <c r="K149" s="69"/>
    </row>
    <row r="150" spans="2:12" ht="12.75" customHeight="1" x14ac:dyDescent="0.25">
      <c r="B150"/>
      <c r="C150" s="69"/>
      <c r="D150" s="69"/>
      <c r="E150"/>
      <c r="F150"/>
      <c r="G150"/>
      <c r="H150"/>
      <c r="I150"/>
      <c r="J150" s="69"/>
      <c r="K150" s="69"/>
    </row>
    <row r="151" spans="2:12" ht="12.75" customHeight="1" x14ac:dyDescent="0.25">
      <c r="B151"/>
      <c r="C151"/>
      <c r="D151"/>
      <c r="E151"/>
      <c r="G151"/>
      <c r="H151"/>
      <c r="I151"/>
      <c r="J151"/>
      <c r="K151"/>
    </row>
    <row r="152" spans="2:12" ht="12.75" customHeight="1" x14ac:dyDescent="0.25">
      <c r="B152"/>
      <c r="C152"/>
      <c r="D152"/>
      <c r="E152"/>
      <c r="G152"/>
      <c r="H152"/>
      <c r="I152"/>
      <c r="J152"/>
      <c r="K152"/>
    </row>
    <row r="153" spans="2:12" ht="12.75" customHeight="1" x14ac:dyDescent="0.25">
      <c r="B153"/>
      <c r="C153"/>
      <c r="D153"/>
      <c r="E153"/>
      <c r="G153"/>
      <c r="H153"/>
      <c r="I153"/>
      <c r="J153"/>
      <c r="K153"/>
    </row>
    <row r="154" spans="2:12" ht="12.75" customHeight="1" x14ac:dyDescent="0.25">
      <c r="B154"/>
      <c r="C154" s="69"/>
      <c r="D154" s="69"/>
      <c r="E154"/>
      <c r="G154"/>
      <c r="H154"/>
      <c r="I154"/>
      <c r="J154"/>
      <c r="K154"/>
    </row>
    <row r="155" spans="2:12" ht="12.75" customHeight="1" x14ac:dyDescent="0.25">
      <c r="B155"/>
      <c r="C155" s="69"/>
      <c r="D155" s="69"/>
      <c r="E155"/>
      <c r="G155"/>
      <c r="H155"/>
      <c r="I155"/>
      <c r="J155"/>
      <c r="K155"/>
    </row>
    <row r="156" spans="2:12" ht="12.75" customHeight="1" x14ac:dyDescent="0.25">
      <c r="B156"/>
      <c r="C156" s="69"/>
      <c r="D156" s="69"/>
      <c r="E156"/>
      <c r="G156"/>
    </row>
    <row r="157" spans="2:12" ht="12.75" customHeight="1" x14ac:dyDescent="0.25">
      <c r="B157"/>
      <c r="C157"/>
      <c r="D157"/>
      <c r="E157"/>
      <c r="G157"/>
    </row>
    <row r="158" spans="2:12" ht="12.75" customHeight="1" x14ac:dyDescent="0.25">
      <c r="B158"/>
      <c r="C158" s="69"/>
      <c r="D158" s="69"/>
      <c r="E158"/>
      <c r="G158"/>
    </row>
    <row r="159" spans="2:12" ht="12.75" customHeight="1" x14ac:dyDescent="0.25">
      <c r="B159"/>
      <c r="C159" s="69"/>
      <c r="D159" s="69"/>
      <c r="E159"/>
      <c r="G159"/>
    </row>
    <row r="160" spans="2:12" ht="12.75" customHeight="1" x14ac:dyDescent="0.25">
      <c r="B160"/>
      <c r="C160" s="69"/>
      <c r="D160" s="69"/>
      <c r="E160"/>
      <c r="G160"/>
    </row>
    <row r="161" spans="2:7" ht="12.75" customHeight="1" x14ac:dyDescent="0.25">
      <c r="B161"/>
      <c r="C161"/>
      <c r="D161"/>
      <c r="E161"/>
      <c r="G161"/>
    </row>
    <row r="162" spans="2:7" ht="12.75" customHeight="1" x14ac:dyDescent="0.25">
      <c r="B162"/>
      <c r="C162" s="69"/>
      <c r="D162" s="69"/>
      <c r="E162"/>
      <c r="G162"/>
    </row>
    <row r="163" spans="2:7" ht="12.75" customHeight="1" x14ac:dyDescent="0.25">
      <c r="B163"/>
      <c r="C163" s="69"/>
      <c r="D163" s="69"/>
      <c r="E163"/>
      <c r="G163"/>
    </row>
  </sheetData>
  <mergeCells count="2">
    <mergeCell ref="H61:H62"/>
    <mergeCell ref="H123:H124"/>
  </mergeCells>
  <phoneticPr fontId="0" type="noConversion"/>
  <hyperlinks>
    <hyperlink ref="A8" location="Tab1!A2" display="Tab1" xr:uid="{00000000-0004-0000-0100-000000000000}"/>
    <hyperlink ref="A11" location="Tab2!A2" display="Tab2" xr:uid="{00000000-0004-0000-0100-000001000000}"/>
    <hyperlink ref="A23" location="Tab3!A2" display="Tab3" xr:uid="{00000000-0004-0000-0100-000002000000}"/>
    <hyperlink ref="A24" location="Tab4!A2" display="Tab4" xr:uid="{00000000-0004-0000-0100-000003000000}"/>
    <hyperlink ref="A26" location="Tab5!A2" display="Tab5" xr:uid="{00000000-0004-0000-0100-000004000000}"/>
    <hyperlink ref="A28" location="Tab6!A2" display="Tab6" xr:uid="{00000000-0004-0000-0100-000005000000}"/>
    <hyperlink ref="A31" location="Tab7!A2" display="Tab7" xr:uid="{00000000-0004-0000-0100-000006000000}"/>
    <hyperlink ref="A33" location="Tab8!A2" display="Tab8" xr:uid="{00000000-0004-0000-0100-000007000000}"/>
    <hyperlink ref="A35" location="Tab9!A2" display="Tab9" xr:uid="{00000000-0004-0000-0100-000008000000}"/>
    <hyperlink ref="A37" location="Tab10!A2" display="Tab10" xr:uid="{00000000-0004-0000-0100-000009000000}"/>
    <hyperlink ref="A40" location="Tab11!A2" display="Tab11" xr:uid="{00000000-0004-0000-0100-00000A000000}"/>
    <hyperlink ref="A43" location="'Tab12'!A2" display="Tab12" xr:uid="{00000000-0004-0000-0100-00000B000000}"/>
    <hyperlink ref="A45" location="'Tab13'!A2" display="Tab13" xr:uid="{00000000-0004-0000-0100-00000C000000}"/>
    <hyperlink ref="A73" location="'Tab18'!A2" display="Tab18" xr:uid="{00000000-0004-0000-0100-00000D000000}"/>
    <hyperlink ref="A75" location="'Tab19'!A2" display="Tab19" xr:uid="{00000000-0004-0000-0100-00000E000000}"/>
    <hyperlink ref="A77" location="'Tab20'!A2" display="Tab20" xr:uid="{00000000-0004-0000-0100-00000F000000}"/>
    <hyperlink ref="A47" location="'Tab14'!A2" display="Tab14" xr:uid="{00000000-0004-0000-0100-000010000000}"/>
    <hyperlink ref="A80" location="'Tab21'!A2" display="Tab21" xr:uid="{00000000-0004-0000-0100-000011000000}"/>
    <hyperlink ref="A66" location="'Tab15'!A2" display="Tab15" xr:uid="{00000000-0004-0000-0100-000012000000}"/>
    <hyperlink ref="A68" location="'Tab16'!A2" display="Tab16" xr:uid="{00000000-0004-0000-0100-000013000000}"/>
    <hyperlink ref="A70" location="'Tab17'!A2" display="Tab17" xr:uid="{00000000-0004-0000-0100-000014000000}"/>
  </hyperlinks>
  <pageMargins left="0.78740157480314965" right="0.78740157480314965" top="0.98425196850393704" bottom="0.19685039370078741" header="3.937007874015748E-2" footer="3.937007874015748E-2"/>
  <pageSetup paperSize="9" scale="93" fitToWidth="0" fitToHeight="0" orientation="portrait" horizontalDpi="300" verticalDpi="300" r:id="rId1"/>
  <headerFooter alignWithMargins="0"/>
  <rowBreaks count="1" manualBreakCount="1">
    <brk id="62" max="16383"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68"/>
  <sheetViews>
    <sheetView showGridLines="0" showRowColHeaders="0" zoomScale="80" zoomScaleNormal="80" workbookViewId="0"/>
  </sheetViews>
  <sheetFormatPr defaultColWidth="11.5" defaultRowHeight="13.6" x14ac:dyDescent="0.25"/>
  <cols>
    <col min="1" max="1" width="26.375" style="1" customWidth="1"/>
    <col min="2" max="2" width="8.125" style="1" customWidth="1"/>
    <col min="3" max="4" width="10.5" style="1" customWidth="1"/>
    <col min="5" max="5" width="9.875" style="1" customWidth="1"/>
    <col min="6" max="6" width="1.625" style="1" customWidth="1"/>
    <col min="7" max="7" width="7.625" style="1" customWidth="1"/>
    <col min="8" max="8" width="8.875" style="1" customWidth="1"/>
    <col min="9" max="16384" width="11.5" style="1"/>
  </cols>
  <sheetData>
    <row r="1" spans="1:8" ht="5.3" customHeight="1" x14ac:dyDescent="0.25"/>
    <row r="2" spans="1:8" x14ac:dyDescent="0.25">
      <c r="A2" s="92" t="s">
        <v>0</v>
      </c>
      <c r="B2" s="2"/>
      <c r="C2" s="2"/>
      <c r="D2" s="2"/>
      <c r="E2" s="2"/>
      <c r="F2" s="2"/>
      <c r="G2" s="2"/>
    </row>
    <row r="3" spans="1:8" ht="5.95" customHeight="1" x14ac:dyDescent="0.25">
      <c r="A3" s="3"/>
      <c r="B3" s="2"/>
      <c r="C3" s="2"/>
      <c r="D3" s="2"/>
      <c r="E3" s="2"/>
      <c r="F3" s="2"/>
      <c r="G3" s="2"/>
    </row>
    <row r="4" spans="1:8" ht="16.3" thickBot="1" x14ac:dyDescent="0.3">
      <c r="A4" s="4" t="s">
        <v>154</v>
      </c>
      <c r="B4" s="5"/>
      <c r="C4" s="5"/>
      <c r="D4" s="5"/>
      <c r="E4" s="5"/>
      <c r="F4" s="5"/>
      <c r="G4" s="5"/>
      <c r="H4" s="6"/>
    </row>
    <row r="5" spans="1:8" x14ac:dyDescent="0.25">
      <c r="A5" s="7"/>
      <c r="B5" s="8"/>
      <c r="C5" s="9"/>
      <c r="D5" s="8"/>
      <c r="E5" s="10"/>
      <c r="F5" s="11"/>
      <c r="G5" s="196" t="s">
        <v>1</v>
      </c>
      <c r="H5" s="197"/>
    </row>
    <row r="6" spans="1:8" x14ac:dyDescent="0.25">
      <c r="A6" s="12"/>
      <c r="B6" s="13"/>
      <c r="C6" s="14" t="s">
        <v>231</v>
      </c>
      <c r="D6" s="15" t="s">
        <v>232</v>
      </c>
      <c r="E6" s="15" t="s">
        <v>233</v>
      </c>
      <c r="F6" s="16"/>
      <c r="G6" s="17" t="s">
        <v>234</v>
      </c>
      <c r="H6" s="18" t="s">
        <v>235</v>
      </c>
    </row>
    <row r="7" spans="1:8" x14ac:dyDescent="0.25">
      <c r="A7" s="198" t="s">
        <v>61</v>
      </c>
      <c r="B7" s="19" t="s">
        <v>3</v>
      </c>
      <c r="C7" s="20">
        <v>311962</v>
      </c>
      <c r="D7" s="20">
        <v>320312</v>
      </c>
      <c r="E7" s="79">
        <v>327220.26317371469</v>
      </c>
      <c r="F7" s="22" t="s">
        <v>236</v>
      </c>
      <c r="G7" s="23">
        <v>4.8910646725289268</v>
      </c>
      <c r="H7" s="24">
        <v>2.1567294305910139</v>
      </c>
    </row>
    <row r="8" spans="1:8" x14ac:dyDescent="0.25">
      <c r="A8" s="199"/>
      <c r="B8" s="25" t="s">
        <v>237</v>
      </c>
      <c r="C8" s="26">
        <v>260701</v>
      </c>
      <c r="D8" s="26">
        <v>251107</v>
      </c>
      <c r="E8" s="26">
        <v>261928</v>
      </c>
      <c r="F8" s="27"/>
      <c r="G8" s="28">
        <v>0.47065412100452875</v>
      </c>
      <c r="H8" s="29">
        <v>4.3093183383975884</v>
      </c>
    </row>
    <row r="9" spans="1:8" x14ac:dyDescent="0.25">
      <c r="A9" s="30" t="s">
        <v>62</v>
      </c>
      <c r="B9" s="31" t="s">
        <v>3</v>
      </c>
      <c r="C9" s="20">
        <v>101646.25</v>
      </c>
      <c r="D9" s="20">
        <v>95488</v>
      </c>
      <c r="E9" s="21">
        <v>90803.533653354636</v>
      </c>
      <c r="F9" s="22" t="s">
        <v>236</v>
      </c>
      <c r="G9" s="32">
        <v>-10.66710906368445</v>
      </c>
      <c r="H9" s="33">
        <v>-4.9058168006926195</v>
      </c>
    </row>
    <row r="10" spans="1:8" x14ac:dyDescent="0.25">
      <c r="A10" s="34"/>
      <c r="B10" s="25" t="s">
        <v>237</v>
      </c>
      <c r="C10" s="26">
        <v>84999</v>
      </c>
      <c r="D10" s="26">
        <v>76880</v>
      </c>
      <c r="E10" s="26">
        <v>74026</v>
      </c>
      <c r="F10" s="27"/>
      <c r="G10" s="35">
        <v>-12.909563641925203</v>
      </c>
      <c r="H10" s="29">
        <v>-3.7122788761706573</v>
      </c>
    </row>
    <row r="11" spans="1:8" x14ac:dyDescent="0.25">
      <c r="A11" s="30" t="s">
        <v>47</v>
      </c>
      <c r="B11" s="31" t="s">
        <v>3</v>
      </c>
      <c r="C11" s="20">
        <v>11526.5</v>
      </c>
      <c r="D11" s="20">
        <v>11450</v>
      </c>
      <c r="E11" s="21">
        <v>11255.548371022036</v>
      </c>
      <c r="F11" s="22" t="s">
        <v>236</v>
      </c>
      <c r="G11" s="37">
        <v>-2.3506843272282509</v>
      </c>
      <c r="H11" s="33">
        <v>-1.6982675019909408</v>
      </c>
    </row>
    <row r="12" spans="1:8" x14ac:dyDescent="0.25">
      <c r="A12" s="34"/>
      <c r="B12" s="25" t="s">
        <v>237</v>
      </c>
      <c r="C12" s="26">
        <v>10413.5</v>
      </c>
      <c r="D12" s="26">
        <v>8889</v>
      </c>
      <c r="E12" s="26">
        <v>9168</v>
      </c>
      <c r="F12" s="27"/>
      <c r="G12" s="28">
        <v>-11.960435972535649</v>
      </c>
      <c r="H12" s="29">
        <v>3.1387107661154232</v>
      </c>
    </row>
    <row r="13" spans="1:8" x14ac:dyDescent="0.25">
      <c r="A13" s="30" t="s">
        <v>48</v>
      </c>
      <c r="B13" s="31" t="s">
        <v>3</v>
      </c>
      <c r="C13" s="20">
        <v>94852.25</v>
      </c>
      <c r="D13" s="20">
        <v>94408</v>
      </c>
      <c r="E13" s="21">
        <v>96722.599778267482</v>
      </c>
      <c r="F13" s="22" t="s">
        <v>236</v>
      </c>
      <c r="G13" s="23">
        <v>1.9718559952636667</v>
      </c>
      <c r="H13" s="24">
        <v>2.4516987736923568</v>
      </c>
    </row>
    <row r="14" spans="1:8" x14ac:dyDescent="0.25">
      <c r="A14" s="34"/>
      <c r="B14" s="25" t="s">
        <v>237</v>
      </c>
      <c r="C14" s="26">
        <v>77849.8</v>
      </c>
      <c r="D14" s="26">
        <v>73967</v>
      </c>
      <c r="E14" s="26">
        <v>76945</v>
      </c>
      <c r="F14" s="27"/>
      <c r="G14" s="38">
        <v>-1.1622380532769512</v>
      </c>
      <c r="H14" s="24">
        <v>4.0261197561074482</v>
      </c>
    </row>
    <row r="15" spans="1:8" x14ac:dyDescent="0.25">
      <c r="A15" s="30" t="s">
        <v>49</v>
      </c>
      <c r="B15" s="31" t="s">
        <v>3</v>
      </c>
      <c r="C15" s="20">
        <v>76225.75</v>
      </c>
      <c r="D15" s="20">
        <v>80714</v>
      </c>
      <c r="E15" s="21">
        <v>82942.690968020281</v>
      </c>
      <c r="F15" s="22" t="s">
        <v>236</v>
      </c>
      <c r="G15" s="37">
        <v>8.8119053837060051</v>
      </c>
      <c r="H15" s="33">
        <v>2.761219823104156</v>
      </c>
    </row>
    <row r="16" spans="1:8" x14ac:dyDescent="0.25">
      <c r="A16" s="34"/>
      <c r="B16" s="25" t="s">
        <v>237</v>
      </c>
      <c r="C16" s="26">
        <v>61401</v>
      </c>
      <c r="D16" s="26">
        <v>62125</v>
      </c>
      <c r="E16" s="26">
        <v>64801</v>
      </c>
      <c r="F16" s="27"/>
      <c r="G16" s="28">
        <v>5.5373690982231523</v>
      </c>
      <c r="H16" s="29">
        <v>4.3074446680080598</v>
      </c>
    </row>
    <row r="17" spans="1:9" x14ac:dyDescent="0.25">
      <c r="A17" s="30" t="s">
        <v>50</v>
      </c>
      <c r="B17" s="31" t="s">
        <v>3</v>
      </c>
      <c r="C17" s="20">
        <v>42717.25</v>
      </c>
      <c r="D17" s="20">
        <v>50788</v>
      </c>
      <c r="E17" s="21">
        <v>58794.179233277275</v>
      </c>
      <c r="F17" s="22" t="s">
        <v>236</v>
      </c>
      <c r="G17" s="37">
        <v>37.635684022911761</v>
      </c>
      <c r="H17" s="33">
        <v>15.763919101514674</v>
      </c>
    </row>
    <row r="18" spans="1:9" ht="14.3" thickBot="1" x14ac:dyDescent="0.3">
      <c r="A18" s="56"/>
      <c r="B18" s="42" t="s">
        <v>237</v>
      </c>
      <c r="C18" s="43">
        <v>37966.699999999997</v>
      </c>
      <c r="D18" s="43">
        <v>38126</v>
      </c>
      <c r="E18" s="43">
        <v>46547</v>
      </c>
      <c r="F18" s="44"/>
      <c r="G18" s="57">
        <v>22.599541176873416</v>
      </c>
      <c r="H18" s="46">
        <v>22.087289513717678</v>
      </c>
    </row>
    <row r="19" spans="1:9" x14ac:dyDescent="0.25">
      <c r="A19" s="58"/>
      <c r="B19" s="58"/>
      <c r="C19" s="21"/>
      <c r="D19" s="21"/>
      <c r="E19" s="21"/>
      <c r="F19" s="59"/>
      <c r="G19" s="38"/>
      <c r="H19" s="60"/>
      <c r="I19" s="61"/>
    </row>
    <row r="20" spans="1:9" x14ac:dyDescent="0.25">
      <c r="A20" s="58"/>
      <c r="B20" s="62"/>
      <c r="C20" s="21"/>
      <c r="D20" s="21"/>
      <c r="E20" s="21"/>
      <c r="F20" s="63"/>
      <c r="G20" s="38"/>
      <c r="H20" s="60"/>
      <c r="I20" s="61"/>
    </row>
    <row r="21" spans="1:9" x14ac:dyDescent="0.25">
      <c r="A21" s="58"/>
      <c r="B21" s="58"/>
      <c r="C21" s="21"/>
      <c r="D21" s="21"/>
      <c r="E21" s="21"/>
      <c r="F21" s="59"/>
      <c r="G21" s="38"/>
      <c r="H21" s="60"/>
      <c r="I21" s="61"/>
    </row>
    <row r="22" spans="1:9" x14ac:dyDescent="0.25">
      <c r="A22" s="58"/>
      <c r="B22" s="62"/>
      <c r="C22" s="21"/>
      <c r="D22" s="21"/>
      <c r="E22" s="21"/>
      <c r="F22" s="63"/>
      <c r="G22" s="38"/>
      <c r="H22" s="60"/>
      <c r="I22" s="61"/>
    </row>
    <row r="23" spans="1:9" x14ac:dyDescent="0.25">
      <c r="A23" s="58"/>
      <c r="B23" s="58"/>
      <c r="C23" s="21"/>
      <c r="D23" s="21"/>
      <c r="E23" s="21"/>
      <c r="F23" s="59"/>
      <c r="G23" s="38"/>
      <c r="H23" s="60"/>
      <c r="I23" s="61"/>
    </row>
    <row r="24" spans="1:9" x14ac:dyDescent="0.25">
      <c r="A24" s="58"/>
      <c r="B24" s="62"/>
      <c r="C24" s="21"/>
      <c r="D24" s="21"/>
      <c r="E24" s="21"/>
      <c r="F24" s="63"/>
      <c r="G24" s="38"/>
      <c r="H24" s="60"/>
      <c r="I24" s="61"/>
    </row>
    <row r="25" spans="1:9" x14ac:dyDescent="0.25">
      <c r="A25" s="58"/>
      <c r="B25" s="58"/>
      <c r="C25" s="21"/>
      <c r="D25" s="21"/>
      <c r="E25" s="21"/>
      <c r="F25" s="59"/>
      <c r="G25" s="38"/>
      <c r="H25" s="60"/>
      <c r="I25" s="61"/>
    </row>
    <row r="26" spans="1:9" x14ac:dyDescent="0.25">
      <c r="A26" s="58"/>
      <c r="B26" s="62"/>
      <c r="C26" s="21"/>
      <c r="D26" s="21"/>
      <c r="E26" s="21"/>
      <c r="F26" s="63"/>
      <c r="G26" s="38"/>
      <c r="H26" s="60"/>
      <c r="I26" s="61"/>
    </row>
    <row r="27" spans="1:9" x14ac:dyDescent="0.25">
      <c r="A27" s="58"/>
      <c r="B27" s="58"/>
      <c r="C27" s="21"/>
      <c r="D27" s="21"/>
      <c r="E27" s="21"/>
      <c r="F27" s="59"/>
      <c r="G27" s="38"/>
      <c r="H27" s="60"/>
      <c r="I27" s="61"/>
    </row>
    <row r="28" spans="1:9" x14ac:dyDescent="0.25">
      <c r="A28" s="58"/>
      <c r="B28" s="62"/>
      <c r="C28" s="21"/>
      <c r="D28" s="21"/>
      <c r="E28" s="21"/>
      <c r="F28" s="63"/>
      <c r="G28" s="38"/>
      <c r="H28" s="60"/>
      <c r="I28" s="61"/>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3" thickBot="1" x14ac:dyDescent="0.3">
      <c r="A32" s="4" t="s">
        <v>71</v>
      </c>
      <c r="B32" s="5"/>
      <c r="C32" s="5"/>
      <c r="D32" s="5"/>
      <c r="E32" s="5"/>
      <c r="F32" s="5"/>
      <c r="G32" s="5"/>
      <c r="H32" s="6"/>
    </row>
    <row r="33" spans="1:9" x14ac:dyDescent="0.25">
      <c r="A33" s="7"/>
      <c r="B33" s="8"/>
      <c r="C33" s="202" t="s">
        <v>16</v>
      </c>
      <c r="D33" s="196"/>
      <c r="E33" s="196"/>
      <c r="F33" s="203"/>
      <c r="G33" s="196" t="s">
        <v>1</v>
      </c>
      <c r="H33" s="197"/>
    </row>
    <row r="34" spans="1:9" x14ac:dyDescent="0.25">
      <c r="A34" s="12"/>
      <c r="B34" s="13"/>
      <c r="C34" s="14" t="s">
        <v>231</v>
      </c>
      <c r="D34" s="15" t="s">
        <v>232</v>
      </c>
      <c r="E34" s="15" t="s">
        <v>233</v>
      </c>
      <c r="F34" s="16"/>
      <c r="G34" s="17" t="s">
        <v>234</v>
      </c>
      <c r="H34" s="18" t="s">
        <v>235</v>
      </c>
    </row>
    <row r="35" spans="1:9" ht="12.75" customHeight="1" x14ac:dyDescent="0.25">
      <c r="A35" s="198" t="s">
        <v>61</v>
      </c>
      <c r="B35" s="19" t="s">
        <v>3</v>
      </c>
      <c r="C35" s="80">
        <v>2043.5081056764259</v>
      </c>
      <c r="D35" s="80">
        <v>2078.8919979673683</v>
      </c>
      <c r="E35" s="81">
        <v>2158.1615459154546</v>
      </c>
      <c r="F35" s="22" t="s">
        <v>236</v>
      </c>
      <c r="G35" s="23">
        <v>5.6106183244659604</v>
      </c>
      <c r="H35" s="24">
        <v>3.8130671543106445</v>
      </c>
    </row>
    <row r="36" spans="1:9" ht="12.75" customHeight="1" x14ac:dyDescent="0.25">
      <c r="A36" s="199"/>
      <c r="B36" s="25" t="s">
        <v>237</v>
      </c>
      <c r="C36" s="82">
        <v>1725.9445114489029</v>
      </c>
      <c r="D36" s="82">
        <v>1637.636888749164</v>
      </c>
      <c r="E36" s="82">
        <v>1739.1033802745553</v>
      </c>
      <c r="F36" s="27"/>
      <c r="G36" s="28">
        <v>0.76241552021889447</v>
      </c>
      <c r="H36" s="29">
        <v>6.1959090090411877</v>
      </c>
    </row>
    <row r="37" spans="1:9" x14ac:dyDescent="0.25">
      <c r="A37" s="30" t="s">
        <v>62</v>
      </c>
      <c r="B37" s="31" t="s">
        <v>3</v>
      </c>
      <c r="C37" s="80">
        <v>329.54042657650541</v>
      </c>
      <c r="D37" s="80">
        <v>319.84506398723425</v>
      </c>
      <c r="E37" s="83">
        <v>308.4834926678875</v>
      </c>
      <c r="F37" s="22" t="s">
        <v>236</v>
      </c>
      <c r="G37" s="32">
        <v>-6.3897877803254488</v>
      </c>
      <c r="H37" s="33">
        <v>-3.5522109291642039</v>
      </c>
    </row>
    <row r="38" spans="1:9" x14ac:dyDescent="0.25">
      <c r="A38" s="34"/>
      <c r="B38" s="25" t="s">
        <v>237</v>
      </c>
      <c r="C38" s="82">
        <v>291.33034371063235</v>
      </c>
      <c r="D38" s="82">
        <v>265.29172578485782</v>
      </c>
      <c r="E38" s="82">
        <v>261.24752043456482</v>
      </c>
      <c r="F38" s="27"/>
      <c r="G38" s="35">
        <v>-10.326017843835615</v>
      </c>
      <c r="H38" s="29">
        <v>-1.5244370469257262</v>
      </c>
    </row>
    <row r="39" spans="1:9" x14ac:dyDescent="0.25">
      <c r="A39" s="30" t="s">
        <v>47</v>
      </c>
      <c r="B39" s="31" t="s">
        <v>3</v>
      </c>
      <c r="C39" s="80">
        <v>199.75558718437267</v>
      </c>
      <c r="D39" s="80">
        <v>202.57119352030472</v>
      </c>
      <c r="E39" s="83">
        <v>204.29672853228624</v>
      </c>
      <c r="F39" s="22" t="s">
        <v>236</v>
      </c>
      <c r="G39" s="37">
        <v>2.2733488519258032</v>
      </c>
      <c r="H39" s="33">
        <v>0.85181657964045598</v>
      </c>
    </row>
    <row r="40" spans="1:9" x14ac:dyDescent="0.25">
      <c r="A40" s="34"/>
      <c r="B40" s="25" t="s">
        <v>237</v>
      </c>
      <c r="C40" s="82">
        <v>175.35093286351008</v>
      </c>
      <c r="D40" s="82">
        <v>174.77456789159939</v>
      </c>
      <c r="E40" s="82">
        <v>177.27619886132592</v>
      </c>
      <c r="F40" s="27"/>
      <c r="G40" s="28">
        <v>1.0979502454739816</v>
      </c>
      <c r="H40" s="29">
        <v>1.4313472491479047</v>
      </c>
    </row>
    <row r="41" spans="1:9" x14ac:dyDescent="0.25">
      <c r="A41" s="30" t="s">
        <v>48</v>
      </c>
      <c r="B41" s="31" t="s">
        <v>3</v>
      </c>
      <c r="C41" s="80">
        <v>980.7909940709734</v>
      </c>
      <c r="D41" s="80">
        <v>965.91741902220747</v>
      </c>
      <c r="E41" s="83">
        <v>1017.6090156231535</v>
      </c>
      <c r="F41" s="22" t="s">
        <v>236</v>
      </c>
      <c r="G41" s="23">
        <v>3.7539110549291763</v>
      </c>
      <c r="H41" s="24">
        <v>5.3515544479230073</v>
      </c>
    </row>
    <row r="42" spans="1:9" x14ac:dyDescent="0.25">
      <c r="A42" s="34"/>
      <c r="B42" s="25" t="s">
        <v>237</v>
      </c>
      <c r="C42" s="82">
        <v>796.98290219334569</v>
      </c>
      <c r="D42" s="82">
        <v>731.6123076636768</v>
      </c>
      <c r="E42" s="82">
        <v>788.61045853414475</v>
      </c>
      <c r="F42" s="27"/>
      <c r="G42" s="38">
        <v>-1.0505173493884854</v>
      </c>
      <c r="H42" s="24">
        <v>7.7907588860123553</v>
      </c>
    </row>
    <row r="43" spans="1:9" x14ac:dyDescent="0.25">
      <c r="A43" s="30" t="s">
        <v>49</v>
      </c>
      <c r="B43" s="31" t="s">
        <v>3</v>
      </c>
      <c r="C43" s="80">
        <v>411.24821371540776</v>
      </c>
      <c r="D43" s="80">
        <v>435.81523128285693</v>
      </c>
      <c r="E43" s="83">
        <v>475.78846093726588</v>
      </c>
      <c r="F43" s="22" t="s">
        <v>236</v>
      </c>
      <c r="G43" s="37">
        <v>15.693745302568374</v>
      </c>
      <c r="H43" s="33">
        <v>9.1720588876034839</v>
      </c>
    </row>
    <row r="44" spans="1:9" x14ac:dyDescent="0.25">
      <c r="A44" s="34"/>
      <c r="B44" s="25" t="s">
        <v>237</v>
      </c>
      <c r="C44" s="82">
        <v>333.84833151693476</v>
      </c>
      <c r="D44" s="82">
        <v>344.15515351163822</v>
      </c>
      <c r="E44" s="82">
        <v>379.16379574382626</v>
      </c>
      <c r="F44" s="27"/>
      <c r="G44" s="28">
        <v>13.573668024934491</v>
      </c>
      <c r="H44" s="29">
        <v>10.17234287354762</v>
      </c>
    </row>
    <row r="45" spans="1:9" x14ac:dyDescent="0.25">
      <c r="A45" s="30" t="s">
        <v>50</v>
      </c>
      <c r="B45" s="31" t="s">
        <v>3</v>
      </c>
      <c r="C45" s="80">
        <v>122.1728841291667</v>
      </c>
      <c r="D45" s="80">
        <v>154.74309015476484</v>
      </c>
      <c r="E45" s="83">
        <v>154.5915667443997</v>
      </c>
      <c r="F45" s="22" t="s">
        <v>236</v>
      </c>
      <c r="G45" s="37">
        <v>26.535088245079393</v>
      </c>
      <c r="H45" s="33">
        <v>-9.7919338571813341E-2</v>
      </c>
    </row>
    <row r="46" spans="1:9" ht="14.3" thickBot="1" x14ac:dyDescent="0.3">
      <c r="A46" s="56"/>
      <c r="B46" s="42" t="s">
        <v>237</v>
      </c>
      <c r="C46" s="86">
        <v>128.43200116448008</v>
      </c>
      <c r="D46" s="86">
        <v>121.80313389739173</v>
      </c>
      <c r="E46" s="86">
        <v>132.8054067006934</v>
      </c>
      <c r="F46" s="44"/>
      <c r="G46" s="57">
        <v>3.4052303916158593</v>
      </c>
      <c r="H46" s="46">
        <v>9.0328322853910237</v>
      </c>
    </row>
    <row r="47" spans="1:9" x14ac:dyDescent="0.25">
      <c r="A47" s="58"/>
      <c r="B47" s="58"/>
      <c r="C47" s="21"/>
      <c r="D47" s="21"/>
      <c r="E47" s="21"/>
      <c r="F47" s="59"/>
      <c r="G47" s="38"/>
      <c r="H47" s="60"/>
      <c r="I47" s="61"/>
    </row>
    <row r="48" spans="1:9" x14ac:dyDescent="0.25">
      <c r="A48" s="58"/>
      <c r="B48" s="62"/>
      <c r="C48" s="21"/>
      <c r="D48" s="21"/>
      <c r="E48" s="21"/>
      <c r="F48" s="63"/>
      <c r="G48" s="38"/>
      <c r="H48" s="60"/>
      <c r="I48" s="61"/>
    </row>
    <row r="49" spans="1:9" x14ac:dyDescent="0.25">
      <c r="A49" s="58"/>
      <c r="B49" s="58"/>
      <c r="C49" s="21"/>
      <c r="D49" s="21"/>
      <c r="E49" s="97"/>
      <c r="F49" s="59"/>
      <c r="G49" s="38"/>
      <c r="H49" s="60"/>
      <c r="I49" s="61"/>
    </row>
    <row r="50" spans="1:9" x14ac:dyDescent="0.25">
      <c r="A50" s="58"/>
      <c r="B50" s="62"/>
      <c r="C50" s="21"/>
      <c r="D50" s="21"/>
      <c r="E50" s="21"/>
      <c r="F50" s="63"/>
      <c r="G50" s="38"/>
      <c r="H50" s="60"/>
      <c r="I50" s="61"/>
    </row>
    <row r="51" spans="1:9" x14ac:dyDescent="0.25">
      <c r="A51" s="58"/>
      <c r="B51" s="58"/>
      <c r="C51" s="21"/>
      <c r="D51" s="21"/>
      <c r="E51" s="21"/>
      <c r="F51" s="59"/>
      <c r="G51" s="38"/>
      <c r="H51" s="60"/>
      <c r="I51" s="61"/>
    </row>
    <row r="52" spans="1:9" x14ac:dyDescent="0.25">
      <c r="A52" s="58"/>
      <c r="B52" s="62"/>
      <c r="C52" s="21"/>
      <c r="D52" s="21"/>
      <c r="E52" s="21"/>
      <c r="F52" s="63"/>
      <c r="G52" s="38"/>
      <c r="H52" s="60"/>
      <c r="I52" s="61"/>
    </row>
    <row r="53" spans="1:9" x14ac:dyDescent="0.25">
      <c r="A53" s="58"/>
      <c r="B53" s="58"/>
      <c r="C53" s="21"/>
      <c r="D53" s="21"/>
      <c r="E53" s="21"/>
      <c r="F53" s="59"/>
      <c r="G53" s="38"/>
      <c r="H53" s="60"/>
      <c r="I53" s="61"/>
    </row>
    <row r="54" spans="1:9" x14ac:dyDescent="0.25">
      <c r="A54" s="58"/>
      <c r="B54" s="62"/>
      <c r="C54" s="21"/>
      <c r="D54" s="21"/>
      <c r="E54" s="21"/>
      <c r="F54" s="63"/>
      <c r="G54" s="38"/>
      <c r="H54" s="60"/>
      <c r="I54" s="61"/>
    </row>
    <row r="55" spans="1:9" x14ac:dyDescent="0.25">
      <c r="A55" s="58"/>
      <c r="B55" s="58"/>
      <c r="C55" s="21"/>
      <c r="D55" s="21"/>
      <c r="E55" s="21"/>
      <c r="F55" s="59"/>
      <c r="G55" s="38"/>
      <c r="H55" s="60"/>
      <c r="I55" s="61"/>
    </row>
    <row r="56" spans="1:9" x14ac:dyDescent="0.25">
      <c r="A56" s="58"/>
      <c r="B56" s="62"/>
      <c r="C56" s="21"/>
      <c r="D56" s="21"/>
      <c r="E56" s="21"/>
      <c r="F56" s="63"/>
      <c r="G56" s="38"/>
      <c r="H56" s="60"/>
      <c r="I56" s="61"/>
    </row>
    <row r="57" spans="1:9" x14ac:dyDescent="0.25">
      <c r="A57" s="58"/>
      <c r="B57" s="58"/>
      <c r="C57" s="64"/>
      <c r="D57" s="64"/>
      <c r="E57" s="21"/>
      <c r="F57" s="59"/>
      <c r="G57" s="38"/>
      <c r="H57" s="60"/>
      <c r="I57" s="61"/>
    </row>
    <row r="58" spans="1:9" x14ac:dyDescent="0.25">
      <c r="A58" s="65"/>
      <c r="B58" s="62"/>
      <c r="C58" s="21"/>
      <c r="D58" s="21"/>
      <c r="E58" s="21"/>
      <c r="F58" s="63"/>
      <c r="G58" s="38"/>
      <c r="H58" s="60"/>
      <c r="I58" s="61"/>
    </row>
    <row r="59" spans="1:9" x14ac:dyDescent="0.25">
      <c r="A59" s="47"/>
      <c r="B59" s="48"/>
      <c r="C59" s="49"/>
      <c r="D59" s="49"/>
      <c r="E59" s="49"/>
      <c r="F59" s="49"/>
      <c r="G59" s="50"/>
      <c r="H59" s="51"/>
    </row>
    <row r="60" spans="1:9" x14ac:dyDescent="0.25">
      <c r="A60" s="52"/>
      <c r="B60" s="52"/>
      <c r="C60" s="52"/>
      <c r="D60" s="52"/>
      <c r="E60" s="52"/>
      <c r="F60" s="52"/>
      <c r="G60" s="52"/>
      <c r="H60" s="52"/>
    </row>
    <row r="61" spans="1:9" ht="12.75" customHeight="1" x14ac:dyDescent="0.25">
      <c r="A61" s="54" t="s">
        <v>238</v>
      </c>
      <c r="G61" s="53"/>
      <c r="H61" s="201">
        <v>24</v>
      </c>
    </row>
    <row r="62" spans="1:9" ht="12.75" customHeight="1" x14ac:dyDescent="0.25">
      <c r="A62" s="54" t="s">
        <v>239</v>
      </c>
      <c r="G62" s="53"/>
      <c r="H62" s="194"/>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73" display="Tilbake til innholdsfortegnelsen" xr:uid="{00000000-0004-0000-1300-000000000000}"/>
  </hyperlinks>
  <pageMargins left="0.78740157480314965" right="0.78740157480314965" top="0.98425196850393704" bottom="0.19685039370078741" header="3.937007874015748E-2" footer="3.937007874015748E-2"/>
  <pageSetup paperSize="9" scale="95"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68"/>
  <sheetViews>
    <sheetView showGridLines="0" showRowColHeaders="0" zoomScale="80" zoomScaleNormal="80" workbookViewId="0"/>
  </sheetViews>
  <sheetFormatPr defaultColWidth="11.5" defaultRowHeight="13.6" x14ac:dyDescent="0.25"/>
  <cols>
    <col min="1" max="1" width="26.375" style="1" customWidth="1"/>
    <col min="2" max="2" width="8.125" style="1" customWidth="1"/>
    <col min="3" max="4" width="10.5" style="1" customWidth="1"/>
    <col min="5" max="5" width="9.875" style="1" customWidth="1"/>
    <col min="6" max="6" width="1.625" style="1" customWidth="1"/>
    <col min="7" max="7" width="7.625" style="1" customWidth="1"/>
    <col min="8" max="8" width="8.875" style="1" customWidth="1"/>
    <col min="9" max="16384" width="11.5" style="1"/>
  </cols>
  <sheetData>
    <row r="1" spans="1:8" ht="5.3" customHeight="1" x14ac:dyDescent="0.25"/>
    <row r="2" spans="1:8" x14ac:dyDescent="0.25">
      <c r="A2" s="92" t="s">
        <v>0</v>
      </c>
      <c r="B2" s="2"/>
      <c r="C2" s="2"/>
      <c r="D2" s="2"/>
      <c r="E2" s="2"/>
      <c r="F2" s="2"/>
      <c r="G2" s="2"/>
    </row>
    <row r="3" spans="1:8" ht="5.95" customHeight="1" x14ac:dyDescent="0.25">
      <c r="A3" s="3"/>
      <c r="B3" s="2"/>
      <c r="C3" s="2"/>
      <c r="D3" s="2"/>
      <c r="E3" s="2"/>
      <c r="F3" s="2"/>
      <c r="G3" s="2"/>
    </row>
    <row r="4" spans="1:8" ht="16.3" thickBot="1" x14ac:dyDescent="0.3">
      <c r="A4" s="4" t="s">
        <v>155</v>
      </c>
      <c r="B4" s="5"/>
      <c r="C4" s="5"/>
      <c r="D4" s="5"/>
      <c r="E4" s="5"/>
      <c r="F4" s="5"/>
      <c r="G4" s="5"/>
      <c r="H4" s="6"/>
    </row>
    <row r="5" spans="1:8" x14ac:dyDescent="0.25">
      <c r="A5" s="7"/>
      <c r="B5" s="8"/>
      <c r="C5" s="9"/>
      <c r="D5" s="8"/>
      <c r="E5" s="10"/>
      <c r="F5" s="11"/>
      <c r="G5" s="196" t="s">
        <v>1</v>
      </c>
      <c r="H5" s="197"/>
    </row>
    <row r="6" spans="1:8" x14ac:dyDescent="0.25">
      <c r="A6" s="12"/>
      <c r="B6" s="13"/>
      <c r="C6" s="14" t="s">
        <v>231</v>
      </c>
      <c r="D6" s="15" t="s">
        <v>232</v>
      </c>
      <c r="E6" s="15" t="s">
        <v>233</v>
      </c>
      <c r="F6" s="16"/>
      <c r="G6" s="17" t="s">
        <v>234</v>
      </c>
      <c r="H6" s="18" t="s">
        <v>235</v>
      </c>
    </row>
    <row r="7" spans="1:8" x14ac:dyDescent="0.25">
      <c r="A7" s="198" t="s">
        <v>51</v>
      </c>
      <c r="B7" s="19" t="s">
        <v>3</v>
      </c>
      <c r="C7" s="20">
        <v>10018.849101246882</v>
      </c>
      <c r="D7" s="20">
        <v>9835.3017456359103</v>
      </c>
      <c r="E7" s="79">
        <v>12566.716648385896</v>
      </c>
      <c r="F7" s="22" t="s">
        <v>236</v>
      </c>
      <c r="G7" s="23">
        <v>25.430740810558007</v>
      </c>
      <c r="H7" s="24">
        <v>27.771541467570742</v>
      </c>
    </row>
    <row r="8" spans="1:8" x14ac:dyDescent="0.25">
      <c r="A8" s="199"/>
      <c r="B8" s="25" t="s">
        <v>237</v>
      </c>
      <c r="C8" s="26">
        <v>8019.1474623129679</v>
      </c>
      <c r="D8" s="26">
        <v>7767.2263092269332</v>
      </c>
      <c r="E8" s="26">
        <v>9968.6290523690768</v>
      </c>
      <c r="F8" s="27"/>
      <c r="G8" s="28">
        <v>24.310334723459732</v>
      </c>
      <c r="H8" s="29">
        <v>28.342199074681616</v>
      </c>
    </row>
    <row r="9" spans="1:8" x14ac:dyDescent="0.25">
      <c r="A9" s="30" t="s">
        <v>12</v>
      </c>
      <c r="B9" s="31" t="s">
        <v>3</v>
      </c>
      <c r="C9" s="20">
        <v>236.87614895999999</v>
      </c>
      <c r="D9" s="20">
        <v>251.97450000000001</v>
      </c>
      <c r="E9" s="21">
        <v>320.52844157464654</v>
      </c>
      <c r="F9" s="22" t="s">
        <v>236</v>
      </c>
      <c r="G9" s="32">
        <v>35.314780733273579</v>
      </c>
      <c r="H9" s="33">
        <v>27.206698128043328</v>
      </c>
    </row>
    <row r="10" spans="1:8" x14ac:dyDescent="0.25">
      <c r="A10" s="34"/>
      <c r="B10" s="25" t="s">
        <v>237</v>
      </c>
      <c r="C10" s="26">
        <v>169.64751323875001</v>
      </c>
      <c r="D10" s="26">
        <v>180.730875</v>
      </c>
      <c r="E10" s="26">
        <v>229.787125</v>
      </c>
      <c r="F10" s="27"/>
      <c r="G10" s="35">
        <v>35.449745541871692</v>
      </c>
      <c r="H10" s="29">
        <v>27.143259279854661</v>
      </c>
    </row>
    <row r="11" spans="1:8" x14ac:dyDescent="0.25">
      <c r="A11" s="30" t="s">
        <v>18</v>
      </c>
      <c r="B11" s="31" t="s">
        <v>3</v>
      </c>
      <c r="C11" s="20">
        <v>447.35045958399996</v>
      </c>
      <c r="D11" s="20">
        <v>273.38979999999998</v>
      </c>
      <c r="E11" s="21">
        <v>311.94143543131162</v>
      </c>
      <c r="F11" s="22" t="s">
        <v>236</v>
      </c>
      <c r="G11" s="37">
        <v>-30.269114796172985</v>
      </c>
      <c r="H11" s="33">
        <v>14.101343733859721</v>
      </c>
    </row>
    <row r="12" spans="1:8" x14ac:dyDescent="0.25">
      <c r="A12" s="34"/>
      <c r="B12" s="25" t="s">
        <v>237</v>
      </c>
      <c r="C12" s="26">
        <v>222.2590052955</v>
      </c>
      <c r="D12" s="26">
        <v>232.29235</v>
      </c>
      <c r="E12" s="26">
        <v>214.31485000000001</v>
      </c>
      <c r="F12" s="27"/>
      <c r="G12" s="28">
        <v>-3.5742782547496859</v>
      </c>
      <c r="H12" s="29">
        <v>-7.7391700587643157</v>
      </c>
    </row>
    <row r="13" spans="1:8" x14ac:dyDescent="0.25">
      <c r="A13" s="30" t="s">
        <v>63</v>
      </c>
      <c r="B13" s="31" t="s">
        <v>3</v>
      </c>
      <c r="C13" s="20">
        <v>1366.2855586000001</v>
      </c>
      <c r="D13" s="20">
        <v>1360.6543750000001</v>
      </c>
      <c r="E13" s="21">
        <v>1312.7973417401975</v>
      </c>
      <c r="F13" s="22" t="s">
        <v>236</v>
      </c>
      <c r="G13" s="23">
        <v>-3.9148636625136106</v>
      </c>
      <c r="H13" s="24">
        <v>-3.5172071717185815</v>
      </c>
    </row>
    <row r="14" spans="1:8" x14ac:dyDescent="0.25">
      <c r="A14" s="34"/>
      <c r="B14" s="25" t="s">
        <v>237</v>
      </c>
      <c r="C14" s="26">
        <v>1096.4281746453125</v>
      </c>
      <c r="D14" s="26">
        <v>1058.7407812500001</v>
      </c>
      <c r="E14" s="26">
        <v>1031.9517187500001</v>
      </c>
      <c r="F14" s="27"/>
      <c r="G14" s="38">
        <v>-5.8805909394083358</v>
      </c>
      <c r="H14" s="24">
        <v>-2.5302758686948437</v>
      </c>
    </row>
    <row r="15" spans="1:8" x14ac:dyDescent="0.25">
      <c r="A15" s="30" t="s">
        <v>52</v>
      </c>
      <c r="B15" s="31" t="s">
        <v>3</v>
      </c>
      <c r="C15" s="20">
        <v>4753.3326067999997</v>
      </c>
      <c r="D15" s="20">
        <v>4984.05375</v>
      </c>
      <c r="E15" s="21">
        <v>6775.2889969563494</v>
      </c>
      <c r="F15" s="22" t="s">
        <v>236</v>
      </c>
      <c r="G15" s="37">
        <v>42.537658468582407</v>
      </c>
      <c r="H15" s="33">
        <v>35.939324429563982</v>
      </c>
    </row>
    <row r="16" spans="1:8" x14ac:dyDescent="0.25">
      <c r="A16" s="34"/>
      <c r="B16" s="25" t="s">
        <v>237</v>
      </c>
      <c r="C16" s="26">
        <v>3892.3314816781249</v>
      </c>
      <c r="D16" s="26">
        <v>3873.7903124999998</v>
      </c>
      <c r="E16" s="26">
        <v>5356.7746875000003</v>
      </c>
      <c r="F16" s="27"/>
      <c r="G16" s="28">
        <v>37.623804979490103</v>
      </c>
      <c r="H16" s="29">
        <v>38.28251545300958</v>
      </c>
    </row>
    <row r="17" spans="1:9" x14ac:dyDescent="0.25">
      <c r="A17" s="30" t="s">
        <v>50</v>
      </c>
      <c r="B17" s="31" t="s">
        <v>3</v>
      </c>
      <c r="C17" s="20">
        <v>3921.3807447999998</v>
      </c>
      <c r="D17" s="20">
        <v>3582.8724999999999</v>
      </c>
      <c r="E17" s="21">
        <v>4588.9292528643236</v>
      </c>
      <c r="F17" s="22" t="s">
        <v>236</v>
      </c>
      <c r="G17" s="37">
        <v>17.023302543358881</v>
      </c>
      <c r="H17" s="33">
        <v>28.079613574424542</v>
      </c>
    </row>
    <row r="18" spans="1:9" ht="14.3" thickBot="1" x14ac:dyDescent="0.3">
      <c r="A18" s="56"/>
      <c r="B18" s="42" t="s">
        <v>237</v>
      </c>
      <c r="C18" s="43">
        <v>3095.2375661937499</v>
      </c>
      <c r="D18" s="43">
        <v>2833.6543750000001</v>
      </c>
      <c r="E18" s="43">
        <v>3626.9356250000001</v>
      </c>
      <c r="F18" s="44"/>
      <c r="G18" s="57">
        <v>17.177940220597847</v>
      </c>
      <c r="H18" s="46">
        <v>27.994989685359911</v>
      </c>
    </row>
    <row r="19" spans="1:9" x14ac:dyDescent="0.25">
      <c r="A19" s="58"/>
      <c r="B19" s="58"/>
      <c r="C19" s="21"/>
      <c r="D19" s="21"/>
      <c r="E19" s="21"/>
      <c r="F19" s="59"/>
      <c r="G19" s="38"/>
      <c r="H19" s="60"/>
      <c r="I19" s="61"/>
    </row>
    <row r="20" spans="1:9" x14ac:dyDescent="0.25">
      <c r="A20" s="58"/>
      <c r="B20" s="62"/>
      <c r="C20" s="21"/>
      <c r="D20" s="21"/>
      <c r="E20" s="21"/>
      <c r="F20" s="63"/>
      <c r="G20" s="38"/>
      <c r="H20" s="60"/>
      <c r="I20" s="61"/>
    </row>
    <row r="21" spans="1:9" x14ac:dyDescent="0.25">
      <c r="A21" s="58"/>
      <c r="B21" s="58"/>
      <c r="C21" s="21"/>
      <c r="D21" s="21"/>
      <c r="E21" s="21"/>
      <c r="F21" s="59"/>
      <c r="G21" s="38"/>
      <c r="H21" s="60"/>
      <c r="I21" s="61"/>
    </row>
    <row r="22" spans="1:9" x14ac:dyDescent="0.25">
      <c r="A22" s="58"/>
      <c r="B22" s="62"/>
      <c r="C22" s="21"/>
      <c r="D22" s="21"/>
      <c r="E22" s="21"/>
      <c r="F22" s="63"/>
      <c r="G22" s="38"/>
      <c r="H22" s="60"/>
      <c r="I22" s="61"/>
    </row>
    <row r="23" spans="1:9" x14ac:dyDescent="0.25">
      <c r="A23" s="58"/>
      <c r="B23" s="58"/>
      <c r="C23" s="21"/>
      <c r="D23" s="21"/>
      <c r="E23" s="21"/>
      <c r="F23" s="59"/>
      <c r="G23" s="38"/>
      <c r="H23" s="60"/>
      <c r="I23" s="61"/>
    </row>
    <row r="24" spans="1:9" x14ac:dyDescent="0.25">
      <c r="A24" s="58"/>
      <c r="B24" s="62"/>
      <c r="C24" s="21"/>
      <c r="D24" s="21"/>
      <c r="E24" s="21"/>
      <c r="F24" s="63"/>
      <c r="G24" s="38"/>
      <c r="H24" s="60"/>
      <c r="I24" s="61"/>
    </row>
    <row r="25" spans="1:9" x14ac:dyDescent="0.25">
      <c r="A25" s="58"/>
      <c r="B25" s="58"/>
      <c r="C25" s="21"/>
      <c r="D25" s="21"/>
      <c r="E25" s="21"/>
      <c r="F25" s="59"/>
      <c r="G25" s="38"/>
      <c r="H25" s="60"/>
      <c r="I25" s="61"/>
    </row>
    <row r="26" spans="1:9" x14ac:dyDescent="0.25">
      <c r="A26" s="58"/>
      <c r="B26" s="62"/>
      <c r="C26" s="21"/>
      <c r="D26" s="21"/>
      <c r="E26" s="21"/>
      <c r="F26" s="63"/>
      <c r="G26" s="38"/>
      <c r="H26" s="60"/>
      <c r="I26" s="61"/>
    </row>
    <row r="27" spans="1:9" x14ac:dyDescent="0.25">
      <c r="A27" s="58"/>
      <c r="B27" s="58"/>
      <c r="C27" s="21"/>
      <c r="D27" s="21"/>
      <c r="E27" s="21"/>
      <c r="F27" s="59"/>
      <c r="G27" s="38"/>
      <c r="H27" s="60"/>
      <c r="I27" s="61"/>
    </row>
    <row r="28" spans="1:9" x14ac:dyDescent="0.25">
      <c r="A28" s="58"/>
      <c r="B28" s="62"/>
      <c r="C28" s="21"/>
      <c r="D28" s="21"/>
      <c r="E28" s="21"/>
      <c r="F28" s="63"/>
      <c r="G28" s="38"/>
      <c r="H28" s="60"/>
      <c r="I28" s="61"/>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3" thickBot="1" x14ac:dyDescent="0.3">
      <c r="A32" s="4" t="s">
        <v>70</v>
      </c>
      <c r="B32" s="5"/>
      <c r="C32" s="5"/>
      <c r="D32" s="5"/>
      <c r="E32" s="5"/>
      <c r="F32" s="5"/>
      <c r="G32" s="5"/>
      <c r="H32" s="6"/>
    </row>
    <row r="33" spans="1:9" x14ac:dyDescent="0.25">
      <c r="A33" s="7"/>
      <c r="B33" s="8"/>
      <c r="C33" s="202" t="s">
        <v>16</v>
      </c>
      <c r="D33" s="196"/>
      <c r="E33" s="196"/>
      <c r="F33" s="203"/>
      <c r="G33" s="196" t="s">
        <v>1</v>
      </c>
      <c r="H33" s="197"/>
    </row>
    <row r="34" spans="1:9" x14ac:dyDescent="0.25">
      <c r="A34" s="12"/>
      <c r="B34" s="13"/>
      <c r="C34" s="14" t="s">
        <v>231</v>
      </c>
      <c r="D34" s="15" t="s">
        <v>232</v>
      </c>
      <c r="E34" s="15" t="s">
        <v>233</v>
      </c>
      <c r="F34" s="16"/>
      <c r="G34" s="17" t="s">
        <v>234</v>
      </c>
      <c r="H34" s="18" t="s">
        <v>235</v>
      </c>
    </row>
    <row r="35" spans="1:9" ht="12.75" customHeight="1" x14ac:dyDescent="0.25">
      <c r="A35" s="198" t="s">
        <v>51</v>
      </c>
      <c r="B35" s="19" t="s">
        <v>3</v>
      </c>
      <c r="C35" s="80">
        <v>453.98179332223094</v>
      </c>
      <c r="D35" s="80">
        <v>468.76565664708278</v>
      </c>
      <c r="E35" s="81">
        <v>574.57459583886225</v>
      </c>
      <c r="F35" s="22" t="s">
        <v>236</v>
      </c>
      <c r="G35" s="23">
        <v>26.563356568582904</v>
      </c>
      <c r="H35" s="24">
        <v>22.571819776344952</v>
      </c>
    </row>
    <row r="36" spans="1:9" ht="12.75" customHeight="1" x14ac:dyDescent="0.25">
      <c r="A36" s="199"/>
      <c r="B36" s="25" t="s">
        <v>237</v>
      </c>
      <c r="C36" s="82">
        <v>368.91039147919628</v>
      </c>
      <c r="D36" s="82">
        <v>372.4964278198899</v>
      </c>
      <c r="E36" s="82">
        <v>459.9677291445048</v>
      </c>
      <c r="F36" s="27"/>
      <c r="G36" s="28">
        <v>24.682779278784153</v>
      </c>
      <c r="H36" s="29">
        <v>23.482453734270223</v>
      </c>
    </row>
    <row r="37" spans="1:9" x14ac:dyDescent="0.25">
      <c r="A37" s="30" t="s">
        <v>12</v>
      </c>
      <c r="B37" s="31" t="s">
        <v>3</v>
      </c>
      <c r="C37" s="80">
        <v>2.5057842983399552</v>
      </c>
      <c r="D37" s="80">
        <v>2.9888742341862047</v>
      </c>
      <c r="E37" s="83">
        <v>4.3799948515145948</v>
      </c>
      <c r="F37" s="22" t="s">
        <v>236</v>
      </c>
      <c r="G37" s="32">
        <v>74.795366640946554</v>
      </c>
      <c r="H37" s="33">
        <v>46.543297185843528</v>
      </c>
    </row>
    <row r="38" spans="1:9" x14ac:dyDescent="0.25">
      <c r="A38" s="34"/>
      <c r="B38" s="25" t="s">
        <v>237</v>
      </c>
      <c r="C38" s="82">
        <v>2.1942058107709279</v>
      </c>
      <c r="D38" s="82">
        <v>2.7046416609888988</v>
      </c>
      <c r="E38" s="82">
        <v>3.9198304198277985</v>
      </c>
      <c r="F38" s="27"/>
      <c r="G38" s="35">
        <v>78.644610299823114</v>
      </c>
      <c r="H38" s="29">
        <v>44.929750819359555</v>
      </c>
    </row>
    <row r="39" spans="1:9" x14ac:dyDescent="0.25">
      <c r="A39" s="30" t="s">
        <v>18</v>
      </c>
      <c r="B39" s="31" t="s">
        <v>3</v>
      </c>
      <c r="C39" s="80">
        <v>29.545403822723436</v>
      </c>
      <c r="D39" s="80">
        <v>31.574270388376657</v>
      </c>
      <c r="E39" s="83">
        <v>26.729436260293959</v>
      </c>
      <c r="F39" s="22" t="s">
        <v>236</v>
      </c>
      <c r="G39" s="37">
        <v>-9.5309834968771412</v>
      </c>
      <c r="H39" s="33">
        <v>-15.344247288976831</v>
      </c>
    </row>
    <row r="40" spans="1:9" x14ac:dyDescent="0.25">
      <c r="A40" s="34"/>
      <c r="B40" s="25" t="s">
        <v>237</v>
      </c>
      <c r="C40" s="82">
        <v>27.94814060698987</v>
      </c>
      <c r="D40" s="82">
        <v>30.437749416410952</v>
      </c>
      <c r="E40" s="82">
        <v>25.604303374035283</v>
      </c>
      <c r="F40" s="27"/>
      <c r="G40" s="28">
        <v>-8.3863798522910997</v>
      </c>
      <c r="H40" s="29">
        <v>-15.879774737121821</v>
      </c>
    </row>
    <row r="41" spans="1:9" x14ac:dyDescent="0.25">
      <c r="A41" s="30" t="s">
        <v>63</v>
      </c>
      <c r="B41" s="31" t="s">
        <v>3</v>
      </c>
      <c r="C41" s="80">
        <v>60.209540358460082</v>
      </c>
      <c r="D41" s="80">
        <v>63.538101099784917</v>
      </c>
      <c r="E41" s="83">
        <v>59.522775185531195</v>
      </c>
      <c r="F41" s="22" t="s">
        <v>236</v>
      </c>
      <c r="G41" s="23">
        <v>-1.1406251714266631</v>
      </c>
      <c r="H41" s="24">
        <v>-6.3195560533793014</v>
      </c>
    </row>
    <row r="42" spans="1:9" x14ac:dyDescent="0.25">
      <c r="A42" s="34"/>
      <c r="B42" s="25" t="s">
        <v>237</v>
      </c>
      <c r="C42" s="82">
        <v>51.092730826759251</v>
      </c>
      <c r="D42" s="82">
        <v>53.378210036462399</v>
      </c>
      <c r="E42" s="82">
        <v>50.172155049867534</v>
      </c>
      <c r="F42" s="27"/>
      <c r="G42" s="38">
        <v>-1.8017744637943167</v>
      </c>
      <c r="H42" s="24">
        <v>-6.006299170400851</v>
      </c>
    </row>
    <row r="43" spans="1:9" x14ac:dyDescent="0.25">
      <c r="A43" s="30" t="s">
        <v>52</v>
      </c>
      <c r="B43" s="31" t="s">
        <v>3</v>
      </c>
      <c r="C43" s="80">
        <v>222.12260316066809</v>
      </c>
      <c r="D43" s="80">
        <v>234.64305984490011</v>
      </c>
      <c r="E43" s="83">
        <v>330.1840685456479</v>
      </c>
      <c r="F43" s="22" t="s">
        <v>236</v>
      </c>
      <c r="G43" s="37">
        <v>48.649468287932706</v>
      </c>
      <c r="H43" s="33">
        <v>40.717594103955491</v>
      </c>
    </row>
    <row r="44" spans="1:9" x14ac:dyDescent="0.25">
      <c r="A44" s="34"/>
      <c r="B44" s="25" t="s">
        <v>237</v>
      </c>
      <c r="C44" s="82">
        <v>181.13170840913534</v>
      </c>
      <c r="D44" s="82">
        <v>179.12937635158193</v>
      </c>
      <c r="E44" s="82">
        <v>257.54577357116671</v>
      </c>
      <c r="F44" s="27"/>
      <c r="G44" s="28">
        <v>42.18701729982547</v>
      </c>
      <c r="H44" s="29">
        <v>43.776402741264974</v>
      </c>
    </row>
    <row r="45" spans="1:9" x14ac:dyDescent="0.25">
      <c r="A45" s="30" t="s">
        <v>50</v>
      </c>
      <c r="B45" s="31" t="s">
        <v>3</v>
      </c>
      <c r="C45" s="80">
        <v>139.59846168203939</v>
      </c>
      <c r="D45" s="80">
        <v>136.02135107983486</v>
      </c>
      <c r="E45" s="83">
        <v>157.75795954406874</v>
      </c>
      <c r="F45" s="22" t="s">
        <v>236</v>
      </c>
      <c r="G45" s="37">
        <v>13.008379636296326</v>
      </c>
      <c r="H45" s="33">
        <v>15.980291543697462</v>
      </c>
    </row>
    <row r="46" spans="1:9" ht="14.3" thickBot="1" x14ac:dyDescent="0.3">
      <c r="A46" s="56"/>
      <c r="B46" s="42" t="s">
        <v>237</v>
      </c>
      <c r="C46" s="86">
        <v>106.54360582554091</v>
      </c>
      <c r="D46" s="86">
        <v>106.84645035444561</v>
      </c>
      <c r="E46" s="86">
        <v>122.72566672960747</v>
      </c>
      <c r="F46" s="44"/>
      <c r="G46" s="57">
        <v>15.18820465919255</v>
      </c>
      <c r="H46" s="46">
        <v>14.861716343860891</v>
      </c>
    </row>
    <row r="47" spans="1:9" x14ac:dyDescent="0.25">
      <c r="A47" s="58"/>
      <c r="B47" s="58"/>
      <c r="C47" s="21"/>
      <c r="D47" s="21"/>
      <c r="E47" s="21"/>
      <c r="F47" s="59"/>
      <c r="G47" s="38"/>
      <c r="H47" s="60"/>
      <c r="I47" s="61"/>
    </row>
    <row r="48" spans="1:9" x14ac:dyDescent="0.25">
      <c r="A48" s="58"/>
      <c r="B48" s="62"/>
      <c r="C48" s="21"/>
      <c r="D48" s="21"/>
      <c r="E48" s="21"/>
      <c r="F48" s="63"/>
      <c r="G48" s="38"/>
      <c r="H48" s="60"/>
      <c r="I48" s="61"/>
    </row>
    <row r="49" spans="1:9" x14ac:dyDescent="0.25">
      <c r="A49" s="58"/>
      <c r="B49" s="58"/>
      <c r="C49" s="21"/>
      <c r="D49" s="21"/>
      <c r="E49" s="97"/>
      <c r="F49" s="59"/>
      <c r="G49" s="38"/>
      <c r="H49" s="60"/>
      <c r="I49" s="61"/>
    </row>
    <row r="50" spans="1:9" x14ac:dyDescent="0.25">
      <c r="A50" s="58"/>
      <c r="B50" s="62"/>
      <c r="C50" s="21"/>
      <c r="D50" s="21"/>
      <c r="E50" s="21"/>
      <c r="F50" s="63"/>
      <c r="G50" s="38"/>
      <c r="H50" s="60"/>
      <c r="I50" s="61"/>
    </row>
    <row r="51" spans="1:9" x14ac:dyDescent="0.25">
      <c r="A51" s="58"/>
      <c r="B51" s="58"/>
      <c r="C51" s="21"/>
      <c r="D51" s="21"/>
      <c r="E51" s="21"/>
      <c r="F51" s="59"/>
      <c r="G51" s="38"/>
      <c r="H51" s="60"/>
      <c r="I51" s="61"/>
    </row>
    <row r="52" spans="1:9" x14ac:dyDescent="0.25">
      <c r="A52" s="58"/>
      <c r="B52" s="62"/>
      <c r="C52" s="21"/>
      <c r="D52" s="21"/>
      <c r="E52" s="21"/>
      <c r="F52" s="63"/>
      <c r="G52" s="38"/>
      <c r="H52" s="60"/>
      <c r="I52" s="61"/>
    </row>
    <row r="53" spans="1:9" x14ac:dyDescent="0.25">
      <c r="A53" s="58"/>
      <c r="B53" s="58"/>
      <c r="C53" s="21"/>
      <c r="D53" s="21"/>
      <c r="E53" s="21"/>
      <c r="F53" s="59"/>
      <c r="G53" s="38"/>
      <c r="H53" s="60"/>
      <c r="I53" s="61"/>
    </row>
    <row r="54" spans="1:9" x14ac:dyDescent="0.25">
      <c r="A54" s="58"/>
      <c r="B54" s="62"/>
      <c r="C54" s="21"/>
      <c r="D54" s="21"/>
      <c r="E54" s="21"/>
      <c r="F54" s="63"/>
      <c r="G54" s="38"/>
      <c r="H54" s="60"/>
      <c r="I54" s="61"/>
    </row>
    <row r="55" spans="1:9" x14ac:dyDescent="0.25">
      <c r="A55" s="58"/>
      <c r="B55" s="58"/>
      <c r="C55" s="21"/>
      <c r="D55" s="21"/>
      <c r="E55" s="21"/>
      <c r="F55" s="59"/>
      <c r="G55" s="38"/>
      <c r="H55" s="60"/>
      <c r="I55" s="61"/>
    </row>
    <row r="56" spans="1:9" x14ac:dyDescent="0.25">
      <c r="A56" s="58"/>
      <c r="B56" s="62"/>
      <c r="C56" s="21"/>
      <c r="D56" s="21"/>
      <c r="E56" s="21"/>
      <c r="F56" s="63"/>
      <c r="G56" s="38"/>
      <c r="H56" s="60"/>
      <c r="I56" s="61"/>
    </row>
    <row r="57" spans="1:9" x14ac:dyDescent="0.25">
      <c r="A57" s="58"/>
      <c r="B57" s="58"/>
      <c r="C57" s="64"/>
      <c r="D57" s="64"/>
      <c r="E57" s="21"/>
      <c r="F57" s="59"/>
      <c r="G57" s="38"/>
      <c r="H57" s="60"/>
      <c r="I57" s="61"/>
    </row>
    <row r="58" spans="1:9" x14ac:dyDescent="0.25">
      <c r="A58" s="65"/>
      <c r="B58" s="62"/>
      <c r="C58" s="21"/>
      <c r="D58" s="21"/>
      <c r="E58" s="21"/>
      <c r="F58" s="63"/>
      <c r="G58" s="38"/>
      <c r="H58" s="60"/>
      <c r="I58" s="61"/>
    </row>
    <row r="59" spans="1:9" x14ac:dyDescent="0.25">
      <c r="A59" s="47"/>
      <c r="B59" s="48"/>
      <c r="C59" s="49"/>
      <c r="D59" s="49"/>
      <c r="E59" s="49"/>
      <c r="F59" s="49"/>
      <c r="G59" s="50"/>
      <c r="H59" s="51"/>
    </row>
    <row r="60" spans="1:9" x14ac:dyDescent="0.25">
      <c r="A60" s="52"/>
      <c r="B60" s="52"/>
      <c r="C60" s="52"/>
      <c r="D60" s="52"/>
      <c r="E60" s="52"/>
      <c r="F60" s="52"/>
      <c r="G60" s="52"/>
      <c r="H60" s="52"/>
    </row>
    <row r="61" spans="1:9" ht="12.75" customHeight="1" x14ac:dyDescent="0.25">
      <c r="A61" s="54" t="s">
        <v>238</v>
      </c>
      <c r="H61" s="193">
        <v>25</v>
      </c>
    </row>
    <row r="62" spans="1:9" ht="12.75" customHeight="1" x14ac:dyDescent="0.25">
      <c r="A62" s="54" t="s">
        <v>239</v>
      </c>
      <c r="H62" s="194"/>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75" display="Tilbake til innholdsfortegnelsen" xr:uid="{00000000-0004-0000-1400-000000000000}"/>
  </hyperlinks>
  <pageMargins left="0.78740157480314965" right="0.78740157480314965" top="0.98425196850393704" bottom="0.19685039370078741" header="3.937007874015748E-2" footer="3.937007874015748E-2"/>
  <pageSetup paperSize="9" scale="95"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8"/>
  <sheetViews>
    <sheetView showGridLines="0" showRowColHeaders="0" zoomScale="80" zoomScaleNormal="80" workbookViewId="0"/>
  </sheetViews>
  <sheetFormatPr defaultColWidth="11.5" defaultRowHeight="13.6" x14ac:dyDescent="0.25"/>
  <cols>
    <col min="1" max="1" width="26.375" style="1" customWidth="1"/>
    <col min="2" max="2" width="8.125" style="1" customWidth="1"/>
    <col min="3" max="4" width="10.5" style="1" customWidth="1"/>
    <col min="5" max="5" width="9.875" style="1" customWidth="1"/>
    <col min="6" max="6" width="1.625" style="1" customWidth="1"/>
    <col min="7" max="7" width="7.625" style="1" customWidth="1"/>
    <col min="8" max="8" width="8.875" style="1" customWidth="1"/>
    <col min="9" max="16384" width="11.5" style="1"/>
  </cols>
  <sheetData>
    <row r="1" spans="1:8" ht="5.3" customHeight="1" x14ac:dyDescent="0.25"/>
    <row r="2" spans="1:8" x14ac:dyDescent="0.25">
      <c r="A2" s="92" t="s">
        <v>0</v>
      </c>
      <c r="B2" s="2"/>
      <c r="C2" s="2"/>
      <c r="D2" s="2"/>
      <c r="E2" s="2"/>
      <c r="F2" s="2"/>
      <c r="G2" s="2"/>
    </row>
    <row r="3" spans="1:8" ht="5.95" customHeight="1" x14ac:dyDescent="0.25">
      <c r="A3" s="3"/>
      <c r="B3" s="2"/>
      <c r="C3" s="2"/>
      <c r="D3" s="2"/>
      <c r="E3" s="2"/>
      <c r="F3" s="2"/>
      <c r="G3" s="2"/>
    </row>
    <row r="4" spans="1:8" ht="16.3" thickBot="1" x14ac:dyDescent="0.3">
      <c r="A4" s="4" t="s">
        <v>156</v>
      </c>
      <c r="B4" s="5"/>
      <c r="C4" s="5"/>
      <c r="D4" s="5"/>
      <c r="E4" s="5"/>
      <c r="F4" s="5"/>
      <c r="G4" s="5"/>
      <c r="H4" s="6"/>
    </row>
    <row r="5" spans="1:8" x14ac:dyDescent="0.25">
      <c r="A5" s="7"/>
      <c r="B5" s="8"/>
      <c r="C5" s="9"/>
      <c r="D5" s="8"/>
      <c r="E5" s="10"/>
      <c r="F5" s="11"/>
      <c r="G5" s="196" t="s">
        <v>1</v>
      </c>
      <c r="H5" s="197"/>
    </row>
    <row r="6" spans="1:8" x14ac:dyDescent="0.25">
      <c r="A6" s="12"/>
      <c r="B6" s="13"/>
      <c r="C6" s="14" t="s">
        <v>231</v>
      </c>
      <c r="D6" s="15" t="s">
        <v>232</v>
      </c>
      <c r="E6" s="15" t="s">
        <v>233</v>
      </c>
      <c r="F6" s="16"/>
      <c r="G6" s="17" t="s">
        <v>234</v>
      </c>
      <c r="H6" s="18" t="s">
        <v>235</v>
      </c>
    </row>
    <row r="7" spans="1:8" ht="12.75" customHeight="1" x14ac:dyDescent="0.25">
      <c r="A7" s="198" t="s">
        <v>64</v>
      </c>
      <c r="B7" s="19" t="s">
        <v>3</v>
      </c>
      <c r="C7" s="20">
        <v>8825.3934933599994</v>
      </c>
      <c r="D7" s="20">
        <v>9480.0519999999997</v>
      </c>
      <c r="E7" s="79">
        <v>10638.521892124909</v>
      </c>
      <c r="F7" s="22" t="s">
        <v>236</v>
      </c>
      <c r="G7" s="23">
        <v>20.54444824617805</v>
      </c>
      <c r="H7" s="24">
        <v>12.220079511429986</v>
      </c>
    </row>
    <row r="8" spans="1:8" ht="12.75" customHeight="1" x14ac:dyDescent="0.25">
      <c r="A8" s="199"/>
      <c r="B8" s="25" t="s">
        <v>237</v>
      </c>
      <c r="C8" s="26">
        <v>7187.7080118100002</v>
      </c>
      <c r="D8" s="26">
        <v>6841.481096124834</v>
      </c>
      <c r="E8" s="26">
        <v>7980.5069999999996</v>
      </c>
      <c r="F8" s="27"/>
      <c r="G8" s="28">
        <v>11.029927577572224</v>
      </c>
      <c r="H8" s="29">
        <v>16.648820450886518</v>
      </c>
    </row>
    <row r="9" spans="1:8" x14ac:dyDescent="0.25">
      <c r="A9" s="30" t="s">
        <v>53</v>
      </c>
      <c r="B9" s="31" t="s">
        <v>3</v>
      </c>
      <c r="C9" s="20">
        <v>2.1039349336000002</v>
      </c>
      <c r="D9" s="20">
        <v>3.12052</v>
      </c>
      <c r="E9" s="21">
        <v>4.4491705525117879</v>
      </c>
      <c r="F9" s="22" t="s">
        <v>236</v>
      </c>
      <c r="G9" s="32">
        <v>111.46901843104544</v>
      </c>
      <c r="H9" s="33">
        <v>42.577857296597614</v>
      </c>
    </row>
    <row r="10" spans="1:8" x14ac:dyDescent="0.25">
      <c r="A10" s="34"/>
      <c r="B10" s="25" t="s">
        <v>237</v>
      </c>
      <c r="C10" s="26">
        <v>2.0770801181</v>
      </c>
      <c r="D10" s="26">
        <v>1.1648109612483399</v>
      </c>
      <c r="E10" s="26">
        <v>2.0950700000000002</v>
      </c>
      <c r="F10" s="27"/>
      <c r="G10" s="35">
        <v>0.86611400991390042</v>
      </c>
      <c r="H10" s="29">
        <v>79.863520322189629</v>
      </c>
    </row>
    <row r="11" spans="1:8" x14ac:dyDescent="0.25">
      <c r="A11" s="30" t="s">
        <v>54</v>
      </c>
      <c r="B11" s="31" t="s">
        <v>3</v>
      </c>
      <c r="C11" s="20">
        <v>697.51967466799999</v>
      </c>
      <c r="D11" s="20">
        <v>781.60259999999994</v>
      </c>
      <c r="E11" s="21">
        <v>747.49080452923727</v>
      </c>
      <c r="F11" s="22" t="s">
        <v>236</v>
      </c>
      <c r="G11" s="37">
        <v>7.1641176121694627</v>
      </c>
      <c r="H11" s="33">
        <v>-4.3643400713818892</v>
      </c>
    </row>
    <row r="12" spans="1:8" x14ac:dyDescent="0.25">
      <c r="A12" s="34"/>
      <c r="B12" s="25" t="s">
        <v>237</v>
      </c>
      <c r="C12" s="26">
        <v>511.38540059050001</v>
      </c>
      <c r="D12" s="26">
        <v>562.82405480624175</v>
      </c>
      <c r="E12" s="26">
        <v>541.47534999999993</v>
      </c>
      <c r="F12" s="27"/>
      <c r="G12" s="28">
        <v>5.8840063433087693</v>
      </c>
      <c r="H12" s="29">
        <v>-3.7931400806227771</v>
      </c>
    </row>
    <row r="13" spans="1:8" x14ac:dyDescent="0.25">
      <c r="A13" s="30" t="s">
        <v>66</v>
      </c>
      <c r="B13" s="31" t="s">
        <v>3</v>
      </c>
      <c r="C13" s="20">
        <v>108.2078698672</v>
      </c>
      <c r="D13" s="20">
        <v>370.24104</v>
      </c>
      <c r="E13" s="21">
        <v>182.99680940545221</v>
      </c>
      <c r="F13" s="22" t="s">
        <v>236</v>
      </c>
      <c r="G13" s="23">
        <v>69.115989095837705</v>
      </c>
      <c r="H13" s="24">
        <v>-50.573602157812594</v>
      </c>
    </row>
    <row r="14" spans="1:8" x14ac:dyDescent="0.25">
      <c r="A14" s="34"/>
      <c r="B14" s="25" t="s">
        <v>237</v>
      </c>
      <c r="C14" s="26">
        <v>66.154160236199999</v>
      </c>
      <c r="D14" s="26">
        <v>63.329621922496678</v>
      </c>
      <c r="E14" s="26">
        <v>41.19014</v>
      </c>
      <c r="F14" s="27"/>
      <c r="G14" s="38">
        <v>-37.736130497412802</v>
      </c>
      <c r="H14" s="24">
        <v>-34.959125367258878</v>
      </c>
    </row>
    <row r="15" spans="1:8" x14ac:dyDescent="0.25">
      <c r="A15" s="30" t="s">
        <v>55</v>
      </c>
      <c r="B15" s="31" t="s">
        <v>3</v>
      </c>
      <c r="C15" s="20">
        <v>6271.3147946879999</v>
      </c>
      <c r="D15" s="20">
        <v>6849.6415999999999</v>
      </c>
      <c r="E15" s="21">
        <v>7557.9482384277007</v>
      </c>
      <c r="F15" s="22" t="s">
        <v>236</v>
      </c>
      <c r="G15" s="37">
        <v>20.516167436364682</v>
      </c>
      <c r="H15" s="33">
        <v>10.340783938647263</v>
      </c>
    </row>
    <row r="16" spans="1:8" x14ac:dyDescent="0.25">
      <c r="A16" s="34"/>
      <c r="B16" s="25" t="s">
        <v>237</v>
      </c>
      <c r="C16" s="26">
        <v>5325.1664094480002</v>
      </c>
      <c r="D16" s="26">
        <v>5089.184876899867</v>
      </c>
      <c r="E16" s="26">
        <v>5859.6055999999999</v>
      </c>
      <c r="F16" s="27"/>
      <c r="G16" s="28">
        <v>10.03610308973235</v>
      </c>
      <c r="H16" s="29">
        <v>15.138391348231849</v>
      </c>
    </row>
    <row r="17" spans="1:9" x14ac:dyDescent="0.25">
      <c r="A17" s="30" t="s">
        <v>67</v>
      </c>
      <c r="B17" s="31" t="s">
        <v>3</v>
      </c>
      <c r="C17" s="20">
        <v>424.51967466799999</v>
      </c>
      <c r="D17" s="20">
        <v>355.6026</v>
      </c>
      <c r="E17" s="21">
        <v>367.60862148146873</v>
      </c>
      <c r="F17" s="22" t="s">
        <v>236</v>
      </c>
      <c r="G17" s="37">
        <v>-13.405987185644378</v>
      </c>
      <c r="H17" s="33">
        <v>3.3762468220054416</v>
      </c>
    </row>
    <row r="18" spans="1:9" x14ac:dyDescent="0.25">
      <c r="A18" s="30"/>
      <c r="B18" s="25" t="s">
        <v>237</v>
      </c>
      <c r="C18" s="26">
        <v>334.38540059050001</v>
      </c>
      <c r="D18" s="26">
        <v>285.82405480624169</v>
      </c>
      <c r="E18" s="26">
        <v>293.47534999999999</v>
      </c>
      <c r="F18" s="27"/>
      <c r="G18" s="28">
        <v>-12.234400939232358</v>
      </c>
      <c r="H18" s="29">
        <v>2.6769248651744988</v>
      </c>
    </row>
    <row r="19" spans="1:9" x14ac:dyDescent="0.25">
      <c r="A19" s="39" t="s">
        <v>56</v>
      </c>
      <c r="B19" s="31" t="s">
        <v>3</v>
      </c>
      <c r="C19" s="20">
        <v>14.1039349336</v>
      </c>
      <c r="D19" s="20">
        <v>8.1205199999999991</v>
      </c>
      <c r="E19" s="21">
        <v>10.412658050930567</v>
      </c>
      <c r="F19" s="22" t="s">
        <v>236</v>
      </c>
      <c r="G19" s="23">
        <v>-26.17196477470732</v>
      </c>
      <c r="H19" s="24">
        <v>28.226493511875702</v>
      </c>
    </row>
    <row r="20" spans="1:9" x14ac:dyDescent="0.25">
      <c r="A20" s="34"/>
      <c r="B20" s="25" t="s">
        <v>237</v>
      </c>
      <c r="C20" s="26">
        <v>12.0770801181</v>
      </c>
      <c r="D20" s="26">
        <v>7.1648109612483406</v>
      </c>
      <c r="E20" s="26">
        <v>9.0950699999999998</v>
      </c>
      <c r="F20" s="27"/>
      <c r="G20" s="38">
        <v>-24.691482452209968</v>
      </c>
      <c r="H20" s="24">
        <v>26.94082299158589</v>
      </c>
    </row>
    <row r="21" spans="1:9" x14ac:dyDescent="0.25">
      <c r="A21" s="39" t="s">
        <v>68</v>
      </c>
      <c r="B21" s="31" t="s">
        <v>3</v>
      </c>
      <c r="C21" s="20">
        <v>82.103934933600002</v>
      </c>
      <c r="D21" s="20">
        <v>103.12052</v>
      </c>
      <c r="E21" s="21">
        <v>81.117707932760581</v>
      </c>
      <c r="F21" s="22" t="s">
        <v>236</v>
      </c>
      <c r="G21" s="37">
        <v>-1.2011933430925268</v>
      </c>
      <c r="H21" s="33">
        <v>-21.336987116860357</v>
      </c>
    </row>
    <row r="22" spans="1:9" x14ac:dyDescent="0.25">
      <c r="A22" s="34"/>
      <c r="B22" s="25" t="s">
        <v>237</v>
      </c>
      <c r="C22" s="26">
        <v>50.0770801181</v>
      </c>
      <c r="D22" s="26">
        <v>53.164810961248342</v>
      </c>
      <c r="E22" s="26">
        <v>44.09507</v>
      </c>
      <c r="F22" s="27"/>
      <c r="G22" s="28">
        <v>-11.945604863526867</v>
      </c>
      <c r="H22" s="29">
        <v>-17.059669351329489</v>
      </c>
    </row>
    <row r="23" spans="1:9" x14ac:dyDescent="0.25">
      <c r="A23" s="30" t="s">
        <v>69</v>
      </c>
      <c r="B23" s="31" t="s">
        <v>3</v>
      </c>
      <c r="C23" s="20">
        <v>1299.5196746679999</v>
      </c>
      <c r="D23" s="20">
        <v>1266.6025999999999</v>
      </c>
      <c r="E23" s="21">
        <v>1867.3724152080888</v>
      </c>
      <c r="F23" s="22" t="s">
        <v>236</v>
      </c>
      <c r="G23" s="23">
        <v>43.697125300173951</v>
      </c>
      <c r="H23" s="24">
        <v>47.431594977626673</v>
      </c>
    </row>
    <row r="24" spans="1:9" ht="14.3" thickBot="1" x14ac:dyDescent="0.3">
      <c r="A24" s="56"/>
      <c r="B24" s="42" t="s">
        <v>237</v>
      </c>
      <c r="C24" s="43">
        <v>914.38540059050001</v>
      </c>
      <c r="D24" s="43">
        <v>791.82405480624175</v>
      </c>
      <c r="E24" s="43">
        <v>1212.4753500000002</v>
      </c>
      <c r="F24" s="44"/>
      <c r="G24" s="57">
        <v>32.600033773176705</v>
      </c>
      <c r="H24" s="46">
        <v>53.124339004413201</v>
      </c>
    </row>
    <row r="25" spans="1:9" x14ac:dyDescent="0.25">
      <c r="A25" s="58"/>
      <c r="B25" s="58"/>
      <c r="C25" s="64"/>
      <c r="D25" s="64"/>
      <c r="E25" s="21"/>
      <c r="F25" s="59"/>
      <c r="G25" s="38"/>
      <c r="H25" s="60"/>
      <c r="I25" s="61"/>
    </row>
    <row r="26" spans="1:9" x14ac:dyDescent="0.25">
      <c r="A26" s="58"/>
      <c r="B26" s="58"/>
      <c r="C26" s="64"/>
      <c r="D26" s="64"/>
      <c r="E26" s="21"/>
      <c r="F26" s="59"/>
      <c r="G26" s="38"/>
      <c r="H26" s="60"/>
      <c r="I26" s="61"/>
    </row>
    <row r="27" spans="1:9" x14ac:dyDescent="0.25">
      <c r="A27" s="58"/>
      <c r="B27" s="58"/>
      <c r="C27" s="64"/>
      <c r="D27" s="64"/>
      <c r="E27" s="21"/>
      <c r="F27" s="59"/>
      <c r="G27" s="38"/>
      <c r="H27" s="60"/>
      <c r="I27" s="61"/>
    </row>
    <row r="28" spans="1:9" x14ac:dyDescent="0.25">
      <c r="A28" s="58"/>
      <c r="B28" s="58"/>
      <c r="C28" s="64"/>
      <c r="D28" s="64"/>
      <c r="E28" s="21"/>
      <c r="F28" s="59"/>
      <c r="G28" s="38"/>
      <c r="H28" s="60"/>
      <c r="I28" s="61"/>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3" thickBot="1" x14ac:dyDescent="0.3">
      <c r="A32" s="4" t="s">
        <v>65</v>
      </c>
      <c r="B32" s="5"/>
      <c r="C32" s="5"/>
      <c r="D32" s="5"/>
      <c r="E32" s="5"/>
      <c r="F32" s="5"/>
      <c r="G32" s="5"/>
      <c r="H32" s="6"/>
    </row>
    <row r="33" spans="1:8" x14ac:dyDescent="0.25">
      <c r="A33" s="7"/>
      <c r="B33" s="8"/>
      <c r="C33" s="202" t="s">
        <v>16</v>
      </c>
      <c r="D33" s="196"/>
      <c r="E33" s="196"/>
      <c r="F33" s="203"/>
      <c r="G33" s="196" t="s">
        <v>1</v>
      </c>
      <c r="H33" s="197"/>
    </row>
    <row r="34" spans="1:8" x14ac:dyDescent="0.25">
      <c r="A34" s="12"/>
      <c r="B34" s="13"/>
      <c r="C34" s="14" t="s">
        <v>231</v>
      </c>
      <c r="D34" s="15" t="s">
        <v>232</v>
      </c>
      <c r="E34" s="15" t="s">
        <v>233</v>
      </c>
      <c r="F34" s="16"/>
      <c r="G34" s="17" t="s">
        <v>234</v>
      </c>
      <c r="H34" s="18" t="s">
        <v>235</v>
      </c>
    </row>
    <row r="35" spans="1:8" ht="12.75" customHeight="1" x14ac:dyDescent="0.25">
      <c r="A35" s="198" t="s">
        <v>64</v>
      </c>
      <c r="B35" s="19" t="s">
        <v>3</v>
      </c>
      <c r="C35" s="80">
        <v>1026.439315556577</v>
      </c>
      <c r="D35" s="80">
        <v>963.64843128868392</v>
      </c>
      <c r="E35" s="81">
        <v>1015.2858152536064</v>
      </c>
      <c r="F35" s="22" t="s">
        <v>236</v>
      </c>
      <c r="G35" s="23">
        <v>-1.0866205272858878</v>
      </c>
      <c r="H35" s="24">
        <v>5.3585293441372528</v>
      </c>
    </row>
    <row r="36" spans="1:8" ht="12.75" customHeight="1" x14ac:dyDescent="0.25">
      <c r="A36" s="199"/>
      <c r="B36" s="25" t="s">
        <v>237</v>
      </c>
      <c r="C36" s="82">
        <v>866.96305299337291</v>
      </c>
      <c r="D36" s="82">
        <v>679.31885226898282</v>
      </c>
      <c r="E36" s="82">
        <v>757.47810499964385</v>
      </c>
      <c r="F36" s="27"/>
      <c r="G36" s="28">
        <v>-12.628559846432807</v>
      </c>
      <c r="H36" s="29">
        <v>11.505532706710909</v>
      </c>
    </row>
    <row r="37" spans="1:8" x14ac:dyDescent="0.25">
      <c r="A37" s="30" t="s">
        <v>53</v>
      </c>
      <c r="B37" s="31" t="s">
        <v>3</v>
      </c>
      <c r="C37" s="80">
        <v>0.16332212620604297</v>
      </c>
      <c r="D37" s="80">
        <v>0.22367484399517762</v>
      </c>
      <c r="E37" s="83">
        <v>0.17749456853872173</v>
      </c>
      <c r="F37" s="22" t="s">
        <v>236</v>
      </c>
      <c r="G37" s="32">
        <v>8.6776009239551257</v>
      </c>
      <c r="H37" s="33">
        <v>-20.646164151321159</v>
      </c>
    </row>
    <row r="38" spans="1:8" x14ac:dyDescent="0.25">
      <c r="A38" s="34"/>
      <c r="B38" s="25" t="s">
        <v>237</v>
      </c>
      <c r="C38" s="82">
        <v>0.13415445287557795</v>
      </c>
      <c r="D38" s="82">
        <v>7.892974572084635E-2</v>
      </c>
      <c r="E38" s="82">
        <v>7.7338410516280404E-2</v>
      </c>
      <c r="F38" s="27"/>
      <c r="G38" s="35">
        <v>-42.351216185117458</v>
      </c>
      <c r="H38" s="29">
        <v>-2.0161413039313203</v>
      </c>
    </row>
    <row r="39" spans="1:8" x14ac:dyDescent="0.25">
      <c r="A39" s="30" t="s">
        <v>54</v>
      </c>
      <c r="B39" s="31" t="s">
        <v>3</v>
      </c>
      <c r="C39" s="80">
        <v>52.123447637133694</v>
      </c>
      <c r="D39" s="80">
        <v>49.903237326064755</v>
      </c>
      <c r="E39" s="83">
        <v>48.429710698979406</v>
      </c>
      <c r="F39" s="22" t="s">
        <v>236</v>
      </c>
      <c r="G39" s="37">
        <v>-7.0865169239549743</v>
      </c>
      <c r="H39" s="33">
        <v>-2.9527676079557921</v>
      </c>
    </row>
    <row r="40" spans="1:8" x14ac:dyDescent="0.25">
      <c r="A40" s="34"/>
      <c r="B40" s="25" t="s">
        <v>237</v>
      </c>
      <c r="C40" s="82">
        <v>39.490689598958056</v>
      </c>
      <c r="D40" s="82">
        <v>34.918561818702884</v>
      </c>
      <c r="E40" s="82">
        <v>34.773503806681951</v>
      </c>
      <c r="F40" s="27"/>
      <c r="G40" s="28">
        <v>-11.945058038187724</v>
      </c>
      <c r="H40" s="29">
        <v>-0.4154180598103494</v>
      </c>
    </row>
    <row r="41" spans="1:8" x14ac:dyDescent="0.25">
      <c r="A41" s="30" t="s">
        <v>66</v>
      </c>
      <c r="B41" s="31" t="s">
        <v>3</v>
      </c>
      <c r="C41" s="80">
        <v>9.822271102897016</v>
      </c>
      <c r="D41" s="80">
        <v>29.691987090402726</v>
      </c>
      <c r="E41" s="83">
        <v>42.927319811428639</v>
      </c>
      <c r="F41" s="22" t="s">
        <v>236</v>
      </c>
      <c r="G41" s="23">
        <v>337.04067380880474</v>
      </c>
      <c r="H41" s="24">
        <v>44.575436062020714</v>
      </c>
    </row>
    <row r="42" spans="1:8" x14ac:dyDescent="0.25">
      <c r="A42" s="34"/>
      <c r="B42" s="25" t="s">
        <v>237</v>
      </c>
      <c r="C42" s="82">
        <v>6.8529552086256889</v>
      </c>
      <c r="D42" s="82">
        <v>5.5887586573678334</v>
      </c>
      <c r="E42" s="82">
        <v>10.679411295831992</v>
      </c>
      <c r="F42" s="27"/>
      <c r="G42" s="38">
        <v>55.836583936664482</v>
      </c>
      <c r="H42" s="24">
        <v>91.087358581014996</v>
      </c>
    </row>
    <row r="43" spans="1:8" x14ac:dyDescent="0.25">
      <c r="A43" s="30" t="s">
        <v>55</v>
      </c>
      <c r="B43" s="31" t="s">
        <v>3</v>
      </c>
      <c r="C43" s="80">
        <v>660.72391437901263</v>
      </c>
      <c r="D43" s="80">
        <v>639.02268746624634</v>
      </c>
      <c r="E43" s="83">
        <v>646.15558351610878</v>
      </c>
      <c r="F43" s="22" t="s">
        <v>236</v>
      </c>
      <c r="G43" s="37">
        <v>-2.2049044307100587</v>
      </c>
      <c r="H43" s="33">
        <v>1.116219531757892</v>
      </c>
    </row>
    <row r="44" spans="1:8" x14ac:dyDescent="0.25">
      <c r="A44" s="34"/>
      <c r="B44" s="25" t="s">
        <v>237</v>
      </c>
      <c r="C44" s="82">
        <v>600.58935226895323</v>
      </c>
      <c r="D44" s="82">
        <v>470.36384353693666</v>
      </c>
      <c r="E44" s="82">
        <v>507.81521460010379</v>
      </c>
      <c r="F44" s="27"/>
      <c r="G44" s="28">
        <v>-15.447183224004903</v>
      </c>
      <c r="H44" s="29">
        <v>7.9622129927225558</v>
      </c>
    </row>
    <row r="45" spans="1:8" x14ac:dyDescent="0.25">
      <c r="A45" s="30" t="s">
        <v>67</v>
      </c>
      <c r="B45" s="31" t="s">
        <v>3</v>
      </c>
      <c r="C45" s="80">
        <v>162.56982649689499</v>
      </c>
      <c r="D45" s="80">
        <v>123.46069868687358</v>
      </c>
      <c r="E45" s="83">
        <v>113.07146329507628</v>
      </c>
      <c r="F45" s="22" t="s">
        <v>236</v>
      </c>
      <c r="G45" s="37">
        <v>-30.447447886501934</v>
      </c>
      <c r="H45" s="33">
        <v>-8.4150142533592316</v>
      </c>
    </row>
    <row r="46" spans="1:8" x14ac:dyDescent="0.25">
      <c r="A46" s="30"/>
      <c r="B46" s="25" t="s">
        <v>237</v>
      </c>
      <c r="C46" s="82">
        <v>133.58590037732554</v>
      </c>
      <c r="D46" s="82">
        <v>82.374871207783372</v>
      </c>
      <c r="E46" s="82">
        <v>80.487429221674631</v>
      </c>
      <c r="F46" s="27"/>
      <c r="G46" s="28">
        <v>-39.748559545333336</v>
      </c>
      <c r="H46" s="29">
        <v>-2.2912836869241744</v>
      </c>
    </row>
    <row r="47" spans="1:8" x14ac:dyDescent="0.25">
      <c r="A47" s="39" t="s">
        <v>56</v>
      </c>
      <c r="B47" s="31" t="s">
        <v>3</v>
      </c>
      <c r="C47" s="80">
        <v>11.886587321759423</v>
      </c>
      <c r="D47" s="80">
        <v>3.9777678179466296</v>
      </c>
      <c r="E47" s="83">
        <v>1.0036209552237052</v>
      </c>
      <c r="F47" s="22" t="s">
        <v>236</v>
      </c>
      <c r="G47" s="23">
        <v>-91.556693876412368</v>
      </c>
      <c r="H47" s="24">
        <v>-74.769242420444087</v>
      </c>
    </row>
    <row r="48" spans="1:8" x14ac:dyDescent="0.25">
      <c r="A48" s="34"/>
      <c r="B48" s="25" t="s">
        <v>237</v>
      </c>
      <c r="C48" s="82">
        <v>-8.9363957636997888</v>
      </c>
      <c r="D48" s="82">
        <v>3.2715675464044236</v>
      </c>
      <c r="E48" s="82">
        <v>2.733203138337259</v>
      </c>
      <c r="F48" s="27"/>
      <c r="G48" s="38" t="s">
        <v>240</v>
      </c>
      <c r="H48" s="24">
        <v>-16.455854890077006</v>
      </c>
    </row>
    <row r="49" spans="1:9" x14ac:dyDescent="0.25">
      <c r="A49" s="39" t="s">
        <v>68</v>
      </c>
      <c r="B49" s="31" t="s">
        <v>3</v>
      </c>
      <c r="C49" s="80">
        <v>12.62628916857609</v>
      </c>
      <c r="D49" s="80">
        <v>12.016896349864272</v>
      </c>
      <c r="E49" s="83">
        <v>11.91322595797449</v>
      </c>
      <c r="F49" s="22" t="s">
        <v>236</v>
      </c>
      <c r="G49" s="37">
        <v>-5.6474487561733469</v>
      </c>
      <c r="H49" s="33">
        <v>-0.8627052183149857</v>
      </c>
    </row>
    <row r="50" spans="1:9" x14ac:dyDescent="0.25">
      <c r="A50" s="34"/>
      <c r="B50" s="25" t="s">
        <v>237</v>
      </c>
      <c r="C50" s="82">
        <v>6.1747339899220908</v>
      </c>
      <c r="D50" s="82">
        <v>8.3561838623160902</v>
      </c>
      <c r="E50" s="82">
        <v>7.2626863665721633</v>
      </c>
      <c r="F50" s="27"/>
      <c r="G50" s="28">
        <v>17.619420989240055</v>
      </c>
      <c r="H50" s="29">
        <v>-13.086087067510277</v>
      </c>
    </row>
    <row r="51" spans="1:9" x14ac:dyDescent="0.25">
      <c r="A51" s="30" t="s">
        <v>69</v>
      </c>
      <c r="B51" s="31" t="s">
        <v>3</v>
      </c>
      <c r="C51" s="80">
        <v>116.52365732409686</v>
      </c>
      <c r="D51" s="80">
        <v>105.35148170729047</v>
      </c>
      <c r="E51" s="83">
        <v>156.8936380241451</v>
      </c>
      <c r="F51" s="22" t="s">
        <v>236</v>
      </c>
      <c r="G51" s="23">
        <v>34.645308624122464</v>
      </c>
      <c r="H51" s="24">
        <v>48.923997538126542</v>
      </c>
    </row>
    <row r="52" spans="1:9" ht="14.3" thickBot="1" x14ac:dyDescent="0.3">
      <c r="A52" s="56"/>
      <c r="B52" s="42" t="s">
        <v>237</v>
      </c>
      <c r="C52" s="86">
        <v>89.071662860412346</v>
      </c>
      <c r="D52" s="86">
        <v>74.366135893750695</v>
      </c>
      <c r="E52" s="86">
        <v>113.64931815992577</v>
      </c>
      <c r="F52" s="44"/>
      <c r="G52" s="57">
        <v>27.593125030156912</v>
      </c>
      <c r="H52" s="46">
        <v>52.824019688612339</v>
      </c>
    </row>
    <row r="53" spans="1:9" x14ac:dyDescent="0.25">
      <c r="A53" s="65"/>
      <c r="B53" s="62"/>
      <c r="C53" s="21"/>
      <c r="D53" s="21"/>
      <c r="E53" s="21"/>
      <c r="F53" s="63"/>
      <c r="G53" s="38"/>
      <c r="H53" s="60"/>
      <c r="I53" s="61"/>
    </row>
    <row r="54" spans="1:9" x14ac:dyDescent="0.25">
      <c r="A54" s="65"/>
      <c r="B54" s="62"/>
      <c r="C54" s="21"/>
      <c r="D54" s="21"/>
      <c r="E54" s="21"/>
      <c r="F54" s="63"/>
      <c r="G54" s="38"/>
      <c r="H54" s="60"/>
      <c r="I54" s="61"/>
    </row>
    <row r="55" spans="1:9" x14ac:dyDescent="0.25">
      <c r="A55" s="65"/>
      <c r="B55" s="62"/>
      <c r="C55" s="21"/>
      <c r="D55" s="21"/>
      <c r="E55" s="21"/>
      <c r="F55" s="63"/>
      <c r="G55" s="38"/>
      <c r="H55" s="60"/>
      <c r="I55" s="61"/>
    </row>
    <row r="56" spans="1:9" x14ac:dyDescent="0.25">
      <c r="A56" s="65"/>
      <c r="B56" s="62"/>
      <c r="C56" s="21"/>
      <c r="D56" s="21"/>
      <c r="E56" s="21"/>
      <c r="F56" s="63"/>
      <c r="G56" s="38"/>
      <c r="H56" s="60"/>
      <c r="I56" s="61"/>
    </row>
    <row r="57" spans="1:9" x14ac:dyDescent="0.25">
      <c r="A57" s="65"/>
      <c r="B57" s="62"/>
      <c r="C57" s="21"/>
      <c r="D57" s="21"/>
      <c r="E57" s="21"/>
      <c r="F57" s="63"/>
      <c r="G57" s="38"/>
      <c r="H57" s="60"/>
      <c r="I57" s="61"/>
    </row>
    <row r="58" spans="1:9" x14ac:dyDescent="0.25">
      <c r="A58" s="65"/>
      <c r="B58" s="62"/>
      <c r="C58" s="21"/>
      <c r="D58" s="21"/>
      <c r="E58" s="21"/>
      <c r="F58" s="63"/>
      <c r="G58" s="38"/>
      <c r="H58" s="60"/>
      <c r="I58" s="61"/>
    </row>
    <row r="59" spans="1:9" x14ac:dyDescent="0.25">
      <c r="A59" s="47"/>
      <c r="B59" s="48"/>
      <c r="C59" s="49"/>
      <c r="D59" s="49"/>
      <c r="E59" s="49"/>
      <c r="F59" s="49"/>
      <c r="G59" s="50"/>
      <c r="H59" s="51"/>
      <c r="I59" s="61"/>
    </row>
    <row r="60" spans="1:9" x14ac:dyDescent="0.25">
      <c r="A60" s="52"/>
      <c r="B60" s="52"/>
      <c r="C60" s="52"/>
      <c r="D60" s="52"/>
      <c r="E60" s="52"/>
      <c r="F60" s="52"/>
      <c r="G60" s="52"/>
      <c r="H60" s="52"/>
    </row>
    <row r="61" spans="1:9" ht="12.75" customHeight="1" x14ac:dyDescent="0.25">
      <c r="A61" s="54" t="s">
        <v>238</v>
      </c>
      <c r="G61" s="53"/>
      <c r="H61" s="201">
        <v>26</v>
      </c>
    </row>
    <row r="62" spans="1:9" ht="12.75" customHeight="1" x14ac:dyDescent="0.25">
      <c r="A62" s="54" t="s">
        <v>239</v>
      </c>
      <c r="G62" s="53"/>
      <c r="H62" s="194"/>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77" display="Tilbake til innholdsfortegnelsen" xr:uid="{00000000-0004-0000-1500-000000000000}"/>
  </hyperlinks>
  <pageMargins left="0.78740157480314965" right="0.78740157480314965" top="0.98425196850393704" bottom="0.19685039370078741" header="3.937007874015748E-2" footer="3.937007874015748E-2"/>
  <pageSetup paperSize="9" scale="95"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138"/>
  <sheetViews>
    <sheetView showGridLines="0" showRowColHeaders="0" zoomScale="80" zoomScaleNormal="80" workbookViewId="0"/>
  </sheetViews>
  <sheetFormatPr defaultColWidth="11.5" defaultRowHeight="13.6" x14ac:dyDescent="0.25"/>
  <cols>
    <col min="1" max="1" width="27.125" style="1" customWidth="1"/>
    <col min="2" max="4" width="10.625" style="1" customWidth="1"/>
    <col min="5" max="6" width="7.625" style="1" customWidth="1"/>
    <col min="7" max="7" width="8.125" style="1" customWidth="1"/>
    <col min="8" max="16384" width="11.5" style="1"/>
  </cols>
  <sheetData>
    <row r="1" spans="1:7" ht="5.3" customHeight="1" x14ac:dyDescent="0.25"/>
    <row r="2" spans="1:7" x14ac:dyDescent="0.25">
      <c r="A2" s="92" t="s">
        <v>0</v>
      </c>
      <c r="B2" s="2"/>
      <c r="C2" s="2"/>
      <c r="D2" s="2"/>
      <c r="E2" s="2"/>
      <c r="F2" s="2"/>
    </row>
    <row r="3" spans="1:7" ht="5.95" customHeight="1" x14ac:dyDescent="0.25">
      <c r="A3" s="2"/>
      <c r="B3" s="2"/>
      <c r="C3" s="2"/>
      <c r="D3" s="2"/>
      <c r="E3" s="2"/>
      <c r="F3" s="2"/>
    </row>
    <row r="4" spans="1:7" ht="15.8" customHeight="1" x14ac:dyDescent="0.25">
      <c r="A4" s="88" t="s">
        <v>109</v>
      </c>
      <c r="B4" s="74"/>
      <c r="C4" s="74"/>
      <c r="D4" s="74"/>
      <c r="E4" s="74"/>
      <c r="F4" s="74"/>
      <c r="G4" s="74"/>
    </row>
    <row r="5" spans="1:7" ht="15.8" customHeight="1" x14ac:dyDescent="0.25">
      <c r="A5" s="75"/>
      <c r="B5" s="74"/>
      <c r="C5" s="74"/>
      <c r="D5" s="74"/>
      <c r="E5" s="74"/>
      <c r="F5" s="74"/>
      <c r="G5" s="74"/>
    </row>
    <row r="6" spans="1:7" ht="15.8" customHeight="1" x14ac:dyDescent="0.25">
      <c r="A6" s="73"/>
      <c r="B6" s="73"/>
      <c r="C6" s="73"/>
      <c r="D6" s="73"/>
      <c r="E6" s="73"/>
      <c r="F6" s="73"/>
      <c r="G6" s="73"/>
    </row>
    <row r="7" spans="1:7" ht="15.8" customHeight="1" x14ac:dyDescent="0.25">
      <c r="A7" s="73"/>
      <c r="B7" s="73"/>
      <c r="C7" s="73"/>
      <c r="D7" s="73"/>
      <c r="E7" s="73"/>
      <c r="F7" s="73"/>
      <c r="G7" s="73"/>
    </row>
    <row r="8" spans="1:7" ht="15.8" customHeight="1" x14ac:dyDescent="0.25">
      <c r="A8" s="73"/>
      <c r="B8" s="73"/>
      <c r="C8" s="73"/>
      <c r="D8" s="73"/>
      <c r="E8" s="73"/>
      <c r="F8" s="73"/>
      <c r="G8" s="73"/>
    </row>
    <row r="9" spans="1:7" ht="15.8" customHeight="1" x14ac:dyDescent="0.25">
      <c r="A9" s="73"/>
      <c r="B9" s="73"/>
      <c r="C9" s="73"/>
      <c r="D9" s="73"/>
      <c r="E9" s="73"/>
      <c r="F9" s="73"/>
      <c r="G9" s="73"/>
    </row>
    <row r="10" spans="1:7" ht="15.8" customHeight="1" x14ac:dyDescent="0.25">
      <c r="A10" s="73"/>
      <c r="B10" s="73"/>
      <c r="C10" s="73"/>
      <c r="D10" s="73"/>
      <c r="E10" s="73"/>
      <c r="F10" s="73"/>
      <c r="G10" s="73"/>
    </row>
    <row r="11" spans="1:7" ht="15.8" customHeight="1" x14ac:dyDescent="0.25">
      <c r="A11" s="73"/>
      <c r="B11" s="73"/>
      <c r="C11" s="73"/>
      <c r="D11" s="73"/>
      <c r="E11" s="73"/>
      <c r="F11" s="73"/>
      <c r="G11" s="73"/>
    </row>
    <row r="12" spans="1:7" ht="15.8" customHeight="1" x14ac:dyDescent="0.25">
      <c r="A12" s="73"/>
      <c r="B12" s="73"/>
      <c r="C12" s="73"/>
      <c r="D12" s="73"/>
      <c r="E12" s="73"/>
      <c r="F12" s="73"/>
      <c r="G12" s="73"/>
    </row>
    <row r="13" spans="1:7" ht="15.8" customHeight="1" x14ac:dyDescent="0.25">
      <c r="A13" s="73"/>
      <c r="B13" s="73"/>
      <c r="C13" s="73"/>
      <c r="D13" s="73"/>
      <c r="E13" s="73"/>
      <c r="F13" s="73"/>
      <c r="G13" s="73"/>
    </row>
    <row r="14" spans="1:7" ht="15.8" customHeight="1" x14ac:dyDescent="0.25">
      <c r="A14" s="73"/>
      <c r="B14" s="73"/>
      <c r="C14" s="73"/>
      <c r="D14" s="73"/>
      <c r="E14" s="73"/>
      <c r="F14" s="73"/>
      <c r="G14" s="73"/>
    </row>
    <row r="15" spans="1:7" ht="15.8" customHeight="1" x14ac:dyDescent="0.25">
      <c r="A15" s="73"/>
      <c r="B15" s="73"/>
      <c r="C15" s="73"/>
      <c r="D15" s="73"/>
      <c r="E15" s="73"/>
      <c r="F15" s="73"/>
      <c r="G15" s="73"/>
    </row>
    <row r="16" spans="1:7" ht="15.8" customHeight="1" x14ac:dyDescent="0.25">
      <c r="A16" s="73"/>
      <c r="B16" s="73"/>
      <c r="C16" s="73"/>
      <c r="D16" s="73"/>
      <c r="E16" s="73"/>
      <c r="F16" s="73"/>
      <c r="G16" s="73"/>
    </row>
    <row r="17" spans="1:13" ht="15.8" customHeight="1" x14ac:dyDescent="0.25">
      <c r="A17" s="73"/>
      <c r="B17" s="73"/>
      <c r="C17" s="73"/>
      <c r="D17" s="73"/>
      <c r="E17" s="73"/>
      <c r="F17" s="73"/>
      <c r="G17" s="73"/>
    </row>
    <row r="18" spans="1:13" ht="15.8" customHeight="1" x14ac:dyDescent="0.25">
      <c r="A18" s="73"/>
      <c r="B18" s="73"/>
      <c r="C18" s="73"/>
      <c r="D18" s="73"/>
      <c r="E18" s="73"/>
      <c r="F18" s="73"/>
      <c r="G18" s="73"/>
    </row>
    <row r="19" spans="1:13" ht="15.8" customHeight="1" x14ac:dyDescent="0.25">
      <c r="A19" s="73"/>
      <c r="B19" s="73"/>
      <c r="C19" s="73"/>
      <c r="D19" s="73"/>
      <c r="E19" s="73"/>
      <c r="F19" s="73"/>
      <c r="G19" s="73"/>
    </row>
    <row r="20" spans="1:13" ht="15.8" customHeight="1" x14ac:dyDescent="0.25">
      <c r="A20" s="73"/>
      <c r="B20" s="73"/>
      <c r="C20" s="73"/>
      <c r="D20" s="73"/>
      <c r="E20" s="73"/>
      <c r="F20" s="73"/>
      <c r="G20" s="73"/>
    </row>
    <row r="21" spans="1:13" ht="15.8" customHeight="1" x14ac:dyDescent="0.25">
      <c r="A21" s="73"/>
      <c r="B21" s="73"/>
      <c r="C21" s="73"/>
      <c r="D21" s="73"/>
      <c r="E21" s="73"/>
      <c r="F21" s="73"/>
      <c r="G21" s="73"/>
    </row>
    <row r="22" spans="1:13" ht="15.8" customHeight="1" x14ac:dyDescent="0.25">
      <c r="A22" s="73"/>
      <c r="B22" s="73"/>
      <c r="C22" s="73"/>
      <c r="D22" s="73"/>
      <c r="E22" s="73"/>
      <c r="F22" s="73"/>
      <c r="G22" s="73"/>
    </row>
    <row r="23" spans="1:13" ht="15.8" customHeight="1" x14ac:dyDescent="0.25">
      <c r="A23" s="73"/>
      <c r="B23" s="73"/>
      <c r="C23" s="73"/>
      <c r="D23" s="73"/>
      <c r="E23" s="73"/>
      <c r="F23" s="73"/>
      <c r="G23" s="73"/>
    </row>
    <row r="24" spans="1:13" ht="15.8" customHeight="1" x14ac:dyDescent="0.25">
      <c r="A24" s="73"/>
      <c r="B24" s="73"/>
      <c r="C24" s="73"/>
      <c r="D24" s="73"/>
      <c r="E24" s="73"/>
      <c r="F24" s="73"/>
      <c r="G24" s="73"/>
    </row>
    <row r="25" spans="1:13" ht="15.8" customHeight="1" x14ac:dyDescent="0.25">
      <c r="A25" s="73"/>
      <c r="B25" s="73"/>
      <c r="C25" s="73"/>
      <c r="D25" s="73"/>
      <c r="E25" s="73"/>
      <c r="F25" s="73"/>
      <c r="G25" s="73"/>
    </row>
    <row r="26" spans="1:13" ht="15.8" customHeight="1" x14ac:dyDescent="0.25">
      <c r="A26" s="73"/>
      <c r="B26" s="73"/>
      <c r="C26" s="73"/>
      <c r="D26" s="73"/>
      <c r="E26" s="73"/>
      <c r="F26" s="73"/>
      <c r="G26" s="73"/>
    </row>
    <row r="27" spans="1:13" ht="15.8" customHeight="1" x14ac:dyDescent="0.25">
      <c r="A27" s="73"/>
      <c r="B27" s="73"/>
      <c r="C27" s="73"/>
      <c r="D27" s="73"/>
      <c r="E27" s="73"/>
      <c r="F27" s="73"/>
      <c r="G27" s="73"/>
      <c r="M27" s="77"/>
    </row>
    <row r="28" spans="1:13" ht="15.8" customHeight="1" x14ac:dyDescent="0.25">
      <c r="A28" s="73"/>
      <c r="B28" s="73"/>
      <c r="C28" s="73"/>
      <c r="D28" s="73"/>
      <c r="E28" s="73"/>
      <c r="F28" s="73"/>
      <c r="G28" s="73"/>
      <c r="M28" s="77"/>
    </row>
    <row r="29" spans="1:13" ht="15.8" customHeight="1" x14ac:dyDescent="0.25">
      <c r="A29" s="73"/>
      <c r="B29" s="73"/>
      <c r="C29" s="73"/>
      <c r="D29" s="73"/>
      <c r="E29" s="73"/>
      <c r="F29" s="73"/>
      <c r="G29" s="73"/>
      <c r="M29" s="77"/>
    </row>
    <row r="30" spans="1:13" ht="15.8" customHeight="1" x14ac:dyDescent="0.25">
      <c r="A30" s="73"/>
      <c r="B30" s="73"/>
      <c r="C30" s="73"/>
      <c r="D30" s="73"/>
      <c r="E30" s="73"/>
      <c r="F30" s="73"/>
      <c r="G30" s="73"/>
      <c r="M30" s="77"/>
    </row>
    <row r="31" spans="1:13" ht="15.8" customHeight="1" x14ac:dyDescent="0.25">
      <c r="A31" s="73"/>
      <c r="B31" s="73"/>
      <c r="C31" s="73"/>
      <c r="D31" s="73"/>
      <c r="E31" s="73"/>
      <c r="F31" s="73"/>
      <c r="G31" s="73"/>
      <c r="M31" s="77"/>
    </row>
    <row r="32" spans="1:13" ht="15.8" customHeight="1" x14ac:dyDescent="0.25">
      <c r="A32" s="73"/>
      <c r="B32" s="73"/>
      <c r="C32" s="73"/>
      <c r="D32" s="73"/>
      <c r="E32" s="73"/>
      <c r="F32" s="73"/>
      <c r="G32" s="73"/>
      <c r="M32" s="77"/>
    </row>
    <row r="33" spans="1:13" ht="15.8" customHeight="1" x14ac:dyDescent="0.25">
      <c r="A33" s="73"/>
      <c r="B33" s="73"/>
      <c r="C33" s="73"/>
      <c r="D33" s="73"/>
      <c r="E33" s="73"/>
      <c r="F33" s="73"/>
      <c r="G33" s="73"/>
      <c r="M33" s="77"/>
    </row>
    <row r="34" spans="1:13" ht="15.8" customHeight="1" x14ac:dyDescent="0.25">
      <c r="A34" s="73"/>
      <c r="B34" s="73"/>
      <c r="C34" s="73"/>
      <c r="D34" s="73"/>
      <c r="E34" s="73"/>
      <c r="F34" s="73"/>
      <c r="G34" s="73"/>
      <c r="M34" s="77"/>
    </row>
    <row r="35" spans="1:13" ht="15.8" customHeight="1" x14ac:dyDescent="0.25">
      <c r="A35" s="73"/>
      <c r="B35" s="73"/>
      <c r="C35" s="73"/>
      <c r="D35" s="73"/>
      <c r="E35" s="73"/>
      <c r="F35" s="73"/>
      <c r="G35" s="73"/>
      <c r="M35" s="77"/>
    </row>
    <row r="36" spans="1:13" ht="15.8" customHeight="1" x14ac:dyDescent="0.25">
      <c r="A36" s="73"/>
      <c r="B36" s="73"/>
      <c r="C36" s="73"/>
      <c r="D36" s="73"/>
      <c r="E36" s="73"/>
      <c r="F36" s="73"/>
      <c r="G36" s="73"/>
      <c r="M36" s="77"/>
    </row>
    <row r="37" spans="1:13" ht="15.8" customHeight="1" x14ac:dyDescent="0.25">
      <c r="A37" s="73"/>
      <c r="B37" s="73"/>
      <c r="C37" s="73"/>
      <c r="D37" s="73"/>
      <c r="E37" s="73"/>
      <c r="F37" s="73"/>
      <c r="G37" s="73"/>
      <c r="M37" s="77"/>
    </row>
    <row r="38" spans="1:13" ht="15.8" customHeight="1" x14ac:dyDescent="0.25">
      <c r="A38" s="73"/>
      <c r="B38" s="73"/>
      <c r="C38" s="73"/>
      <c r="D38" s="73"/>
      <c r="E38" s="73"/>
      <c r="F38" s="73"/>
      <c r="G38" s="73"/>
      <c r="M38" s="77"/>
    </row>
    <row r="39" spans="1:13" ht="15.8" customHeight="1" x14ac:dyDescent="0.25">
      <c r="A39" s="73"/>
      <c r="B39" s="73"/>
      <c r="C39" s="73"/>
      <c r="D39" s="73"/>
      <c r="E39" s="73"/>
      <c r="F39" s="73"/>
      <c r="G39" s="73"/>
      <c r="M39" s="77"/>
    </row>
    <row r="40" spans="1:13" ht="15.8" customHeight="1" x14ac:dyDescent="0.25">
      <c r="A40" s="73"/>
      <c r="B40" s="73"/>
      <c r="C40" s="73"/>
      <c r="D40" s="73"/>
      <c r="E40" s="73"/>
      <c r="F40" s="73"/>
      <c r="G40" s="73"/>
      <c r="M40" s="77"/>
    </row>
    <row r="41" spans="1:13" ht="15.8" customHeight="1" x14ac:dyDescent="0.25">
      <c r="A41" s="73"/>
      <c r="B41" s="73"/>
      <c r="C41" s="73"/>
      <c r="D41" s="73"/>
      <c r="E41" s="73"/>
      <c r="F41" s="73"/>
      <c r="G41" s="73"/>
      <c r="M41" s="77"/>
    </row>
    <row r="42" spans="1:13" ht="15.8" customHeight="1" x14ac:dyDescent="0.25">
      <c r="A42" s="73"/>
      <c r="B42" s="73"/>
      <c r="C42" s="73"/>
      <c r="D42" s="73"/>
      <c r="E42" s="73"/>
      <c r="F42" s="73"/>
      <c r="G42" s="73"/>
      <c r="M42" s="77"/>
    </row>
    <row r="43" spans="1:13" ht="15.8" customHeight="1" x14ac:dyDescent="0.25">
      <c r="A43" s="73"/>
      <c r="B43" s="73"/>
      <c r="C43" s="73"/>
      <c r="D43" s="73"/>
      <c r="E43" s="73"/>
      <c r="F43" s="73"/>
      <c r="G43" s="73"/>
      <c r="M43" s="77"/>
    </row>
    <row r="44" spans="1:13" ht="15.8" customHeight="1" x14ac:dyDescent="0.25">
      <c r="A44" s="73"/>
      <c r="B44" s="73"/>
      <c r="C44" s="73"/>
      <c r="D44" s="73"/>
      <c r="E44" s="73"/>
      <c r="F44" s="73"/>
      <c r="G44" s="73"/>
      <c r="M44" s="77"/>
    </row>
    <row r="45" spans="1:13" ht="15.8" customHeight="1" x14ac:dyDescent="0.25">
      <c r="A45" s="73"/>
      <c r="B45" s="73"/>
      <c r="C45" s="73"/>
      <c r="D45" s="73"/>
      <c r="E45" s="73"/>
      <c r="F45" s="73"/>
      <c r="G45" s="73"/>
      <c r="M45" s="77"/>
    </row>
    <row r="46" spans="1:13" ht="15.8" customHeight="1" x14ac:dyDescent="0.25">
      <c r="A46" s="73"/>
      <c r="B46" s="73"/>
      <c r="C46" s="73"/>
      <c r="D46" s="73"/>
      <c r="E46" s="73"/>
      <c r="F46" s="73"/>
      <c r="G46" s="73"/>
      <c r="M46" s="77"/>
    </row>
    <row r="47" spans="1:13" ht="15.8" customHeight="1" x14ac:dyDescent="0.25">
      <c r="A47" s="73"/>
      <c r="B47" s="73"/>
      <c r="C47" s="73"/>
      <c r="D47" s="73"/>
      <c r="E47" s="73"/>
      <c r="F47" s="73"/>
      <c r="G47" s="73"/>
      <c r="M47" s="77"/>
    </row>
    <row r="48" spans="1:13" ht="15.8" customHeight="1" x14ac:dyDescent="0.25">
      <c r="A48" s="73"/>
      <c r="B48" s="73"/>
      <c r="C48" s="73"/>
      <c r="D48" s="73"/>
      <c r="E48" s="73"/>
      <c r="F48" s="73"/>
      <c r="G48" s="73"/>
      <c r="M48" s="77"/>
    </row>
    <row r="49" spans="1:14" ht="15.8" customHeight="1" x14ac:dyDescent="0.25">
      <c r="A49" s="73"/>
      <c r="B49" s="73"/>
      <c r="C49" s="73"/>
      <c r="D49" s="73"/>
      <c r="E49" s="96"/>
      <c r="F49" s="73"/>
      <c r="G49" s="73"/>
      <c r="M49" s="77"/>
    </row>
    <row r="50" spans="1:14" ht="15.8" customHeight="1" x14ac:dyDescent="0.25">
      <c r="A50" s="73"/>
      <c r="B50" s="73"/>
      <c r="C50" s="73"/>
      <c r="D50" s="73"/>
      <c r="E50" s="73"/>
      <c r="F50" s="73"/>
      <c r="G50" s="73"/>
      <c r="M50" s="77"/>
    </row>
    <row r="51" spans="1:14" ht="12.75" customHeight="1" x14ac:dyDescent="0.25">
      <c r="A51" s="52"/>
      <c r="B51" s="52"/>
      <c r="C51" s="52"/>
      <c r="D51" s="52"/>
      <c r="E51" s="52"/>
      <c r="F51" s="52"/>
      <c r="G51" s="52"/>
      <c r="H51" s="52"/>
      <c r="I51" s="52"/>
      <c r="J51" s="52"/>
      <c r="K51" s="52"/>
      <c r="L51" s="52"/>
      <c r="M51" s="52"/>
      <c r="N51" s="52"/>
    </row>
    <row r="52" spans="1:14" ht="12.75" customHeight="1" x14ac:dyDescent="0.25">
      <c r="A52" s="54" t="str">
        <f>+Innhold!B123</f>
        <v>Finans Norge / Skadestatistikk</v>
      </c>
      <c r="G52" s="193">
        <v>27</v>
      </c>
      <c r="H52" s="54" t="str">
        <f>+Innhold!B123</f>
        <v>Finans Norge / Skadestatistikk</v>
      </c>
      <c r="N52" s="193">
        <v>28</v>
      </c>
    </row>
    <row r="53" spans="1:14" ht="12.75" customHeight="1" x14ac:dyDescent="0.25">
      <c r="A53" s="54" t="str">
        <f>+Innhold!B124</f>
        <v>Skadestatistikk for landbasert forsikring 3. kvartal 2018</v>
      </c>
      <c r="G53" s="194"/>
      <c r="H53" s="54" t="str">
        <f>+Innhold!B124</f>
        <v>Skadestatistikk for landbasert forsikring 3. kvartal 2018</v>
      </c>
      <c r="N53" s="194"/>
    </row>
    <row r="54" spans="1:14" ht="15.8" customHeight="1" x14ac:dyDescent="0.25"/>
    <row r="55" spans="1:14" ht="15.8" customHeight="1" x14ac:dyDescent="0.25"/>
    <row r="56" spans="1:14" ht="15.8" customHeight="1" x14ac:dyDescent="0.25"/>
    <row r="57" spans="1:14" ht="15.8" customHeight="1" x14ac:dyDescent="0.25"/>
    <row r="58" spans="1:14" ht="15.8" customHeight="1" x14ac:dyDescent="0.25"/>
    <row r="59" spans="1:14" ht="15.8" customHeight="1" x14ac:dyDescent="0.25"/>
    <row r="60" spans="1:14" ht="15.8" customHeight="1" x14ac:dyDescent="0.25">
      <c r="J60"/>
      <c r="K60"/>
      <c r="L60"/>
    </row>
    <row r="61" spans="1:14" ht="15.8" customHeight="1" x14ac:dyDescent="0.25">
      <c r="J61" s="71"/>
      <c r="K61" s="72"/>
      <c r="L61" s="72"/>
    </row>
    <row r="62" spans="1:14" ht="15.8" customHeight="1" x14ac:dyDescent="0.25">
      <c r="J62" s="70"/>
      <c r="K62"/>
      <c r="L62"/>
    </row>
    <row r="63" spans="1:14" ht="15.8" customHeight="1" x14ac:dyDescent="0.25">
      <c r="J63" s="69"/>
      <c r="K63" s="69"/>
      <c r="L63" s="69"/>
    </row>
    <row r="64" spans="1:14" ht="15.8" customHeight="1" x14ac:dyDescent="0.25">
      <c r="J64" s="69"/>
      <c r="K64" s="69"/>
      <c r="L64" s="69"/>
    </row>
    <row r="65" spans="1:12" ht="15.8" customHeight="1" x14ac:dyDescent="0.25">
      <c r="J65" s="69"/>
      <c r="K65" s="69"/>
      <c r="L65" s="69"/>
    </row>
    <row r="66" spans="1:12" ht="15.8" customHeight="1" x14ac:dyDescent="0.25">
      <c r="J66" s="69"/>
      <c r="K66" s="69"/>
      <c r="L66" s="69"/>
    </row>
    <row r="67" spans="1:12" ht="15.8" customHeight="1" x14ac:dyDescent="0.25">
      <c r="J67" s="69"/>
      <c r="K67" s="69"/>
      <c r="L67" s="69"/>
    </row>
    <row r="68" spans="1:12" ht="15.8" customHeight="1" x14ac:dyDescent="0.25">
      <c r="J68" s="69"/>
      <c r="K68" s="69"/>
      <c r="L68" s="69"/>
    </row>
    <row r="69" spans="1:12" ht="15.8" customHeight="1" x14ac:dyDescent="0.25">
      <c r="J69" s="69"/>
      <c r="K69" s="69"/>
      <c r="L69" s="69"/>
    </row>
    <row r="70" spans="1:12" ht="15.8" customHeight="1" x14ac:dyDescent="0.25">
      <c r="J70"/>
      <c r="K70"/>
      <c r="L70"/>
    </row>
    <row r="71" spans="1:12" x14ac:dyDescent="0.25">
      <c r="J71"/>
      <c r="K71"/>
      <c r="L71"/>
    </row>
    <row r="72" spans="1:12" x14ac:dyDescent="0.25">
      <c r="J72"/>
      <c r="K72"/>
      <c r="L72"/>
    </row>
    <row r="73" spans="1:12" x14ac:dyDescent="0.25">
      <c r="A73"/>
      <c r="B73"/>
      <c r="C73"/>
      <c r="D73"/>
      <c r="E73"/>
      <c r="F73"/>
      <c r="H73"/>
      <c r="I73"/>
      <c r="J73"/>
      <c r="K73"/>
      <c r="L73"/>
    </row>
    <row r="74" spans="1:12" x14ac:dyDescent="0.25">
      <c r="A74"/>
      <c r="B74"/>
      <c r="C74"/>
      <c r="D74"/>
      <c r="E74"/>
      <c r="F74"/>
      <c r="H74"/>
      <c r="I74"/>
      <c r="J74"/>
      <c r="K74"/>
      <c r="L74"/>
    </row>
    <row r="75" spans="1:12" x14ac:dyDescent="0.25">
      <c r="A75"/>
      <c r="B75"/>
      <c r="C75"/>
      <c r="D75"/>
      <c r="E75"/>
      <c r="F75"/>
      <c r="H75"/>
      <c r="I75"/>
      <c r="J75"/>
      <c r="K75"/>
      <c r="L75"/>
    </row>
    <row r="76" spans="1:12" x14ac:dyDescent="0.25">
      <c r="A76"/>
      <c r="B76"/>
      <c r="C76"/>
      <c r="D76"/>
      <c r="E76"/>
      <c r="F76"/>
      <c r="H76"/>
      <c r="I76"/>
      <c r="J76"/>
      <c r="K76"/>
      <c r="L76"/>
    </row>
    <row r="77" spans="1:12" x14ac:dyDescent="0.25">
      <c r="A77"/>
      <c r="B77"/>
      <c r="C77"/>
      <c r="D77"/>
      <c r="E77"/>
      <c r="F77"/>
      <c r="H77"/>
      <c r="I77"/>
      <c r="J77"/>
      <c r="K77"/>
      <c r="L77"/>
    </row>
    <row r="78" spans="1:12" x14ac:dyDescent="0.25">
      <c r="A78"/>
      <c r="B78"/>
      <c r="C78"/>
      <c r="D78"/>
      <c r="E78"/>
      <c r="F78"/>
      <c r="H78"/>
      <c r="I78"/>
      <c r="J78"/>
      <c r="K78"/>
      <c r="L78"/>
    </row>
    <row r="79" spans="1:12" x14ac:dyDescent="0.25">
      <c r="A79"/>
      <c r="B79"/>
      <c r="C79"/>
      <c r="D79"/>
      <c r="E79"/>
      <c r="F79"/>
      <c r="H79"/>
      <c r="I79"/>
      <c r="J79"/>
      <c r="K79"/>
      <c r="L79"/>
    </row>
    <row r="80" spans="1:12" x14ac:dyDescent="0.25">
      <c r="A80"/>
      <c r="B80"/>
      <c r="C80"/>
      <c r="D80"/>
      <c r="E80"/>
      <c r="F80"/>
      <c r="H80"/>
      <c r="I80"/>
      <c r="J80"/>
      <c r="K80"/>
      <c r="L80"/>
    </row>
    <row r="81" spans="1:12" x14ac:dyDescent="0.25">
      <c r="A81"/>
      <c r="B81"/>
      <c r="C81"/>
      <c r="D81"/>
      <c r="E81"/>
      <c r="F81"/>
      <c r="H81"/>
      <c r="I81"/>
      <c r="J81"/>
      <c r="K81"/>
      <c r="L81"/>
    </row>
    <row r="82" spans="1:12" x14ac:dyDescent="0.25">
      <c r="A82"/>
      <c r="B82"/>
      <c r="C82"/>
      <c r="D82"/>
      <c r="E82"/>
      <c r="F82"/>
      <c r="H82"/>
      <c r="I82"/>
      <c r="J82"/>
      <c r="K82"/>
      <c r="L82"/>
    </row>
    <row r="83" spans="1:12" x14ac:dyDescent="0.25">
      <c r="A83"/>
      <c r="B83"/>
      <c r="C83"/>
      <c r="D83"/>
      <c r="E83"/>
      <c r="F83"/>
      <c r="H83"/>
      <c r="I83"/>
      <c r="J83"/>
      <c r="K83"/>
      <c r="L83"/>
    </row>
    <row r="84" spans="1:12" x14ac:dyDescent="0.25">
      <c r="A84"/>
      <c r="B84"/>
      <c r="C84"/>
      <c r="D84"/>
      <c r="E84"/>
      <c r="F84"/>
      <c r="H84"/>
      <c r="I84"/>
      <c r="J84"/>
      <c r="K84"/>
      <c r="L84"/>
    </row>
    <row r="85" spans="1:12" x14ac:dyDescent="0.25">
      <c r="A85"/>
      <c r="B85"/>
      <c r="C85"/>
      <c r="D85"/>
      <c r="E85"/>
      <c r="F85"/>
      <c r="H85"/>
      <c r="I85"/>
      <c r="J85"/>
      <c r="K85"/>
      <c r="L85"/>
    </row>
    <row r="86" spans="1:12" x14ac:dyDescent="0.25">
      <c r="A86"/>
      <c r="B86"/>
      <c r="C86"/>
      <c r="D86"/>
      <c r="E86"/>
      <c r="F86"/>
      <c r="H86"/>
      <c r="I86"/>
      <c r="J86"/>
      <c r="K86"/>
      <c r="L86"/>
    </row>
    <row r="87" spans="1:12" x14ac:dyDescent="0.25">
      <c r="A87"/>
      <c r="B87"/>
      <c r="C87"/>
      <c r="D87"/>
      <c r="E87"/>
      <c r="F87"/>
      <c r="H87"/>
      <c r="I87"/>
      <c r="J87"/>
      <c r="K87"/>
      <c r="L87"/>
    </row>
    <row r="88" spans="1:12" x14ac:dyDescent="0.25">
      <c r="A88"/>
      <c r="B88"/>
      <c r="C88"/>
      <c r="D88"/>
      <c r="E88"/>
      <c r="F88"/>
      <c r="H88"/>
      <c r="I88"/>
      <c r="J88"/>
      <c r="K88"/>
      <c r="L88"/>
    </row>
    <row r="89" spans="1:12" x14ac:dyDescent="0.25">
      <c r="A89"/>
      <c r="B89"/>
      <c r="C89"/>
      <c r="D89"/>
      <c r="E89"/>
      <c r="F89"/>
      <c r="H89"/>
      <c r="I89"/>
      <c r="J89"/>
      <c r="K89"/>
      <c r="L89"/>
    </row>
    <row r="90" spans="1:12" x14ac:dyDescent="0.25">
      <c r="A90"/>
      <c r="B90"/>
      <c r="C90"/>
      <c r="D90"/>
      <c r="E90"/>
      <c r="F90"/>
      <c r="H90"/>
      <c r="I90"/>
      <c r="J90"/>
      <c r="K90"/>
      <c r="L90"/>
    </row>
    <row r="91" spans="1:12" x14ac:dyDescent="0.25">
      <c r="A91"/>
      <c r="B91"/>
      <c r="C91"/>
      <c r="D91"/>
      <c r="E91"/>
      <c r="F91"/>
      <c r="H91"/>
      <c r="I91"/>
      <c r="J91"/>
      <c r="K91"/>
      <c r="L91"/>
    </row>
    <row r="92" spans="1:12" x14ac:dyDescent="0.25">
      <c r="A92"/>
      <c r="B92"/>
      <c r="C92"/>
      <c r="D92"/>
      <c r="E92"/>
      <c r="F92"/>
      <c r="H92"/>
      <c r="I92"/>
      <c r="J92"/>
      <c r="K92"/>
      <c r="L92"/>
    </row>
    <row r="93" spans="1:12" x14ac:dyDescent="0.25">
      <c r="A93"/>
      <c r="B93"/>
      <c r="C93"/>
      <c r="D93"/>
      <c r="E93"/>
      <c r="F93"/>
      <c r="H93"/>
      <c r="I93"/>
      <c r="J93"/>
      <c r="K93"/>
      <c r="L93"/>
    </row>
    <row r="94" spans="1:12" x14ac:dyDescent="0.25">
      <c r="A94"/>
      <c r="B94"/>
      <c r="C94"/>
      <c r="D94"/>
      <c r="E94"/>
      <c r="F94"/>
      <c r="H94"/>
      <c r="I94"/>
      <c r="J94"/>
      <c r="K94"/>
      <c r="L94"/>
    </row>
    <row r="95" spans="1:12" x14ac:dyDescent="0.25">
      <c r="A95"/>
      <c r="B95"/>
      <c r="C95"/>
      <c r="D95"/>
      <c r="E95"/>
      <c r="F95"/>
      <c r="H95"/>
      <c r="I95"/>
      <c r="J95"/>
      <c r="K95"/>
      <c r="L95"/>
    </row>
    <row r="96" spans="1:12" x14ac:dyDescent="0.25">
      <c r="A96"/>
      <c r="B96"/>
      <c r="C96"/>
      <c r="D96"/>
      <c r="E96"/>
      <c r="F96"/>
      <c r="H96"/>
      <c r="I96"/>
      <c r="J96"/>
      <c r="K96"/>
      <c r="L96"/>
    </row>
    <row r="97" spans="1:12" x14ac:dyDescent="0.25">
      <c r="A97"/>
      <c r="B97"/>
      <c r="C97"/>
      <c r="D97"/>
      <c r="E97"/>
      <c r="F97"/>
      <c r="H97"/>
      <c r="I97"/>
      <c r="J97"/>
      <c r="K97"/>
      <c r="L97"/>
    </row>
    <row r="98" spans="1:12" x14ac:dyDescent="0.25">
      <c r="A98"/>
      <c r="B98"/>
      <c r="C98"/>
      <c r="D98"/>
      <c r="E98"/>
      <c r="F98"/>
      <c r="H98"/>
      <c r="I98"/>
      <c r="J98"/>
      <c r="K98"/>
      <c r="L98"/>
    </row>
    <row r="99" spans="1:12" x14ac:dyDescent="0.25">
      <c r="A99"/>
      <c r="B99"/>
      <c r="C99"/>
      <c r="D99"/>
      <c r="E99"/>
      <c r="F99"/>
      <c r="K99"/>
    </row>
    <row r="100" spans="1:12" x14ac:dyDescent="0.25">
      <c r="A100"/>
      <c r="B100"/>
      <c r="C100"/>
      <c r="D100"/>
      <c r="E100"/>
      <c r="F100"/>
      <c r="K100"/>
    </row>
    <row r="101" spans="1:12" x14ac:dyDescent="0.25">
      <c r="A101"/>
      <c r="B101"/>
      <c r="C101"/>
      <c r="D101"/>
      <c r="E101"/>
      <c r="F101"/>
      <c r="H101" s="68"/>
      <c r="I101"/>
      <c r="J101"/>
      <c r="K101"/>
    </row>
    <row r="102" spans="1:12" x14ac:dyDescent="0.25">
      <c r="A102"/>
      <c r="B102"/>
      <c r="C102"/>
      <c r="D102"/>
      <c r="E102"/>
      <c r="F102"/>
      <c r="H102"/>
      <c r="I102"/>
      <c r="J102"/>
      <c r="K102"/>
    </row>
    <row r="103" spans="1:12" x14ac:dyDescent="0.25">
      <c r="A103"/>
      <c r="B103"/>
      <c r="C103"/>
      <c r="D103"/>
      <c r="E103"/>
      <c r="F103"/>
      <c r="H103"/>
      <c r="I103"/>
      <c r="J103"/>
      <c r="K103"/>
    </row>
    <row r="104" spans="1:12" x14ac:dyDescent="0.25">
      <c r="A104"/>
      <c r="B104"/>
      <c r="C104"/>
      <c r="D104"/>
      <c r="E104"/>
      <c r="F104"/>
      <c r="H104"/>
      <c r="I104"/>
      <c r="J104"/>
      <c r="K104"/>
    </row>
    <row r="105" spans="1:12" x14ac:dyDescent="0.25">
      <c r="A105"/>
      <c r="B105"/>
      <c r="C105"/>
      <c r="D105"/>
      <c r="E105"/>
      <c r="F105"/>
      <c r="H105"/>
      <c r="I105" s="69"/>
      <c r="J105" s="69"/>
      <c r="K105" s="69"/>
    </row>
    <row r="106" spans="1:12" x14ac:dyDescent="0.25">
      <c r="A106"/>
      <c r="B106"/>
      <c r="C106"/>
      <c r="D106"/>
      <c r="E106"/>
      <c r="F106"/>
      <c r="H106"/>
      <c r="I106" s="69"/>
      <c r="J106" s="69"/>
      <c r="K106" s="69"/>
    </row>
    <row r="107" spans="1:12" x14ac:dyDescent="0.25">
      <c r="D107"/>
      <c r="E107"/>
      <c r="F107"/>
      <c r="H107"/>
      <c r="I107" s="69"/>
      <c r="J107" s="69"/>
      <c r="K107" s="69"/>
    </row>
    <row r="108" spans="1:12" x14ac:dyDescent="0.25">
      <c r="D108"/>
      <c r="E108"/>
      <c r="F108"/>
      <c r="H108"/>
      <c r="I108"/>
      <c r="J108"/>
      <c r="K108"/>
    </row>
    <row r="109" spans="1:12" x14ac:dyDescent="0.25">
      <c r="A109" s="78"/>
      <c r="B109"/>
      <c r="C109"/>
      <c r="D109"/>
      <c r="E109"/>
      <c r="F109"/>
      <c r="H109"/>
      <c r="I109"/>
      <c r="J109"/>
      <c r="K109"/>
    </row>
    <row r="110" spans="1:12" x14ac:dyDescent="0.25">
      <c r="A110"/>
      <c r="B110"/>
      <c r="C110"/>
      <c r="D110"/>
      <c r="E110"/>
      <c r="F110"/>
      <c r="H110"/>
      <c r="I110"/>
      <c r="J110"/>
      <c r="K110"/>
    </row>
    <row r="111" spans="1:12" x14ac:dyDescent="0.25">
      <c r="A111"/>
      <c r="B111"/>
      <c r="C111"/>
      <c r="D111"/>
      <c r="E111"/>
      <c r="F111"/>
      <c r="H111"/>
      <c r="I111"/>
      <c r="J111"/>
      <c r="K111"/>
    </row>
    <row r="112" spans="1:12" x14ac:dyDescent="0.25">
      <c r="A112"/>
      <c r="B112"/>
      <c r="C112"/>
      <c r="D112"/>
      <c r="E112"/>
      <c r="F112"/>
      <c r="H112"/>
      <c r="I112"/>
      <c r="J112"/>
      <c r="K112"/>
    </row>
    <row r="113" spans="1:11" x14ac:dyDescent="0.25">
      <c r="A113"/>
      <c r="B113"/>
      <c r="C113"/>
      <c r="D113"/>
      <c r="E113"/>
      <c r="F113"/>
    </row>
    <row r="114" spans="1:11" x14ac:dyDescent="0.25">
      <c r="A114"/>
      <c r="B114"/>
      <c r="C114"/>
      <c r="D114"/>
      <c r="E114"/>
      <c r="F114"/>
    </row>
    <row r="115" spans="1:11" x14ac:dyDescent="0.25">
      <c r="A115"/>
      <c r="B115"/>
      <c r="C115"/>
      <c r="D115"/>
      <c r="E115"/>
      <c r="F115"/>
      <c r="H115" s="68"/>
      <c r="I115"/>
      <c r="J115"/>
      <c r="K115"/>
    </row>
    <row r="116" spans="1:11" x14ac:dyDescent="0.25">
      <c r="A116"/>
      <c r="B116"/>
      <c r="C116"/>
      <c r="D116"/>
      <c r="E116"/>
      <c r="F116"/>
      <c r="H116"/>
      <c r="I116"/>
      <c r="J116"/>
      <c r="K116"/>
    </row>
    <row r="117" spans="1:11" x14ac:dyDescent="0.25">
      <c r="A117"/>
      <c r="B117"/>
      <c r="C117"/>
      <c r="D117"/>
      <c r="E117"/>
      <c r="F117"/>
      <c r="H117"/>
      <c r="I117"/>
      <c r="J117"/>
      <c r="K117"/>
    </row>
    <row r="118" spans="1:11" x14ac:dyDescent="0.25">
      <c r="A118"/>
      <c r="B118"/>
      <c r="C118"/>
      <c r="D118"/>
      <c r="E118"/>
      <c r="F118"/>
      <c r="H118"/>
      <c r="I118"/>
      <c r="J118" s="69"/>
      <c r="K118" s="69"/>
    </row>
    <row r="119" spans="1:11" x14ac:dyDescent="0.25">
      <c r="A119"/>
      <c r="B119"/>
      <c r="C119"/>
      <c r="D119"/>
      <c r="E119"/>
      <c r="F119"/>
      <c r="H119"/>
      <c r="I119"/>
      <c r="J119" s="69"/>
      <c r="K119" s="69"/>
    </row>
    <row r="120" spans="1:11" x14ac:dyDescent="0.25">
      <c r="A120"/>
      <c r="B120"/>
      <c r="C120"/>
      <c r="D120"/>
      <c r="E120"/>
      <c r="F120"/>
      <c r="H120"/>
      <c r="I120"/>
      <c r="J120" s="69"/>
      <c r="K120" s="69"/>
    </row>
    <row r="121" spans="1:11" x14ac:dyDescent="0.25">
      <c r="A121"/>
      <c r="B121"/>
      <c r="C121"/>
      <c r="D121"/>
      <c r="E121"/>
      <c r="F121"/>
      <c r="H121"/>
      <c r="I121"/>
      <c r="J121"/>
      <c r="K121"/>
    </row>
    <row r="122" spans="1:11" x14ac:dyDescent="0.25">
      <c r="A122"/>
      <c r="B122"/>
      <c r="C122"/>
      <c r="D122"/>
      <c r="E122"/>
      <c r="F122"/>
      <c r="G122"/>
      <c r="H122"/>
      <c r="I122"/>
      <c r="J122"/>
      <c r="K122"/>
    </row>
    <row r="123" spans="1:11" x14ac:dyDescent="0.25">
      <c r="A123"/>
      <c r="B123"/>
      <c r="C123"/>
      <c r="D123"/>
      <c r="E123"/>
      <c r="F123"/>
      <c r="G123"/>
      <c r="H123"/>
      <c r="I123"/>
      <c r="J123"/>
      <c r="K123"/>
    </row>
    <row r="124" spans="1:11" x14ac:dyDescent="0.25">
      <c r="A124"/>
      <c r="B124"/>
      <c r="C124"/>
      <c r="D124"/>
      <c r="E124"/>
      <c r="F124"/>
      <c r="G124"/>
      <c r="H124"/>
      <c r="I124" s="69"/>
      <c r="J124" s="69"/>
    </row>
    <row r="125" spans="1:11" x14ac:dyDescent="0.25">
      <c r="A125"/>
      <c r="B125" s="69"/>
      <c r="C125" s="69"/>
      <c r="D125"/>
      <c r="E125"/>
      <c r="F125"/>
      <c r="G125"/>
      <c r="H125"/>
      <c r="I125" s="69"/>
      <c r="J125" s="69"/>
    </row>
    <row r="126" spans="1:11" x14ac:dyDescent="0.25">
      <c r="A126"/>
      <c r="B126"/>
      <c r="C126"/>
      <c r="D126"/>
      <c r="F126"/>
      <c r="G126"/>
      <c r="H126"/>
      <c r="I126"/>
      <c r="J126"/>
    </row>
    <row r="127" spans="1:11" x14ac:dyDescent="0.25">
      <c r="A127"/>
      <c r="B127"/>
      <c r="C127"/>
      <c r="D127"/>
      <c r="F127"/>
      <c r="G127"/>
      <c r="H127"/>
      <c r="I127"/>
      <c r="J127"/>
    </row>
    <row r="128" spans="1:11" x14ac:dyDescent="0.25">
      <c r="A128"/>
      <c r="B128"/>
      <c r="C128"/>
      <c r="D128"/>
      <c r="F128"/>
      <c r="G128"/>
      <c r="H128"/>
      <c r="I128"/>
      <c r="J128"/>
    </row>
    <row r="129" spans="1:10" x14ac:dyDescent="0.25">
      <c r="A129"/>
      <c r="B129" s="69"/>
      <c r="C129" s="69"/>
      <c r="D129"/>
      <c r="F129"/>
      <c r="G129"/>
      <c r="H129"/>
      <c r="I129"/>
      <c r="J129"/>
    </row>
    <row r="130" spans="1:10" x14ac:dyDescent="0.25">
      <c r="A130"/>
      <c r="B130" s="69"/>
      <c r="C130" s="69"/>
      <c r="D130"/>
      <c r="F130"/>
      <c r="G130"/>
      <c r="H130"/>
      <c r="I130"/>
      <c r="J130"/>
    </row>
    <row r="131" spans="1:10" x14ac:dyDescent="0.25">
      <c r="A131"/>
      <c r="B131" s="69"/>
      <c r="C131" s="69"/>
      <c r="D131"/>
      <c r="F131"/>
    </row>
    <row r="132" spans="1:10" x14ac:dyDescent="0.25">
      <c r="A132"/>
      <c r="B132"/>
      <c r="C132"/>
      <c r="D132"/>
      <c r="F132"/>
    </row>
    <row r="133" spans="1:10" x14ac:dyDescent="0.25">
      <c r="A133"/>
      <c r="B133" s="69"/>
      <c r="C133" s="69"/>
      <c r="D133"/>
      <c r="F133"/>
    </row>
    <row r="134" spans="1:10" x14ac:dyDescent="0.25">
      <c r="A134"/>
      <c r="B134" s="69"/>
      <c r="C134" s="69"/>
      <c r="D134"/>
      <c r="F134"/>
    </row>
    <row r="135" spans="1:10" x14ac:dyDescent="0.25">
      <c r="A135"/>
      <c r="B135" s="69"/>
      <c r="C135" s="69"/>
      <c r="D135"/>
      <c r="F135"/>
    </row>
    <row r="136" spans="1:10" x14ac:dyDescent="0.25">
      <c r="A136"/>
      <c r="B136"/>
      <c r="C136"/>
      <c r="D136"/>
      <c r="F136"/>
    </row>
    <row r="137" spans="1:10" x14ac:dyDescent="0.25">
      <c r="A137"/>
      <c r="B137" s="69"/>
      <c r="C137" s="69"/>
      <c r="D137"/>
      <c r="F137"/>
    </row>
    <row r="138" spans="1:10" x14ac:dyDescent="0.25">
      <c r="A138"/>
      <c r="B138" s="69"/>
      <c r="C138" s="69"/>
      <c r="D138"/>
      <c r="F138"/>
    </row>
  </sheetData>
  <mergeCells count="2">
    <mergeCell ref="N52:N53"/>
    <mergeCell ref="G52:G53"/>
  </mergeCells>
  <phoneticPr fontId="0" type="noConversion"/>
  <hyperlinks>
    <hyperlink ref="A2" location="Innhold!A80" display="Tilbake til innholdsfortegnelsen" xr:uid="{00000000-0004-0000-1600-000000000000}"/>
  </hyperlinks>
  <pageMargins left="0.78740157480314965" right="0.70866141732283472" top="0.78740157480314965" bottom="0.19685039370078741" header="3.937007874015748E-2" footer="3.937007874015748E-2"/>
  <pageSetup paperSize="9" scale="9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37"/>
  <sheetViews>
    <sheetView showGridLines="0" showRowColHeaders="0" zoomScale="80" zoomScaleNormal="80" workbookViewId="0"/>
  </sheetViews>
  <sheetFormatPr defaultColWidth="11.5" defaultRowHeight="15.65" customHeight="1" x14ac:dyDescent="0.25"/>
  <cols>
    <col min="1" max="1" width="27.125" style="1" customWidth="1"/>
    <col min="2" max="4" width="10.625" style="1" customWidth="1"/>
    <col min="5" max="7" width="7.625" style="1" customWidth="1"/>
    <col min="8" max="16384" width="11.5" style="1"/>
  </cols>
  <sheetData>
    <row r="1" spans="1:7" ht="5.95" customHeight="1" x14ac:dyDescent="0.25"/>
    <row r="2" spans="1:7" ht="15.65" customHeight="1" x14ac:dyDescent="0.25">
      <c r="A2" s="92" t="s">
        <v>0</v>
      </c>
      <c r="B2" s="2"/>
      <c r="C2" s="2"/>
      <c r="D2" s="2"/>
      <c r="E2" s="2"/>
      <c r="F2" s="2"/>
    </row>
    <row r="3" spans="1:7" ht="5.95" customHeight="1" x14ac:dyDescent="0.25"/>
    <row r="4" spans="1:7" ht="15.65" customHeight="1" x14ac:dyDescent="0.25">
      <c r="A4" s="2"/>
      <c r="B4" s="2"/>
      <c r="C4" s="2"/>
      <c r="D4" s="2"/>
      <c r="E4" s="2"/>
      <c r="F4" s="2"/>
    </row>
    <row r="5" spans="1:7" ht="15.65" customHeight="1" x14ac:dyDescent="0.25">
      <c r="A5" s="88"/>
      <c r="B5" s="74"/>
      <c r="C5" s="74"/>
      <c r="D5" s="74"/>
      <c r="E5" s="74"/>
      <c r="F5" s="74"/>
      <c r="G5" s="74"/>
    </row>
    <row r="6" spans="1:7" ht="15.65" customHeight="1" x14ac:dyDescent="0.25">
      <c r="A6" s="88"/>
      <c r="B6" s="74"/>
      <c r="C6" s="74"/>
      <c r="D6" s="74"/>
      <c r="E6" s="74"/>
      <c r="F6" s="74"/>
      <c r="G6" s="74"/>
    </row>
    <row r="7" spans="1:7" ht="15.65" customHeight="1" x14ac:dyDescent="0.25">
      <c r="A7" s="73"/>
      <c r="B7" s="73"/>
      <c r="C7" s="73"/>
      <c r="D7" s="73"/>
      <c r="E7" s="73"/>
      <c r="F7" s="73"/>
      <c r="G7" s="73"/>
    </row>
    <row r="8" spans="1:7" ht="15.65" customHeight="1" x14ac:dyDescent="0.25">
      <c r="A8" s="73"/>
      <c r="B8" s="73"/>
      <c r="C8" s="73"/>
      <c r="D8" s="73"/>
      <c r="E8" s="73"/>
      <c r="F8" s="73"/>
      <c r="G8" s="73"/>
    </row>
    <row r="9" spans="1:7" ht="15.65" customHeight="1" x14ac:dyDescent="0.25">
      <c r="A9" s="73"/>
      <c r="B9" s="73"/>
      <c r="C9" s="73"/>
      <c r="D9" s="73"/>
      <c r="E9" s="73"/>
      <c r="F9" s="73"/>
      <c r="G9" s="73"/>
    </row>
    <row r="10" spans="1:7" ht="15.65" customHeight="1" x14ac:dyDescent="0.25">
      <c r="A10" s="73"/>
      <c r="B10" s="73"/>
      <c r="C10" s="73"/>
      <c r="D10" s="73"/>
      <c r="E10" s="73"/>
      <c r="F10" s="73"/>
      <c r="G10" s="73"/>
    </row>
    <row r="11" spans="1:7" ht="15.65" customHeight="1" x14ac:dyDescent="0.25">
      <c r="A11" s="73"/>
      <c r="B11" s="73"/>
      <c r="C11" s="73"/>
      <c r="D11" s="73"/>
      <c r="E11" s="73"/>
      <c r="F11" s="73"/>
      <c r="G11" s="73"/>
    </row>
    <row r="12" spans="1:7" ht="15.65" customHeight="1" x14ac:dyDescent="0.25">
      <c r="A12" s="73"/>
      <c r="B12" s="73"/>
      <c r="C12" s="73"/>
      <c r="D12" s="73"/>
      <c r="E12" s="73"/>
      <c r="F12" s="73"/>
      <c r="G12" s="73"/>
    </row>
    <row r="13" spans="1:7" ht="15.65" customHeight="1" x14ac:dyDescent="0.25">
      <c r="A13" s="73"/>
      <c r="B13" s="73"/>
      <c r="C13" s="73"/>
      <c r="D13" s="73"/>
      <c r="E13" s="73"/>
      <c r="F13" s="73"/>
      <c r="G13" s="73"/>
    </row>
    <row r="14" spans="1:7" ht="15.65" customHeight="1" x14ac:dyDescent="0.25">
      <c r="A14" s="73"/>
      <c r="B14" s="73"/>
      <c r="C14" s="73"/>
      <c r="D14" s="73"/>
      <c r="E14" s="73"/>
      <c r="F14" s="73"/>
      <c r="G14" s="73"/>
    </row>
    <row r="15" spans="1:7" ht="15.65" customHeight="1" x14ac:dyDescent="0.25">
      <c r="A15" s="73"/>
      <c r="B15" s="73"/>
      <c r="C15" s="73"/>
      <c r="D15" s="73"/>
      <c r="E15" s="73"/>
      <c r="F15" s="73"/>
      <c r="G15" s="73"/>
    </row>
    <row r="16" spans="1:7" ht="15.65" customHeight="1" x14ac:dyDescent="0.25">
      <c r="A16" s="73"/>
      <c r="B16" s="73"/>
      <c r="C16" s="73"/>
      <c r="D16" s="73"/>
      <c r="E16" s="73"/>
      <c r="F16" s="73"/>
      <c r="G16" s="73"/>
    </row>
    <row r="17" spans="1:13" ht="15.65" customHeight="1" x14ac:dyDescent="0.25">
      <c r="A17" s="73"/>
      <c r="B17" s="73"/>
      <c r="C17" s="73"/>
      <c r="D17" s="73"/>
      <c r="E17" s="73"/>
      <c r="F17" s="73"/>
      <c r="G17" s="73"/>
    </row>
    <row r="18" spans="1:13" ht="15.65" customHeight="1" x14ac:dyDescent="0.25">
      <c r="A18" s="73"/>
      <c r="B18" s="73"/>
      <c r="C18" s="73"/>
      <c r="D18" s="73"/>
      <c r="E18" s="73"/>
      <c r="F18" s="73"/>
      <c r="G18" s="73"/>
    </row>
    <row r="19" spans="1:13" ht="15.65" customHeight="1" x14ac:dyDescent="0.25">
      <c r="A19" s="73"/>
      <c r="B19" s="73"/>
      <c r="C19" s="73"/>
      <c r="D19" s="73"/>
      <c r="E19" s="73"/>
      <c r="F19" s="73"/>
      <c r="G19" s="73"/>
    </row>
    <row r="20" spans="1:13" ht="15.65" customHeight="1" x14ac:dyDescent="0.25">
      <c r="A20" s="73"/>
      <c r="B20" s="73"/>
      <c r="C20" s="73"/>
      <c r="D20" s="73"/>
      <c r="E20" s="73"/>
      <c r="F20" s="73"/>
      <c r="G20" s="73"/>
    </row>
    <row r="21" spans="1:13" ht="15.65" customHeight="1" x14ac:dyDescent="0.25">
      <c r="A21" s="73"/>
      <c r="B21" s="73"/>
      <c r="C21" s="73"/>
      <c r="D21" s="73"/>
      <c r="E21" s="73"/>
      <c r="F21" s="73"/>
      <c r="G21" s="73"/>
    </row>
    <row r="22" spans="1:13" ht="15.65" customHeight="1" x14ac:dyDescent="0.25">
      <c r="A22" s="73"/>
      <c r="B22" s="73"/>
      <c r="C22" s="73"/>
      <c r="D22" s="73"/>
      <c r="E22" s="73"/>
      <c r="F22" s="73"/>
      <c r="G22" s="73"/>
    </row>
    <row r="23" spans="1:13" ht="15.65" customHeight="1" x14ac:dyDescent="0.25">
      <c r="A23" s="73"/>
      <c r="B23" s="73"/>
      <c r="C23" s="73"/>
      <c r="D23" s="73"/>
      <c r="E23" s="73"/>
      <c r="F23" s="73"/>
      <c r="G23" s="73"/>
    </row>
    <row r="24" spans="1:13" ht="15.65" customHeight="1" x14ac:dyDescent="0.25">
      <c r="A24" s="73"/>
      <c r="B24" s="73"/>
      <c r="C24" s="73"/>
      <c r="D24" s="73"/>
      <c r="E24" s="73"/>
      <c r="F24" s="73"/>
      <c r="G24" s="73"/>
    </row>
    <row r="25" spans="1:13" ht="15.65" customHeight="1" x14ac:dyDescent="0.25">
      <c r="A25" s="73"/>
      <c r="B25" s="73"/>
      <c r="C25" s="73"/>
      <c r="D25" s="73"/>
      <c r="E25" s="73"/>
      <c r="F25" s="73"/>
      <c r="G25" s="73"/>
    </row>
    <row r="26" spans="1:13" ht="15.65" customHeight="1" x14ac:dyDescent="0.25">
      <c r="A26" s="73"/>
      <c r="B26" s="73"/>
      <c r="C26" s="73"/>
      <c r="D26" s="73"/>
      <c r="E26" s="73"/>
      <c r="F26" s="73"/>
      <c r="G26" s="73"/>
    </row>
    <row r="27" spans="1:13" ht="15.65" customHeight="1" x14ac:dyDescent="0.25">
      <c r="A27" s="73"/>
      <c r="B27" s="73"/>
      <c r="C27" s="73"/>
      <c r="D27" s="73"/>
      <c r="E27" s="73"/>
      <c r="F27" s="73"/>
      <c r="G27" s="73"/>
    </row>
    <row r="28" spans="1:13" ht="15.65" customHeight="1" x14ac:dyDescent="0.25">
      <c r="A28" s="73"/>
      <c r="B28" s="73"/>
      <c r="C28" s="73"/>
      <c r="D28" s="73"/>
      <c r="E28" s="73"/>
      <c r="F28" s="73"/>
      <c r="G28" s="73"/>
      <c r="M28" s="77"/>
    </row>
    <row r="29" spans="1:13" ht="15.65" customHeight="1" x14ac:dyDescent="0.25">
      <c r="A29" s="73"/>
      <c r="B29" s="73"/>
      <c r="C29" s="73"/>
      <c r="D29" s="73"/>
      <c r="E29" s="73"/>
      <c r="F29" s="73"/>
      <c r="G29" s="73"/>
      <c r="M29" s="77"/>
    </row>
    <row r="30" spans="1:13" ht="15.65" customHeight="1" x14ac:dyDescent="0.25">
      <c r="A30" s="73"/>
      <c r="B30" s="73"/>
      <c r="C30" s="73"/>
      <c r="D30" s="73"/>
      <c r="E30" s="73"/>
      <c r="F30" s="73"/>
      <c r="G30" s="73"/>
      <c r="M30" s="77"/>
    </row>
    <row r="31" spans="1:13" ht="15.65" customHeight="1" x14ac:dyDescent="0.25">
      <c r="A31" s="73"/>
      <c r="B31" s="73"/>
      <c r="C31" s="73"/>
      <c r="D31" s="73"/>
      <c r="E31" s="73"/>
      <c r="F31" s="73"/>
      <c r="G31" s="73"/>
      <c r="M31" s="77"/>
    </row>
    <row r="32" spans="1:13" ht="15.65" customHeight="1" x14ac:dyDescent="0.25">
      <c r="A32" s="73"/>
      <c r="B32" s="73"/>
      <c r="C32" s="73"/>
      <c r="D32" s="73"/>
      <c r="E32" s="73"/>
      <c r="F32" s="73"/>
      <c r="G32" s="73"/>
      <c r="M32" s="77"/>
    </row>
    <row r="33" spans="1:13" ht="15.65" customHeight="1" x14ac:dyDescent="0.25">
      <c r="A33" s="73"/>
      <c r="B33" s="73"/>
      <c r="C33" s="73"/>
      <c r="D33" s="73"/>
      <c r="E33" s="73"/>
      <c r="F33" s="73"/>
      <c r="G33" s="73"/>
      <c r="M33" s="77"/>
    </row>
    <row r="34" spans="1:13" ht="15.65" customHeight="1" x14ac:dyDescent="0.25">
      <c r="A34" s="73"/>
      <c r="B34" s="73"/>
      <c r="C34" s="73"/>
      <c r="D34" s="73"/>
      <c r="E34" s="73"/>
      <c r="F34" s="73"/>
      <c r="G34" s="73"/>
      <c r="M34" s="77"/>
    </row>
    <row r="35" spans="1:13" ht="15.65" customHeight="1" x14ac:dyDescent="0.25">
      <c r="A35" s="73"/>
      <c r="B35" s="73"/>
      <c r="C35" s="73"/>
      <c r="D35" s="73"/>
      <c r="E35" s="73"/>
      <c r="F35" s="73"/>
      <c r="G35" s="73"/>
      <c r="M35" s="77"/>
    </row>
    <row r="36" spans="1:13" ht="15.65" customHeight="1" x14ac:dyDescent="0.25">
      <c r="A36" s="73"/>
      <c r="B36" s="73"/>
      <c r="C36" s="73"/>
      <c r="D36" s="73"/>
      <c r="E36" s="73"/>
      <c r="F36" s="73"/>
      <c r="G36" s="73"/>
      <c r="M36" s="77"/>
    </row>
    <row r="37" spans="1:13" ht="15.65" customHeight="1" x14ac:dyDescent="0.25">
      <c r="A37" s="73"/>
      <c r="B37" s="73"/>
      <c r="C37" s="73"/>
      <c r="D37" s="73"/>
      <c r="E37" s="73"/>
      <c r="F37" s="73"/>
      <c r="G37" s="73"/>
      <c r="M37" s="77"/>
    </row>
    <row r="38" spans="1:13" ht="15.65" customHeight="1" x14ac:dyDescent="0.25">
      <c r="A38" s="73"/>
      <c r="B38" s="73"/>
      <c r="C38" s="73"/>
      <c r="D38" s="73"/>
      <c r="E38" s="73"/>
      <c r="F38" s="73"/>
      <c r="G38" s="73"/>
      <c r="M38" s="77"/>
    </row>
    <row r="39" spans="1:13" ht="15.65" customHeight="1" x14ac:dyDescent="0.25">
      <c r="A39" s="73"/>
      <c r="B39" s="73"/>
      <c r="C39" s="73"/>
      <c r="D39" s="73"/>
      <c r="E39" s="73"/>
      <c r="F39" s="73"/>
      <c r="G39" s="73"/>
      <c r="M39" s="77"/>
    </row>
    <row r="40" spans="1:13" ht="15.65" customHeight="1" x14ac:dyDescent="0.25">
      <c r="A40" s="73"/>
      <c r="B40" s="73"/>
      <c r="C40" s="73"/>
      <c r="D40" s="73"/>
      <c r="E40" s="73"/>
      <c r="F40" s="73"/>
      <c r="G40" s="73"/>
      <c r="M40" s="77"/>
    </row>
    <row r="41" spans="1:13" ht="15.65" customHeight="1" x14ac:dyDescent="0.25">
      <c r="A41" s="73"/>
      <c r="B41" s="73"/>
      <c r="C41" s="73"/>
      <c r="D41" s="73"/>
      <c r="E41" s="73"/>
      <c r="F41" s="73"/>
      <c r="G41" s="73"/>
      <c r="M41" s="77"/>
    </row>
    <row r="42" spans="1:13" ht="15.65" customHeight="1" x14ac:dyDescent="0.25">
      <c r="A42" s="73"/>
      <c r="B42" s="73"/>
      <c r="C42" s="73"/>
      <c r="D42" s="73"/>
      <c r="E42" s="73"/>
      <c r="F42" s="73"/>
      <c r="G42" s="73"/>
      <c r="M42" s="77"/>
    </row>
    <row r="43" spans="1:13" ht="15.65" customHeight="1" x14ac:dyDescent="0.25">
      <c r="A43" s="73"/>
      <c r="B43" s="73"/>
      <c r="C43" s="73"/>
      <c r="D43" s="73"/>
      <c r="E43" s="73"/>
      <c r="F43" s="73"/>
      <c r="G43" s="73"/>
      <c r="M43" s="77"/>
    </row>
    <row r="44" spans="1:13" ht="15.65" customHeight="1" x14ac:dyDescent="0.25">
      <c r="A44" s="73"/>
      <c r="B44" s="73"/>
      <c r="C44" s="73"/>
      <c r="D44" s="73"/>
      <c r="E44" s="73"/>
      <c r="F44" s="73"/>
      <c r="G44" s="73"/>
      <c r="M44" s="77"/>
    </row>
    <row r="45" spans="1:13" ht="15.65" customHeight="1" x14ac:dyDescent="0.25">
      <c r="A45" s="73"/>
      <c r="B45" s="73"/>
      <c r="C45" s="73"/>
      <c r="D45" s="73"/>
      <c r="E45" s="73"/>
      <c r="F45" s="73"/>
      <c r="G45" s="73"/>
      <c r="M45" s="77"/>
    </row>
    <row r="46" spans="1:13" ht="15.65" customHeight="1" x14ac:dyDescent="0.25">
      <c r="A46" s="93"/>
      <c r="B46" s="73"/>
      <c r="C46" s="73"/>
      <c r="D46" s="73"/>
      <c r="E46" s="73"/>
      <c r="F46" s="73"/>
      <c r="G46" s="73"/>
      <c r="M46" s="77"/>
    </row>
    <row r="47" spans="1:13" ht="15.65" customHeight="1" x14ac:dyDescent="0.25">
      <c r="A47" s="93"/>
      <c r="B47" s="73"/>
      <c r="C47" s="73"/>
      <c r="D47" s="73"/>
      <c r="E47" s="73"/>
      <c r="F47" s="73"/>
      <c r="G47" s="73"/>
      <c r="M47" s="77"/>
    </row>
    <row r="48" spans="1:13" ht="15.65" customHeight="1" x14ac:dyDescent="0.25">
      <c r="A48" s="93"/>
      <c r="B48" s="73"/>
      <c r="C48" s="73"/>
      <c r="D48" s="73"/>
      <c r="E48" s="73"/>
      <c r="F48" s="73"/>
      <c r="G48" s="73"/>
      <c r="M48" s="77"/>
    </row>
    <row r="49" spans="1:13" ht="15.65" customHeight="1" x14ac:dyDescent="0.25">
      <c r="A49" s="93"/>
      <c r="B49" s="73"/>
      <c r="C49" s="73"/>
      <c r="D49" s="73"/>
      <c r="E49" s="73"/>
      <c r="F49" s="73"/>
      <c r="G49" s="73"/>
      <c r="M49" s="77"/>
    </row>
    <row r="50" spans="1:13" ht="15.65" customHeight="1" x14ac:dyDescent="0.25">
      <c r="A50" s="52"/>
      <c r="B50" s="52"/>
      <c r="C50" s="52"/>
      <c r="D50" s="52"/>
      <c r="E50" s="52"/>
      <c r="F50" s="52"/>
      <c r="G50" s="52"/>
      <c r="H50" s="77"/>
    </row>
    <row r="51" spans="1:13" ht="15.65" customHeight="1" x14ac:dyDescent="0.25">
      <c r="A51" s="54" t="str">
        <f>+Innhold!B123</f>
        <v>Finans Norge / Skadestatistikk</v>
      </c>
      <c r="G51" s="193">
        <v>3</v>
      </c>
      <c r="H51" s="77"/>
    </row>
    <row r="52" spans="1:13" ht="15.65" customHeight="1" x14ac:dyDescent="0.25">
      <c r="A52" s="54" t="str">
        <f>+Innhold!B124</f>
        <v>Skadestatistikk for landbasert forsikring 3. kvartal 2018</v>
      </c>
      <c r="G52" s="194"/>
      <c r="H52" s="77"/>
    </row>
    <row r="53" spans="1:13" ht="15.65" customHeight="1" x14ac:dyDescent="0.25">
      <c r="H53" s="77"/>
    </row>
    <row r="59" spans="1:13" ht="15.65" customHeight="1" x14ac:dyDescent="0.25">
      <c r="J59"/>
      <c r="K59"/>
      <c r="L59"/>
    </row>
    <row r="60" spans="1:13" ht="15.65" customHeight="1" x14ac:dyDescent="0.25">
      <c r="J60" s="71"/>
      <c r="K60" s="72"/>
      <c r="L60" s="72"/>
    </row>
    <row r="61" spans="1:13" ht="15.65" customHeight="1" x14ac:dyDescent="0.25">
      <c r="J61" s="70"/>
      <c r="K61"/>
      <c r="L61"/>
    </row>
    <row r="62" spans="1:13" ht="15.65" customHeight="1" x14ac:dyDescent="0.25">
      <c r="J62" s="69"/>
      <c r="K62" s="69"/>
      <c r="L62" s="69"/>
    </row>
    <row r="63" spans="1:13" ht="15.65" customHeight="1" x14ac:dyDescent="0.25">
      <c r="J63" s="69"/>
      <c r="K63" s="69"/>
      <c r="L63" s="69"/>
    </row>
    <row r="64" spans="1:13" ht="15.65" customHeight="1" x14ac:dyDescent="0.25">
      <c r="J64" s="69"/>
      <c r="K64" s="69"/>
      <c r="L64" s="69"/>
    </row>
    <row r="65" spans="1:12" ht="15.65" customHeight="1" x14ac:dyDescent="0.25">
      <c r="J65" s="69"/>
      <c r="K65" s="69"/>
      <c r="L65" s="69"/>
    </row>
    <row r="66" spans="1:12" ht="15.65" customHeight="1" x14ac:dyDescent="0.25">
      <c r="J66" s="69"/>
      <c r="K66" s="69"/>
      <c r="L66" s="69"/>
    </row>
    <row r="67" spans="1:12" ht="15.65" customHeight="1" x14ac:dyDescent="0.25">
      <c r="J67" s="69"/>
      <c r="K67" s="69"/>
      <c r="L67" s="69"/>
    </row>
    <row r="68" spans="1:12" ht="15.65" customHeight="1" x14ac:dyDescent="0.25">
      <c r="J68" s="69"/>
      <c r="K68" s="69"/>
      <c r="L68" s="69"/>
    </row>
    <row r="69" spans="1:12" ht="15.65" customHeight="1" x14ac:dyDescent="0.25">
      <c r="J69"/>
      <c r="K69"/>
      <c r="L69"/>
    </row>
    <row r="70" spans="1:12" ht="15.65" customHeight="1" x14ac:dyDescent="0.25">
      <c r="J70"/>
      <c r="K70"/>
      <c r="L70"/>
    </row>
    <row r="71" spans="1:12" ht="15.65" customHeight="1" x14ac:dyDescent="0.25">
      <c r="J71"/>
      <c r="K71"/>
      <c r="L71"/>
    </row>
    <row r="72" spans="1:12" ht="15.65" customHeight="1" x14ac:dyDescent="0.25">
      <c r="A72"/>
      <c r="B72"/>
      <c r="C72"/>
      <c r="D72"/>
      <c r="E72"/>
      <c r="F72"/>
      <c r="H72"/>
      <c r="I72"/>
      <c r="J72"/>
      <c r="K72"/>
      <c r="L72"/>
    </row>
    <row r="73" spans="1:12" ht="15.65" customHeight="1" x14ac:dyDescent="0.25">
      <c r="A73"/>
      <c r="B73"/>
      <c r="C73"/>
      <c r="D73"/>
      <c r="E73"/>
      <c r="F73"/>
      <c r="H73"/>
      <c r="I73"/>
      <c r="J73"/>
      <c r="K73"/>
      <c r="L73"/>
    </row>
    <row r="74" spans="1:12" ht="15.65" customHeight="1" x14ac:dyDescent="0.25">
      <c r="A74"/>
      <c r="B74"/>
      <c r="C74"/>
      <c r="D74"/>
      <c r="E74"/>
      <c r="F74"/>
      <c r="H74"/>
      <c r="I74"/>
      <c r="J74"/>
      <c r="K74"/>
      <c r="L74"/>
    </row>
    <row r="75" spans="1:12" ht="15.65" customHeight="1" x14ac:dyDescent="0.25">
      <c r="A75"/>
      <c r="B75"/>
      <c r="C75"/>
      <c r="D75"/>
      <c r="E75"/>
      <c r="F75"/>
      <c r="H75"/>
      <c r="I75"/>
      <c r="J75"/>
      <c r="K75"/>
      <c r="L75"/>
    </row>
    <row r="76" spans="1:12" ht="15.65" customHeight="1" x14ac:dyDescent="0.25">
      <c r="A76"/>
      <c r="B76"/>
      <c r="C76"/>
      <c r="D76"/>
      <c r="E76"/>
      <c r="F76"/>
      <c r="H76"/>
      <c r="I76"/>
      <c r="J76"/>
      <c r="K76"/>
      <c r="L76"/>
    </row>
    <row r="77" spans="1:12" ht="15.65" customHeight="1" x14ac:dyDescent="0.25">
      <c r="A77"/>
      <c r="B77"/>
      <c r="C77"/>
      <c r="D77"/>
      <c r="E77"/>
      <c r="F77"/>
      <c r="H77"/>
      <c r="I77"/>
      <c r="J77"/>
      <c r="K77"/>
      <c r="L77"/>
    </row>
    <row r="78" spans="1:12" ht="15.65" customHeight="1" x14ac:dyDescent="0.25">
      <c r="A78"/>
      <c r="B78"/>
      <c r="C78"/>
      <c r="D78"/>
      <c r="E78"/>
      <c r="F78"/>
      <c r="H78"/>
      <c r="I78"/>
      <c r="J78"/>
      <c r="K78"/>
      <c r="L78"/>
    </row>
    <row r="79" spans="1:12" ht="15.65" customHeight="1" x14ac:dyDescent="0.25">
      <c r="A79"/>
      <c r="B79"/>
      <c r="C79"/>
      <c r="D79"/>
      <c r="E79"/>
      <c r="F79"/>
      <c r="H79"/>
      <c r="I79"/>
      <c r="J79"/>
      <c r="K79"/>
      <c r="L79"/>
    </row>
    <row r="80" spans="1:12" ht="15.65" customHeight="1" x14ac:dyDescent="0.25">
      <c r="A80"/>
      <c r="B80"/>
      <c r="C80"/>
      <c r="D80"/>
      <c r="E80"/>
      <c r="F80"/>
      <c r="H80"/>
      <c r="I80"/>
      <c r="J80"/>
      <c r="K80"/>
      <c r="L80"/>
    </row>
    <row r="81" spans="1:12" ht="15.65" customHeight="1" x14ac:dyDescent="0.25">
      <c r="A81"/>
      <c r="B81"/>
      <c r="C81"/>
      <c r="D81"/>
      <c r="E81"/>
      <c r="F81"/>
      <c r="H81"/>
      <c r="I81"/>
      <c r="J81"/>
      <c r="K81"/>
      <c r="L81"/>
    </row>
    <row r="82" spans="1:12" ht="15.65" customHeight="1" x14ac:dyDescent="0.25">
      <c r="A82"/>
      <c r="B82"/>
      <c r="C82"/>
      <c r="D82"/>
      <c r="E82"/>
      <c r="F82"/>
      <c r="H82"/>
      <c r="I82"/>
      <c r="J82"/>
      <c r="K82"/>
      <c r="L82"/>
    </row>
    <row r="83" spans="1:12" ht="15.65" customHeight="1" x14ac:dyDescent="0.25">
      <c r="A83"/>
      <c r="B83"/>
      <c r="C83"/>
      <c r="D83"/>
      <c r="E83"/>
      <c r="F83"/>
      <c r="H83"/>
      <c r="I83"/>
      <c r="J83"/>
      <c r="K83"/>
      <c r="L83"/>
    </row>
    <row r="84" spans="1:12" ht="15.65" customHeight="1" x14ac:dyDescent="0.25">
      <c r="A84"/>
      <c r="B84"/>
      <c r="C84"/>
      <c r="D84"/>
      <c r="E84"/>
      <c r="F84"/>
      <c r="H84"/>
      <c r="I84"/>
      <c r="J84"/>
      <c r="K84"/>
      <c r="L84"/>
    </row>
    <row r="85" spans="1:12" ht="15.65" customHeight="1" x14ac:dyDescent="0.25">
      <c r="A85"/>
      <c r="B85"/>
      <c r="C85"/>
      <c r="D85"/>
      <c r="E85"/>
      <c r="F85"/>
      <c r="H85"/>
      <c r="I85"/>
      <c r="J85"/>
      <c r="K85"/>
      <c r="L85"/>
    </row>
    <row r="86" spans="1:12" ht="15.65" customHeight="1" x14ac:dyDescent="0.25">
      <c r="A86"/>
      <c r="B86"/>
      <c r="C86"/>
      <c r="D86"/>
      <c r="E86"/>
      <c r="F86"/>
      <c r="H86"/>
      <c r="I86"/>
      <c r="J86"/>
      <c r="K86"/>
      <c r="L86"/>
    </row>
    <row r="87" spans="1:12" ht="15.65" customHeight="1" x14ac:dyDescent="0.25">
      <c r="A87"/>
      <c r="B87"/>
      <c r="C87"/>
      <c r="D87"/>
      <c r="E87"/>
      <c r="F87"/>
      <c r="H87"/>
      <c r="I87"/>
      <c r="J87"/>
      <c r="K87"/>
      <c r="L87"/>
    </row>
    <row r="88" spans="1:12" ht="15.65" customHeight="1" x14ac:dyDescent="0.25">
      <c r="A88"/>
      <c r="B88"/>
      <c r="C88"/>
      <c r="D88"/>
      <c r="E88"/>
      <c r="F88"/>
      <c r="H88"/>
      <c r="I88"/>
      <c r="J88"/>
      <c r="K88"/>
      <c r="L88"/>
    </row>
    <row r="89" spans="1:12" ht="15.65" customHeight="1" x14ac:dyDescent="0.25">
      <c r="A89"/>
      <c r="B89"/>
      <c r="C89"/>
      <c r="D89"/>
      <c r="E89"/>
      <c r="F89"/>
      <c r="H89"/>
      <c r="I89"/>
      <c r="J89"/>
      <c r="K89"/>
      <c r="L89"/>
    </row>
    <row r="90" spans="1:12" ht="15.65" customHeight="1" x14ac:dyDescent="0.25">
      <c r="A90"/>
      <c r="B90"/>
      <c r="C90"/>
      <c r="D90"/>
      <c r="E90"/>
      <c r="F90"/>
      <c r="H90"/>
      <c r="I90"/>
      <c r="J90"/>
      <c r="K90"/>
      <c r="L90"/>
    </row>
    <row r="91" spans="1:12" ht="15.65" customHeight="1" x14ac:dyDescent="0.25">
      <c r="A91"/>
      <c r="B91"/>
      <c r="C91"/>
      <c r="D91"/>
      <c r="E91"/>
      <c r="F91"/>
      <c r="H91"/>
      <c r="I91"/>
      <c r="J91"/>
      <c r="K91"/>
      <c r="L91"/>
    </row>
    <row r="92" spans="1:12" ht="15.65" customHeight="1" x14ac:dyDescent="0.25">
      <c r="A92"/>
      <c r="B92"/>
      <c r="C92"/>
      <c r="D92"/>
      <c r="E92"/>
      <c r="F92"/>
      <c r="H92"/>
      <c r="I92"/>
      <c r="J92"/>
      <c r="K92"/>
      <c r="L92"/>
    </row>
    <row r="93" spans="1:12" ht="15.65" customHeight="1" x14ac:dyDescent="0.25">
      <c r="A93"/>
      <c r="B93"/>
      <c r="C93"/>
      <c r="D93"/>
      <c r="E93"/>
      <c r="F93"/>
      <c r="H93"/>
      <c r="I93"/>
      <c r="J93"/>
      <c r="K93"/>
      <c r="L93"/>
    </row>
    <row r="94" spans="1:12" ht="15.65" customHeight="1" x14ac:dyDescent="0.25">
      <c r="A94"/>
      <c r="B94"/>
      <c r="C94"/>
      <c r="D94"/>
      <c r="E94"/>
      <c r="F94"/>
      <c r="H94"/>
      <c r="I94"/>
      <c r="J94"/>
      <c r="K94"/>
      <c r="L94"/>
    </row>
    <row r="95" spans="1:12" ht="15.65" customHeight="1" x14ac:dyDescent="0.25">
      <c r="A95"/>
      <c r="B95"/>
      <c r="C95"/>
      <c r="D95"/>
      <c r="E95"/>
      <c r="F95"/>
      <c r="H95"/>
      <c r="I95"/>
      <c r="J95"/>
      <c r="K95"/>
      <c r="L95"/>
    </row>
    <row r="96" spans="1:12" ht="15.65" customHeight="1" x14ac:dyDescent="0.25">
      <c r="A96"/>
      <c r="B96"/>
      <c r="C96"/>
      <c r="D96"/>
      <c r="E96"/>
      <c r="F96"/>
      <c r="H96"/>
      <c r="I96"/>
      <c r="J96"/>
      <c r="K96"/>
      <c r="L96"/>
    </row>
    <row r="97" spans="1:12" ht="15.65" customHeight="1" x14ac:dyDescent="0.25">
      <c r="A97"/>
      <c r="B97"/>
      <c r="C97"/>
      <c r="D97"/>
      <c r="E97"/>
      <c r="F97"/>
      <c r="H97"/>
      <c r="I97"/>
      <c r="J97"/>
      <c r="K97"/>
      <c r="L97"/>
    </row>
    <row r="98" spans="1:12" ht="15.65" customHeight="1" x14ac:dyDescent="0.25">
      <c r="A98"/>
      <c r="B98"/>
      <c r="C98"/>
      <c r="D98"/>
      <c r="E98"/>
      <c r="F98"/>
      <c r="K98"/>
    </row>
    <row r="99" spans="1:12" ht="15.65" customHeight="1" x14ac:dyDescent="0.25">
      <c r="A99"/>
      <c r="B99"/>
      <c r="C99"/>
      <c r="D99"/>
      <c r="E99"/>
      <c r="F99"/>
      <c r="K99"/>
    </row>
    <row r="100" spans="1:12" ht="15.65" customHeight="1" x14ac:dyDescent="0.25">
      <c r="A100"/>
      <c r="B100"/>
      <c r="C100"/>
      <c r="D100"/>
      <c r="E100"/>
      <c r="F100"/>
      <c r="H100" s="68"/>
      <c r="I100"/>
      <c r="J100"/>
      <c r="K100"/>
    </row>
    <row r="101" spans="1:12" ht="15.65" customHeight="1" x14ac:dyDescent="0.25">
      <c r="A101"/>
      <c r="B101"/>
      <c r="C101"/>
      <c r="D101"/>
      <c r="E101"/>
      <c r="F101"/>
      <c r="H101"/>
      <c r="I101"/>
      <c r="J101"/>
      <c r="K101"/>
    </row>
    <row r="102" spans="1:12" ht="15.65" customHeight="1" x14ac:dyDescent="0.25">
      <c r="A102"/>
      <c r="B102"/>
      <c r="C102"/>
      <c r="D102"/>
      <c r="E102"/>
      <c r="F102"/>
      <c r="H102"/>
      <c r="I102"/>
      <c r="J102"/>
      <c r="K102"/>
    </row>
    <row r="103" spans="1:12" ht="15.65" customHeight="1" x14ac:dyDescent="0.25">
      <c r="A103"/>
      <c r="B103"/>
      <c r="C103"/>
      <c r="D103"/>
      <c r="E103"/>
      <c r="F103"/>
      <c r="H103"/>
      <c r="I103"/>
      <c r="J103"/>
      <c r="K103"/>
    </row>
    <row r="104" spans="1:12" ht="15.65" customHeight="1" x14ac:dyDescent="0.25">
      <c r="A104"/>
      <c r="B104"/>
      <c r="C104"/>
      <c r="D104"/>
      <c r="E104"/>
      <c r="F104"/>
      <c r="H104"/>
      <c r="I104" s="69"/>
      <c r="J104" s="69"/>
      <c r="K104" s="69"/>
    </row>
    <row r="105" spans="1:12" ht="15.65" customHeight="1" x14ac:dyDescent="0.25">
      <c r="A105"/>
      <c r="B105"/>
      <c r="C105"/>
      <c r="D105"/>
      <c r="E105"/>
      <c r="F105"/>
      <c r="H105"/>
      <c r="I105" s="69"/>
      <c r="J105" s="69"/>
      <c r="K105" s="69"/>
    </row>
    <row r="106" spans="1:12" ht="15.65" customHeight="1" x14ac:dyDescent="0.25">
      <c r="D106"/>
      <c r="E106"/>
      <c r="F106"/>
      <c r="H106"/>
      <c r="I106" s="69"/>
      <c r="J106" s="69"/>
      <c r="K106" s="69"/>
    </row>
    <row r="107" spans="1:12" ht="15.65" customHeight="1" x14ac:dyDescent="0.25">
      <c r="D107"/>
      <c r="E107"/>
      <c r="F107"/>
      <c r="H107"/>
      <c r="I107"/>
      <c r="J107"/>
      <c r="K107"/>
    </row>
    <row r="108" spans="1:12" ht="15.65" customHeight="1" x14ac:dyDescent="0.25">
      <c r="A108" s="78"/>
      <c r="B108"/>
      <c r="C108"/>
      <c r="D108"/>
      <c r="E108"/>
      <c r="F108"/>
      <c r="H108"/>
      <c r="I108"/>
      <c r="J108"/>
      <c r="K108"/>
    </row>
    <row r="109" spans="1:12" ht="15.65" customHeight="1" x14ac:dyDescent="0.25">
      <c r="A109"/>
      <c r="B109"/>
      <c r="C109"/>
      <c r="D109"/>
      <c r="E109"/>
      <c r="F109"/>
      <c r="H109"/>
      <c r="I109"/>
      <c r="J109"/>
      <c r="K109"/>
    </row>
    <row r="110" spans="1:12" ht="15.65" customHeight="1" x14ac:dyDescent="0.25">
      <c r="A110"/>
      <c r="B110"/>
      <c r="C110"/>
      <c r="D110"/>
      <c r="E110"/>
      <c r="F110"/>
      <c r="H110"/>
      <c r="I110"/>
      <c r="J110"/>
      <c r="K110"/>
    </row>
    <row r="111" spans="1:12" ht="15.65" customHeight="1" x14ac:dyDescent="0.25">
      <c r="A111"/>
      <c r="B111"/>
      <c r="C111"/>
      <c r="D111"/>
      <c r="E111"/>
      <c r="F111"/>
      <c r="H111"/>
      <c r="I111"/>
      <c r="J111"/>
      <c r="K111"/>
    </row>
    <row r="112" spans="1:12" ht="15.65" customHeight="1" x14ac:dyDescent="0.25">
      <c r="A112"/>
      <c r="B112"/>
      <c r="C112"/>
      <c r="D112"/>
      <c r="E112"/>
      <c r="F112"/>
    </row>
    <row r="113" spans="1:11" ht="15.65" customHeight="1" x14ac:dyDescent="0.25">
      <c r="A113"/>
      <c r="B113"/>
      <c r="C113"/>
      <c r="D113"/>
      <c r="E113"/>
      <c r="F113"/>
    </row>
    <row r="114" spans="1:11" ht="15.65" customHeight="1" x14ac:dyDescent="0.25">
      <c r="A114"/>
      <c r="B114"/>
      <c r="C114"/>
      <c r="D114"/>
      <c r="E114"/>
      <c r="F114"/>
      <c r="H114" s="68"/>
      <c r="I114"/>
      <c r="J114"/>
      <c r="K114"/>
    </row>
    <row r="115" spans="1:11" ht="15.65" customHeight="1" x14ac:dyDescent="0.25">
      <c r="A115"/>
      <c r="B115"/>
      <c r="C115"/>
      <c r="D115"/>
      <c r="E115"/>
      <c r="F115"/>
      <c r="H115"/>
      <c r="I115"/>
      <c r="J115"/>
      <c r="K115"/>
    </row>
    <row r="116" spans="1:11" ht="15.65" customHeight="1" x14ac:dyDescent="0.25">
      <c r="A116"/>
      <c r="B116"/>
      <c r="C116"/>
      <c r="D116"/>
      <c r="E116"/>
      <c r="F116"/>
      <c r="H116"/>
      <c r="I116"/>
      <c r="J116"/>
      <c r="K116"/>
    </row>
    <row r="117" spans="1:11" ht="15.65" customHeight="1" x14ac:dyDescent="0.25">
      <c r="A117"/>
      <c r="B117"/>
      <c r="C117"/>
      <c r="D117"/>
      <c r="E117"/>
      <c r="F117"/>
      <c r="H117"/>
      <c r="I117"/>
      <c r="J117" s="69"/>
      <c r="K117" s="69"/>
    </row>
    <row r="118" spans="1:11" ht="15.65" customHeight="1" x14ac:dyDescent="0.25">
      <c r="A118"/>
      <c r="B118"/>
      <c r="C118"/>
      <c r="D118"/>
      <c r="E118"/>
      <c r="F118"/>
      <c r="H118"/>
      <c r="I118"/>
      <c r="J118" s="69"/>
      <c r="K118" s="69"/>
    </row>
    <row r="119" spans="1:11" ht="15.65" customHeight="1" x14ac:dyDescent="0.25">
      <c r="A119"/>
      <c r="B119"/>
      <c r="C119"/>
      <c r="D119"/>
      <c r="E119"/>
      <c r="F119"/>
      <c r="H119"/>
      <c r="I119"/>
      <c r="J119" s="69"/>
      <c r="K119" s="69"/>
    </row>
    <row r="120" spans="1:11" ht="15.65" customHeight="1" x14ac:dyDescent="0.25">
      <c r="A120"/>
      <c r="B120"/>
      <c r="C120"/>
      <c r="D120"/>
      <c r="E120"/>
      <c r="F120"/>
      <c r="H120"/>
      <c r="I120"/>
      <c r="J120"/>
      <c r="K120"/>
    </row>
    <row r="121" spans="1:11" ht="15.65" customHeight="1" x14ac:dyDescent="0.25">
      <c r="A121"/>
      <c r="B121"/>
      <c r="C121"/>
      <c r="D121"/>
      <c r="E121"/>
      <c r="F121"/>
      <c r="G121"/>
      <c r="H121"/>
      <c r="I121"/>
      <c r="J121"/>
      <c r="K121"/>
    </row>
    <row r="122" spans="1:11" ht="15.65" customHeight="1" x14ac:dyDescent="0.25">
      <c r="A122"/>
      <c r="B122"/>
      <c r="C122"/>
      <c r="D122"/>
      <c r="E122"/>
      <c r="F122"/>
      <c r="G122"/>
      <c r="H122"/>
      <c r="I122"/>
      <c r="J122"/>
      <c r="K122"/>
    </row>
    <row r="123" spans="1:11" ht="15.65" customHeight="1" x14ac:dyDescent="0.25">
      <c r="A123"/>
      <c r="B123"/>
      <c r="C123"/>
      <c r="D123"/>
      <c r="E123"/>
      <c r="F123"/>
      <c r="G123"/>
      <c r="H123"/>
      <c r="I123" s="69"/>
      <c r="J123" s="69"/>
    </row>
    <row r="124" spans="1:11" ht="15.65" customHeight="1" x14ac:dyDescent="0.25">
      <c r="A124"/>
      <c r="B124" s="69"/>
      <c r="C124" s="69"/>
      <c r="D124"/>
      <c r="E124"/>
      <c r="F124"/>
      <c r="G124"/>
      <c r="H124"/>
      <c r="I124" s="69"/>
      <c r="J124" s="69"/>
    </row>
    <row r="125" spans="1:11" ht="15.65" customHeight="1" x14ac:dyDescent="0.25">
      <c r="A125"/>
      <c r="B125"/>
      <c r="C125"/>
      <c r="D125"/>
      <c r="F125"/>
      <c r="G125"/>
      <c r="H125"/>
      <c r="I125"/>
      <c r="J125"/>
    </row>
    <row r="126" spans="1:11" ht="15.65" customHeight="1" x14ac:dyDescent="0.25">
      <c r="A126"/>
      <c r="B126"/>
      <c r="C126"/>
      <c r="D126"/>
      <c r="F126"/>
      <c r="G126"/>
      <c r="H126"/>
      <c r="I126"/>
      <c r="J126"/>
    </row>
    <row r="127" spans="1:11" ht="15.65" customHeight="1" x14ac:dyDescent="0.25">
      <c r="A127"/>
      <c r="B127"/>
      <c r="C127"/>
      <c r="D127"/>
      <c r="F127"/>
      <c r="G127"/>
      <c r="H127"/>
      <c r="I127"/>
      <c r="J127"/>
    </row>
    <row r="128" spans="1:11" ht="15.65" customHeight="1" x14ac:dyDescent="0.25">
      <c r="A128"/>
      <c r="B128" s="69"/>
      <c r="C128" s="69"/>
      <c r="D128"/>
      <c r="F128"/>
      <c r="G128"/>
      <c r="H128"/>
      <c r="I128"/>
      <c r="J128"/>
    </row>
    <row r="129" spans="1:10" ht="15.65" customHeight="1" x14ac:dyDescent="0.25">
      <c r="A129"/>
      <c r="B129" s="69"/>
      <c r="C129" s="69"/>
      <c r="D129"/>
      <c r="F129"/>
      <c r="G129"/>
      <c r="H129"/>
      <c r="I129"/>
      <c r="J129"/>
    </row>
    <row r="130" spans="1:10" ht="15.65" customHeight="1" x14ac:dyDescent="0.25">
      <c r="A130"/>
      <c r="B130" s="69"/>
      <c r="C130" s="69"/>
      <c r="D130"/>
      <c r="F130"/>
    </row>
    <row r="131" spans="1:10" ht="15.65" customHeight="1" x14ac:dyDescent="0.25">
      <c r="A131"/>
      <c r="B131"/>
      <c r="C131"/>
      <c r="D131"/>
      <c r="F131"/>
    </row>
    <row r="132" spans="1:10" ht="15.65" customHeight="1" x14ac:dyDescent="0.25">
      <c r="A132"/>
      <c r="B132" s="69"/>
      <c r="C132" s="69"/>
      <c r="D132"/>
      <c r="F132"/>
    </row>
    <row r="133" spans="1:10" ht="15.65" customHeight="1" x14ac:dyDescent="0.25">
      <c r="A133"/>
      <c r="B133" s="69"/>
      <c r="C133" s="69"/>
      <c r="D133"/>
      <c r="F133"/>
    </row>
    <row r="134" spans="1:10" ht="15.65" customHeight="1" x14ac:dyDescent="0.25">
      <c r="A134"/>
      <c r="B134" s="69"/>
      <c r="C134" s="69"/>
      <c r="D134"/>
      <c r="F134"/>
    </row>
    <row r="135" spans="1:10" ht="15.65" customHeight="1" x14ac:dyDescent="0.25">
      <c r="A135"/>
      <c r="B135"/>
      <c r="C135"/>
      <c r="D135"/>
      <c r="F135"/>
    </row>
    <row r="136" spans="1:10" ht="15.65" customHeight="1" x14ac:dyDescent="0.25">
      <c r="A136"/>
      <c r="B136" s="69"/>
      <c r="C136" s="69"/>
      <c r="D136"/>
      <c r="F136"/>
    </row>
    <row r="137" spans="1:10" ht="15.65" customHeight="1" x14ac:dyDescent="0.25">
      <c r="A137"/>
      <c r="B137" s="69"/>
      <c r="C137" s="69"/>
      <c r="D137"/>
      <c r="F137"/>
    </row>
  </sheetData>
  <mergeCells count="1">
    <mergeCell ref="G51:G52"/>
  </mergeCells>
  <phoneticPr fontId="0" type="noConversion"/>
  <hyperlinks>
    <hyperlink ref="A2" location="Innhold!A8" display="Tilbake til innholdsfortegnelsen" xr:uid="{00000000-0004-0000-0200-000000000000}"/>
  </hyperlinks>
  <pageMargins left="0.78740157480314965" right="0.59055118110236227" top="0.98425196850393704" bottom="0.19685039370078741" header="3.937007874015748E-2" footer="3.937007874015748E-2"/>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216"/>
  <sheetViews>
    <sheetView showGridLines="0" showRowColHeaders="0" zoomScale="70" zoomScaleNormal="70" workbookViewId="0"/>
  </sheetViews>
  <sheetFormatPr defaultColWidth="11.5" defaultRowHeight="13.6" x14ac:dyDescent="0.25"/>
  <cols>
    <col min="1" max="1" width="26.375" style="164" customWidth="1"/>
    <col min="2" max="2" width="8.125" style="164" customWidth="1"/>
    <col min="3" max="4" width="10.5" style="164" customWidth="1"/>
    <col min="5" max="5" width="9.875" style="164" customWidth="1"/>
    <col min="6" max="6" width="1.625" style="164" customWidth="1"/>
    <col min="7" max="7" width="7.625" style="164" customWidth="1"/>
    <col min="8" max="8" width="8.875" style="164" customWidth="1"/>
    <col min="9" max="21" width="11.5" style="164" customWidth="1"/>
    <col min="22" max="22" width="15.5" style="164" customWidth="1"/>
    <col min="23" max="36" width="11.5" style="164"/>
    <col min="37" max="16384" width="11.5" style="1"/>
  </cols>
  <sheetData>
    <row r="1" spans="1:36" ht="5.3" customHeight="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1:36" x14ac:dyDescent="0.25">
      <c r="A2" s="92" t="s">
        <v>0</v>
      </c>
      <c r="B2" s="2"/>
      <c r="C2" s="2"/>
      <c r="D2" s="2"/>
      <c r="E2" s="2"/>
      <c r="F2" s="2"/>
      <c r="G2" s="2"/>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5.95" customHeight="1" x14ac:dyDescent="0.25">
      <c r="A3" s="3"/>
      <c r="B3" s="2"/>
      <c r="C3" s="2"/>
      <c r="D3" s="2"/>
      <c r="E3" s="2"/>
      <c r="F3" s="2"/>
      <c r="G3" s="2"/>
      <c r="H3" s="1"/>
      <c r="I3" s="1"/>
      <c r="J3" s="1"/>
      <c r="K3" s="1"/>
      <c r="L3" s="1"/>
      <c r="M3" s="1"/>
      <c r="N3" s="1"/>
      <c r="O3" s="1"/>
      <c r="P3" s="1"/>
      <c r="Q3" s="1"/>
      <c r="R3" s="1"/>
      <c r="S3" s="1"/>
      <c r="T3" s="1"/>
      <c r="U3" s="1"/>
      <c r="V3" s="1"/>
      <c r="W3" s="1"/>
      <c r="X3" s="1"/>
      <c r="Y3" s="1"/>
      <c r="Z3" s="1"/>
      <c r="AA3" s="1"/>
      <c r="AB3" s="1"/>
      <c r="AC3" s="1"/>
      <c r="AD3" s="1"/>
      <c r="AE3" s="1"/>
      <c r="AF3" s="1"/>
      <c r="AG3" s="1"/>
      <c r="AH3" s="1"/>
      <c r="AI3" s="1"/>
      <c r="AJ3" s="1"/>
    </row>
    <row r="4" spans="1:36" ht="12.75" customHeight="1" x14ac:dyDescent="0.25">
      <c r="A4" s="195" t="s">
        <v>90</v>
      </c>
      <c r="B4" s="2"/>
      <c r="C4" s="2"/>
      <c r="D4" s="2"/>
      <c r="E4" s="2"/>
      <c r="F4" s="2"/>
      <c r="G4" s="2"/>
      <c r="H4" s="67"/>
      <c r="I4" s="1"/>
      <c r="J4" s="1"/>
      <c r="K4" s="1"/>
      <c r="L4" s="1"/>
      <c r="M4" s="1"/>
      <c r="N4" s="1"/>
      <c r="O4" s="1"/>
      <c r="P4" s="1"/>
      <c r="Q4" s="1"/>
      <c r="R4" s="1"/>
      <c r="S4" s="1"/>
      <c r="T4" s="1"/>
      <c r="U4" s="1"/>
      <c r="V4" s="1"/>
      <c r="W4" s="1"/>
      <c r="X4" s="1"/>
      <c r="Y4" s="1"/>
      <c r="Z4" s="1"/>
      <c r="AA4" s="1"/>
      <c r="AB4" s="1"/>
      <c r="AC4" s="1"/>
      <c r="AD4" s="1"/>
      <c r="AE4" s="1"/>
      <c r="AF4" s="1"/>
      <c r="AG4" s="1"/>
      <c r="AH4" s="1"/>
      <c r="AI4" s="1"/>
      <c r="AJ4" s="1"/>
    </row>
    <row r="5" spans="1:36" ht="12.75" customHeight="1" x14ac:dyDescent="0.25">
      <c r="A5" s="195"/>
      <c r="B5" s="2"/>
      <c r="C5" s="2"/>
      <c r="D5" s="2"/>
      <c r="E5" s="2"/>
      <c r="F5" s="2"/>
      <c r="G5" s="2"/>
      <c r="H5" s="67"/>
      <c r="I5" s="1"/>
      <c r="J5" s="1"/>
      <c r="K5" s="1"/>
      <c r="L5" s="1"/>
      <c r="M5" s="1"/>
      <c r="N5" s="1"/>
      <c r="O5" s="1"/>
      <c r="P5" s="1"/>
      <c r="Q5" s="1"/>
      <c r="R5" s="1"/>
      <c r="S5" s="1"/>
      <c r="T5" s="1"/>
      <c r="U5" s="1"/>
      <c r="V5" s="1"/>
      <c r="W5" s="1"/>
      <c r="X5" s="1"/>
      <c r="Y5" s="1"/>
      <c r="Z5" s="1"/>
      <c r="AA5" s="1"/>
      <c r="AB5" s="1"/>
      <c r="AC5" s="1"/>
      <c r="AD5" s="1"/>
      <c r="AE5" s="1"/>
      <c r="AF5" s="1"/>
      <c r="AG5" s="1"/>
      <c r="AH5" s="1"/>
      <c r="AI5" s="1"/>
      <c r="AJ5" s="1"/>
    </row>
    <row r="6" spans="1:36" ht="15.65" x14ac:dyDescent="0.25">
      <c r="A6" s="4" t="str">
        <f>"Figur 1. Antall meldte skader etter bransjer "&amp;'Tab3'!H63</f>
        <v xml:space="preserve">Figur 1. Antall meldte skader etter bransjer </v>
      </c>
      <c r="B6" s="2"/>
      <c r="C6" s="2"/>
      <c r="D6" s="2"/>
      <c r="E6" s="2"/>
      <c r="F6" s="2"/>
      <c r="G6" s="2"/>
      <c r="H6" s="67"/>
      <c r="I6" s="4" t="str">
        <f>"Figur 3. Anslått erstatning etter bransje, pr. "&amp;'Tab3'!H63</f>
        <v xml:space="preserve">Figur 3. Anslått erstatning etter bransje, pr. </v>
      </c>
      <c r="J6" s="1"/>
      <c r="K6" s="1"/>
      <c r="L6" s="1"/>
      <c r="M6" s="1"/>
      <c r="N6" s="1"/>
      <c r="O6" s="1"/>
      <c r="P6" s="4" t="s">
        <v>182</v>
      </c>
      <c r="Q6" s="1"/>
      <c r="R6" s="1"/>
      <c r="S6" s="1"/>
      <c r="T6" s="1"/>
      <c r="U6" s="1"/>
      <c r="V6" s="1"/>
      <c r="W6" s="4" t="str">
        <f>"Figur 7. Antall meldte skader i de Brann-kombinerte bransjer etter skadetype "&amp;'Tab3'!H63</f>
        <v xml:space="preserve">Figur 7. Antall meldte skader i de Brann-kombinerte bransjer etter skadetype </v>
      </c>
      <c r="X6" s="4"/>
      <c r="Y6" s="1"/>
      <c r="Z6" s="1"/>
      <c r="AA6" s="1"/>
      <c r="AB6" s="1"/>
      <c r="AC6" s="1"/>
      <c r="AD6" s="4" t="str">
        <f>"Figur 9. Brannskader pr. kvartal"</f>
        <v>Figur 9. Brannskader pr. kvartal</v>
      </c>
      <c r="AE6" s="1"/>
      <c r="AF6" s="1"/>
      <c r="AG6" s="1"/>
      <c r="AH6" s="1"/>
      <c r="AI6" s="1"/>
      <c r="AJ6" s="1"/>
    </row>
    <row r="7" spans="1:36" ht="15.65" x14ac:dyDescent="0.25">
      <c r="A7" s="3"/>
      <c r="B7" s="2"/>
      <c r="C7" s="2"/>
      <c r="D7" s="2"/>
      <c r="E7" s="2"/>
      <c r="F7" s="2"/>
      <c r="G7" s="2"/>
      <c r="H7" s="67"/>
      <c r="I7" s="1"/>
      <c r="J7" s="1"/>
      <c r="K7" s="1"/>
      <c r="L7" s="1"/>
      <c r="M7" s="1"/>
      <c r="N7" s="1"/>
      <c r="O7" s="1"/>
      <c r="P7" s="1"/>
      <c r="Q7" s="1"/>
      <c r="R7" s="1"/>
      <c r="S7" s="1"/>
      <c r="T7" s="1"/>
      <c r="U7" s="1"/>
      <c r="V7" s="88"/>
      <c r="W7" s="1"/>
      <c r="X7" s="1"/>
      <c r="Y7" s="1"/>
      <c r="Z7" s="1"/>
      <c r="AA7" s="1"/>
      <c r="AB7" s="1"/>
      <c r="AC7" s="1"/>
      <c r="AD7" s="1"/>
      <c r="AE7" s="1"/>
      <c r="AF7" s="1"/>
      <c r="AG7" s="1"/>
      <c r="AH7" s="1"/>
      <c r="AI7" s="1"/>
      <c r="AJ7" s="88"/>
    </row>
    <row r="8" spans="1:36" x14ac:dyDescent="0.25">
      <c r="A8" s="3"/>
      <c r="B8" s="2"/>
      <c r="C8" s="2"/>
      <c r="D8" s="2"/>
      <c r="E8" s="2"/>
      <c r="F8" s="2"/>
      <c r="G8" s="2"/>
      <c r="H8" s="67"/>
      <c r="I8" s="1"/>
      <c r="J8" s="1"/>
      <c r="K8" s="1"/>
      <c r="L8" s="1"/>
      <c r="M8" s="1"/>
      <c r="N8" s="1"/>
      <c r="O8" s="1"/>
      <c r="P8" s="1"/>
      <c r="Q8" s="1"/>
      <c r="R8" s="1"/>
      <c r="S8" s="1"/>
      <c r="T8" s="1"/>
      <c r="U8" s="1"/>
      <c r="V8" s="1"/>
      <c r="W8" s="1"/>
      <c r="X8" s="1"/>
      <c r="Y8" s="1"/>
      <c r="Z8" s="1"/>
      <c r="AA8" s="1"/>
      <c r="AB8" s="1"/>
      <c r="AC8" s="1"/>
      <c r="AD8" s="1"/>
      <c r="AE8" s="1"/>
      <c r="AF8" s="1"/>
      <c r="AG8" s="1"/>
      <c r="AH8" s="1"/>
      <c r="AI8" s="1"/>
      <c r="AJ8" s="1"/>
    </row>
    <row r="9" spans="1:36" x14ac:dyDescent="0.25">
      <c r="A9" s="3"/>
      <c r="B9" s="2"/>
      <c r="C9" s="2"/>
      <c r="D9" s="2"/>
      <c r="E9" s="2"/>
      <c r="F9" s="2"/>
      <c r="G9" s="2"/>
      <c r="H9" s="67"/>
      <c r="I9" s="1"/>
      <c r="J9" s="1"/>
      <c r="K9" s="1"/>
      <c r="L9" s="1"/>
      <c r="M9" s="1"/>
      <c r="N9" s="1"/>
      <c r="O9" s="1"/>
      <c r="P9" s="1"/>
      <c r="Q9" s="1"/>
      <c r="R9" s="1"/>
      <c r="S9" s="1"/>
      <c r="T9" s="1"/>
      <c r="U9" s="1"/>
      <c r="V9" s="1"/>
      <c r="W9" s="1"/>
      <c r="X9" s="1"/>
      <c r="Y9" s="1"/>
      <c r="Z9" s="1"/>
      <c r="AA9" s="1"/>
      <c r="AB9" s="1"/>
      <c r="AC9" s="1"/>
      <c r="AD9" s="1"/>
      <c r="AE9" s="1"/>
      <c r="AF9" s="1"/>
      <c r="AG9" s="1"/>
      <c r="AH9" s="1"/>
      <c r="AI9" s="1"/>
      <c r="AJ9" s="1"/>
    </row>
    <row r="10" spans="1:36" x14ac:dyDescent="0.25">
      <c r="A10" s="3"/>
      <c r="B10" s="2"/>
      <c r="C10" s="2"/>
      <c r="D10" s="2"/>
      <c r="E10" s="2"/>
      <c r="F10" s="2"/>
      <c r="G10" s="2"/>
      <c r="H10" s="67"/>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row>
    <row r="11" spans="1:36" x14ac:dyDescent="0.25">
      <c r="A11" s="3"/>
      <c r="B11" s="2"/>
      <c r="C11" s="2"/>
      <c r="D11" s="2"/>
      <c r="E11" s="2"/>
      <c r="F11" s="2"/>
      <c r="G11" s="2"/>
      <c r="H11" s="67"/>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row>
    <row r="12" spans="1:36" x14ac:dyDescent="0.25">
      <c r="A12" s="3"/>
      <c r="B12" s="2"/>
      <c r="C12" s="2"/>
      <c r="D12" s="2"/>
      <c r="E12" s="2"/>
      <c r="F12" s="2"/>
      <c r="G12" s="2"/>
      <c r="H12" s="67"/>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6" x14ac:dyDescent="0.25">
      <c r="A13" s="3"/>
      <c r="B13" s="2"/>
      <c r="C13" s="2"/>
      <c r="D13" s="2"/>
      <c r="E13" s="2"/>
      <c r="F13" s="2"/>
      <c r="G13" s="2"/>
      <c r="H13" s="67"/>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row>
    <row r="14" spans="1:36" x14ac:dyDescent="0.25">
      <c r="A14" s="3"/>
      <c r="B14" s="2"/>
      <c r="C14" s="2"/>
      <c r="D14" s="2"/>
      <c r="E14" s="2"/>
      <c r="F14" s="2"/>
      <c r="G14" s="2"/>
      <c r="H14" s="67"/>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row>
    <row r="15" spans="1:36" x14ac:dyDescent="0.25">
      <c r="A15" s="3"/>
      <c r="B15" s="2"/>
      <c r="C15" s="2"/>
      <c r="D15" s="2"/>
      <c r="E15" s="2"/>
      <c r="F15" s="2"/>
      <c r="G15" s="2"/>
      <c r="H15" s="67"/>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row>
    <row r="16" spans="1:36" x14ac:dyDescent="0.25">
      <c r="A16" s="3"/>
      <c r="B16" s="2"/>
      <c r="C16" s="2"/>
      <c r="D16" s="2"/>
      <c r="E16" s="2"/>
      <c r="F16" s="2"/>
      <c r="G16" s="2"/>
      <c r="H16" s="67"/>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row>
    <row r="17" spans="1:30" s="1" customFormat="1" x14ac:dyDescent="0.25">
      <c r="A17" s="3"/>
      <c r="B17" s="2"/>
      <c r="C17" s="2"/>
      <c r="D17" s="2"/>
      <c r="E17" s="2"/>
      <c r="F17" s="2"/>
      <c r="G17" s="2"/>
      <c r="H17" s="67"/>
    </row>
    <row r="18" spans="1:30" s="1" customFormat="1" x14ac:dyDescent="0.25">
      <c r="A18" s="3"/>
      <c r="B18" s="2"/>
      <c r="C18" s="2"/>
      <c r="D18" s="2"/>
      <c r="E18" s="2"/>
      <c r="F18" s="2"/>
      <c r="G18" s="2"/>
      <c r="H18" s="67"/>
    </row>
    <row r="19" spans="1:30" s="1" customFormat="1" x14ac:dyDescent="0.25">
      <c r="A19" s="3"/>
      <c r="B19" s="2"/>
      <c r="C19" s="2"/>
      <c r="D19" s="2"/>
      <c r="E19" s="2"/>
      <c r="F19" s="2"/>
      <c r="G19" s="2"/>
      <c r="H19" s="67"/>
    </row>
    <row r="20" spans="1:30" s="1" customFormat="1" x14ac:dyDescent="0.25">
      <c r="A20" s="3"/>
      <c r="B20" s="2"/>
      <c r="C20" s="2"/>
      <c r="D20" s="2"/>
      <c r="E20" s="2"/>
      <c r="F20" s="2"/>
      <c r="G20" s="2"/>
      <c r="H20" s="67"/>
    </row>
    <row r="21" spans="1:30" s="1" customFormat="1" x14ac:dyDescent="0.25">
      <c r="A21" s="3"/>
      <c r="B21" s="2"/>
      <c r="C21" s="2"/>
      <c r="D21" s="2"/>
      <c r="E21" s="2"/>
      <c r="F21" s="2"/>
      <c r="G21" s="2"/>
      <c r="H21" s="67"/>
    </row>
    <row r="22" spans="1:30" s="1" customFormat="1" x14ac:dyDescent="0.25">
      <c r="A22" s="3"/>
      <c r="B22" s="2"/>
      <c r="C22" s="2"/>
      <c r="D22" s="2"/>
      <c r="E22" s="2"/>
      <c r="F22" s="2"/>
      <c r="G22" s="2"/>
      <c r="H22" s="67"/>
    </row>
    <row r="23" spans="1:30" s="1" customFormat="1" x14ac:dyDescent="0.25">
      <c r="A23" s="3"/>
      <c r="B23" s="2"/>
      <c r="C23" s="2"/>
      <c r="D23" s="2"/>
      <c r="E23" s="2"/>
      <c r="F23" s="2"/>
      <c r="G23" s="2"/>
      <c r="H23" s="67"/>
    </row>
    <row r="24" spans="1:30" s="1" customFormat="1" x14ac:dyDescent="0.25">
      <c r="A24" s="3"/>
      <c r="B24" s="2"/>
      <c r="C24" s="2"/>
      <c r="D24" s="2"/>
      <c r="E24" s="2"/>
      <c r="F24" s="2"/>
      <c r="G24" s="2"/>
      <c r="H24" s="67"/>
    </row>
    <row r="25" spans="1:30" s="1" customFormat="1" x14ac:dyDescent="0.25">
      <c r="A25" s="3"/>
      <c r="B25" s="2"/>
      <c r="C25" s="2"/>
      <c r="D25" s="2"/>
      <c r="E25" s="2"/>
      <c r="F25" s="2"/>
      <c r="G25" s="2"/>
      <c r="H25" s="67"/>
    </row>
    <row r="26" spans="1:30" s="1" customFormat="1" x14ac:dyDescent="0.25">
      <c r="A26" s="3"/>
      <c r="B26" s="2"/>
      <c r="C26" s="2"/>
      <c r="D26" s="2"/>
      <c r="E26" s="2"/>
      <c r="F26" s="2"/>
      <c r="G26" s="2"/>
      <c r="H26" s="67"/>
    </row>
    <row r="27" spans="1:30" s="1" customFormat="1" x14ac:dyDescent="0.25">
      <c r="A27" s="3"/>
      <c r="B27" s="2"/>
      <c r="C27" s="2"/>
      <c r="D27" s="2"/>
      <c r="E27" s="2"/>
      <c r="F27" s="2"/>
      <c r="G27" s="2"/>
      <c r="H27" s="67"/>
    </row>
    <row r="28" spans="1:30" s="1" customFormat="1" x14ac:dyDescent="0.25">
      <c r="A28" s="3"/>
      <c r="B28" s="2"/>
      <c r="C28" s="2"/>
      <c r="D28" s="2"/>
      <c r="E28" s="2"/>
      <c r="F28" s="2"/>
      <c r="G28" s="2"/>
      <c r="H28" s="67"/>
    </row>
    <row r="29" spans="1:30" s="1" customFormat="1" x14ac:dyDescent="0.25">
      <c r="A29" s="3"/>
      <c r="B29" s="2"/>
      <c r="C29" s="2"/>
      <c r="D29" s="2"/>
      <c r="E29" s="2"/>
      <c r="F29" s="2"/>
      <c r="G29" s="2"/>
      <c r="H29" s="67"/>
    </row>
    <row r="30" spans="1:30" s="1" customFormat="1" x14ac:dyDescent="0.25">
      <c r="A30" s="3"/>
      <c r="B30" s="2"/>
      <c r="C30" s="2"/>
      <c r="D30" s="2"/>
      <c r="E30" s="2"/>
      <c r="F30" s="2"/>
      <c r="G30" s="2"/>
      <c r="H30" s="67"/>
    </row>
    <row r="31" spans="1:30" s="1" customFormat="1" x14ac:dyDescent="0.25">
      <c r="A31" s="3"/>
      <c r="B31" s="2"/>
      <c r="C31" s="2"/>
      <c r="D31" s="2"/>
      <c r="E31" s="2"/>
      <c r="F31" s="2"/>
      <c r="G31" s="2"/>
      <c r="H31" s="67"/>
    </row>
    <row r="32" spans="1:30" s="1" customFormat="1" ht="15.65" x14ac:dyDescent="0.25">
      <c r="A32" s="4" t="str">
        <f>"Figur 2. Antall meldte skader etter bransjer "&amp;'Tab3'!H63</f>
        <v xml:space="preserve">Figur 2. Antall meldte skader etter bransjer </v>
      </c>
      <c r="B32" s="2"/>
      <c r="C32" s="2"/>
      <c r="D32" s="2"/>
      <c r="E32" s="2"/>
      <c r="F32" s="2"/>
      <c r="G32" s="2"/>
      <c r="H32" s="67"/>
      <c r="I32" s="4" t="str">
        <f>"Figur 4. Vannskader pr. kvartal"</f>
        <v>Figur 4. Vannskader pr. kvartal</v>
      </c>
      <c r="P32" s="4" t="str">
        <f>"Figur 6. Anslått erstatning etter skadetype, motorvogn "&amp;'Tab3'!H63&amp;" "&amp;'Tab3'!E6</f>
        <v>Figur 6. Anslått erstatning etter skadetype, motorvogn  2018</v>
      </c>
      <c r="W32" s="4" t="str">
        <f>"Figur 8. Anslått erstatning i de Brann-kombinerte bransjer etter skadetype "&amp;'Tab3'!H63</f>
        <v xml:space="preserve">Figur 8. Anslått erstatning i de Brann-kombinerte bransjer etter skadetype </v>
      </c>
      <c r="AD32" s="4" t="str">
        <f>"Figur 10. Innbrudd, tyverier og ran pr. kvartal"</f>
        <v>Figur 10. Innbrudd, tyverier og ran pr. kvartal</v>
      </c>
    </row>
    <row r="33" spans="1:8" s="1" customFormat="1" x14ac:dyDescent="0.25">
      <c r="A33" s="3"/>
      <c r="B33" s="2"/>
      <c r="C33" s="2"/>
      <c r="D33" s="2"/>
      <c r="E33" s="2"/>
      <c r="F33" s="2"/>
      <c r="G33" s="2"/>
      <c r="H33" s="67"/>
    </row>
    <row r="34" spans="1:8" s="1" customFormat="1" x14ac:dyDescent="0.25">
      <c r="A34" s="3"/>
      <c r="B34" s="2"/>
      <c r="C34" s="2"/>
      <c r="D34" s="2"/>
      <c r="E34" s="2"/>
      <c r="F34" s="2"/>
      <c r="G34" s="2"/>
      <c r="H34" s="67"/>
    </row>
    <row r="35" spans="1:8" s="1" customFormat="1" x14ac:dyDescent="0.25">
      <c r="A35" s="3"/>
      <c r="B35" s="2"/>
      <c r="C35" s="2"/>
      <c r="D35" s="2"/>
      <c r="E35" s="2"/>
      <c r="F35" s="2"/>
      <c r="G35" s="2"/>
      <c r="H35" s="67"/>
    </row>
    <row r="36" spans="1:8" s="1" customFormat="1" x14ac:dyDescent="0.25">
      <c r="A36" s="3"/>
      <c r="B36" s="2"/>
      <c r="C36" s="2"/>
      <c r="D36" s="2"/>
      <c r="E36" s="2"/>
      <c r="F36" s="2"/>
      <c r="G36" s="2"/>
      <c r="H36" s="67"/>
    </row>
    <row r="37" spans="1:8" s="1" customFormat="1" x14ac:dyDescent="0.25">
      <c r="A37" s="47"/>
      <c r="B37" s="48"/>
      <c r="C37" s="49"/>
      <c r="D37" s="49"/>
      <c r="E37" s="49"/>
      <c r="F37" s="49"/>
      <c r="G37" s="50"/>
      <c r="H37" s="51"/>
    </row>
    <row r="38" spans="1:8" s="1" customFormat="1" x14ac:dyDescent="0.25">
      <c r="A38" s="47"/>
      <c r="B38" s="48"/>
      <c r="C38" s="49"/>
      <c r="D38" s="49"/>
      <c r="E38" s="49"/>
      <c r="F38" s="49"/>
      <c r="G38" s="50"/>
      <c r="H38" s="51"/>
    </row>
    <row r="39" spans="1:8" s="1" customFormat="1" x14ac:dyDescent="0.25">
      <c r="A39" s="47"/>
      <c r="B39" s="48"/>
      <c r="C39" s="49"/>
      <c r="D39" s="49"/>
      <c r="E39" s="49"/>
      <c r="F39" s="49"/>
      <c r="G39" s="50"/>
      <c r="H39" s="51"/>
    </row>
    <row r="40" spans="1:8" s="1" customFormat="1" x14ac:dyDescent="0.25">
      <c r="A40" s="47"/>
      <c r="B40" s="48"/>
      <c r="C40" s="49"/>
      <c r="D40" s="49"/>
      <c r="E40" s="49"/>
      <c r="F40" s="49"/>
      <c r="G40" s="50"/>
      <c r="H40" s="51"/>
    </row>
    <row r="41" spans="1:8" s="1" customFormat="1" x14ac:dyDescent="0.25">
      <c r="A41" s="47"/>
      <c r="B41" s="48"/>
      <c r="C41" s="49"/>
      <c r="D41" s="49"/>
      <c r="E41" s="49"/>
      <c r="F41" s="49"/>
      <c r="G41" s="50"/>
      <c r="H41" s="51"/>
    </row>
    <row r="42" spans="1:8" s="1" customFormat="1" x14ac:dyDescent="0.25">
      <c r="A42" s="47"/>
      <c r="B42" s="48"/>
      <c r="C42" s="49"/>
      <c r="D42" s="49"/>
      <c r="E42" s="49"/>
      <c r="F42" s="49"/>
      <c r="G42" s="50"/>
      <c r="H42" s="51"/>
    </row>
    <row r="43" spans="1:8" s="1" customFormat="1" x14ac:dyDescent="0.25">
      <c r="A43" s="47"/>
      <c r="B43" s="48"/>
      <c r="C43" s="49"/>
      <c r="D43" s="49"/>
      <c r="E43" s="49"/>
      <c r="F43" s="49"/>
      <c r="G43" s="50"/>
      <c r="H43" s="51"/>
    </row>
    <row r="44" spans="1:8" s="1" customFormat="1" x14ac:dyDescent="0.25">
      <c r="A44" s="47"/>
      <c r="B44" s="48"/>
      <c r="C44" s="49"/>
      <c r="D44" s="49"/>
      <c r="E44" s="49"/>
      <c r="F44" s="49"/>
      <c r="G44" s="50"/>
      <c r="H44" s="51"/>
    </row>
    <row r="45" spans="1:8" s="1" customFormat="1" x14ac:dyDescent="0.25">
      <c r="A45" s="47"/>
      <c r="B45" s="48"/>
      <c r="C45" s="49"/>
      <c r="D45" s="49"/>
      <c r="E45" s="49"/>
      <c r="F45" s="49"/>
      <c r="G45" s="50"/>
      <c r="H45" s="51"/>
    </row>
    <row r="46" spans="1:8" s="1" customFormat="1" x14ac:dyDescent="0.25">
      <c r="A46" s="47"/>
      <c r="B46" s="48"/>
      <c r="C46" s="49"/>
      <c r="D46" s="49"/>
      <c r="E46" s="49"/>
      <c r="F46" s="49"/>
      <c r="G46" s="50"/>
      <c r="H46" s="51"/>
    </row>
    <row r="47" spans="1:8" s="1" customFormat="1" x14ac:dyDescent="0.25">
      <c r="A47" s="47"/>
      <c r="B47" s="48"/>
      <c r="C47" s="49"/>
      <c r="D47" s="49"/>
      <c r="E47" s="49"/>
      <c r="F47" s="49"/>
      <c r="G47" s="50"/>
      <c r="H47" s="51"/>
    </row>
    <row r="48" spans="1:8" s="1" customFormat="1" x14ac:dyDescent="0.25">
      <c r="A48" s="47"/>
      <c r="B48" s="48"/>
      <c r="C48" s="49"/>
      <c r="D48" s="49"/>
      <c r="E48" s="49"/>
      <c r="F48" s="49"/>
      <c r="G48" s="50"/>
      <c r="H48" s="51"/>
    </row>
    <row r="49" spans="1:36" x14ac:dyDescent="0.25">
      <c r="A49" s="47"/>
      <c r="B49" s="48"/>
      <c r="C49" s="49"/>
      <c r="D49" s="49"/>
      <c r="E49" s="98"/>
      <c r="F49" s="49"/>
      <c r="G49" s="50"/>
      <c r="H49" s="5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row>
    <row r="50" spans="1:36" x14ac:dyDescent="0.25">
      <c r="A50" s="47"/>
      <c r="B50" s="48"/>
      <c r="C50" s="49"/>
      <c r="D50" s="49"/>
      <c r="E50" s="49"/>
      <c r="F50" s="49"/>
      <c r="G50" s="50"/>
      <c r="H50" s="5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row>
    <row r="51" spans="1:36" x14ac:dyDescent="0.25">
      <c r="A51" s="47"/>
      <c r="B51" s="48"/>
      <c r="C51" s="49"/>
      <c r="D51" s="49"/>
      <c r="E51" s="49"/>
      <c r="F51" s="49"/>
      <c r="G51" s="50"/>
      <c r="H51" s="5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row>
    <row r="52" spans="1:36" x14ac:dyDescent="0.25">
      <c r="A52" s="47"/>
      <c r="B52" s="48"/>
      <c r="C52" s="49"/>
      <c r="D52" s="49"/>
      <c r="E52" s="49"/>
      <c r="F52" s="49"/>
      <c r="G52" s="50"/>
      <c r="H52" s="5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row>
    <row r="53" spans="1:36" x14ac:dyDescent="0.25">
      <c r="A53" s="47"/>
      <c r="B53" s="48"/>
      <c r="C53" s="49"/>
      <c r="D53" s="49"/>
      <c r="E53" s="49"/>
      <c r="F53" s="49"/>
      <c r="G53" s="50"/>
      <c r="H53" s="5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row>
    <row r="54" spans="1:36" x14ac:dyDescent="0.25">
      <c r="A54" s="47"/>
      <c r="B54" s="48"/>
      <c r="C54" s="49"/>
      <c r="D54" s="49"/>
      <c r="E54" s="49"/>
      <c r="F54" s="49"/>
      <c r="G54" s="50"/>
      <c r="H54" s="5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row>
    <row r="55" spans="1:36" x14ac:dyDescent="0.25">
      <c r="A55" s="47"/>
      <c r="B55" s="48"/>
      <c r="C55" s="49"/>
      <c r="D55" s="49"/>
      <c r="E55" s="49"/>
      <c r="F55" s="49"/>
      <c r="G55" s="50"/>
      <c r="H55" s="5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row>
    <row r="56" spans="1:36" x14ac:dyDescent="0.25">
      <c r="A56" s="47"/>
      <c r="B56" s="48"/>
      <c r="C56" s="49"/>
      <c r="D56" s="49"/>
      <c r="E56" s="49"/>
      <c r="F56" s="49"/>
      <c r="G56" s="50"/>
      <c r="H56" s="5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row>
    <row r="57" spans="1:36" x14ac:dyDescent="0.25">
      <c r="A57" s="47"/>
      <c r="B57" s="48"/>
      <c r="C57" s="49"/>
      <c r="D57" s="49"/>
      <c r="E57" s="49"/>
      <c r="F57" s="49"/>
      <c r="G57" s="50"/>
      <c r="H57" s="5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row>
    <row r="58" spans="1:36" x14ac:dyDescent="0.25">
      <c r="A58" s="47"/>
      <c r="B58" s="48"/>
      <c r="C58" s="49"/>
      <c r="D58" s="49"/>
      <c r="E58" s="49"/>
      <c r="F58" s="49"/>
      <c r="G58" s="50"/>
      <c r="H58" s="5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row>
    <row r="59" spans="1:36" x14ac:dyDescent="0.25">
      <c r="A59" s="47"/>
      <c r="B59" s="48"/>
      <c r="C59" s="49"/>
      <c r="D59" s="49"/>
      <c r="E59" s="49"/>
      <c r="F59" s="49"/>
      <c r="G59" s="50"/>
      <c r="H59" s="5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x14ac:dyDescent="0.25">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row>
    <row r="61" spans="1:36" x14ac:dyDescent="0.25">
      <c r="A61" s="54" t="str">
        <f>+Innhold!B123</f>
        <v>Finans Norge / Skadestatistikk</v>
      </c>
      <c r="B61" s="1"/>
      <c r="C61" s="1"/>
      <c r="D61" s="1"/>
      <c r="E61" s="1"/>
      <c r="F61" s="1"/>
      <c r="G61" s="1"/>
      <c r="H61" s="193">
        <v>4</v>
      </c>
      <c r="I61" s="54" t="str">
        <f>+Innhold!B123</f>
        <v>Finans Norge / Skadestatistikk</v>
      </c>
      <c r="J61" s="1"/>
      <c r="K61" s="1"/>
      <c r="L61" s="1"/>
      <c r="M61" s="1"/>
      <c r="N61" s="1"/>
      <c r="O61" s="193">
        <v>5</v>
      </c>
      <c r="P61" s="54" t="str">
        <f>+Innhold!B123</f>
        <v>Finans Norge / Skadestatistikk</v>
      </c>
      <c r="Q61" s="1"/>
      <c r="R61" s="1"/>
      <c r="S61" s="1"/>
      <c r="T61" s="1"/>
      <c r="U61" s="1"/>
      <c r="V61" s="193">
        <v>6</v>
      </c>
      <c r="W61" s="54" t="str">
        <f>+Innhold!B123</f>
        <v>Finans Norge / Skadestatistikk</v>
      </c>
      <c r="X61" s="1"/>
      <c r="Y61" s="1"/>
      <c r="Z61" s="1"/>
      <c r="AA61" s="1"/>
      <c r="AB61" s="1"/>
      <c r="AC61" s="193">
        <v>7</v>
      </c>
      <c r="AD61" s="54" t="str">
        <f>+Innhold!B123</f>
        <v>Finans Norge / Skadestatistikk</v>
      </c>
      <c r="AE61" s="1"/>
      <c r="AF61" s="1"/>
      <c r="AG61" s="1"/>
      <c r="AH61" s="1"/>
      <c r="AI61" s="1"/>
      <c r="AJ61" s="193">
        <v>8</v>
      </c>
    </row>
    <row r="62" spans="1:36" x14ac:dyDescent="0.25">
      <c r="A62" s="54" t="str">
        <f>+Innhold!B124</f>
        <v>Skadestatistikk for landbasert forsikring 3. kvartal 2018</v>
      </c>
      <c r="B62" s="1"/>
      <c r="C62" s="1"/>
      <c r="D62" s="1"/>
      <c r="E62" s="1"/>
      <c r="F62" s="1"/>
      <c r="G62" s="1"/>
      <c r="H62" s="194"/>
      <c r="I62" s="54" t="str">
        <f>+Innhold!B124</f>
        <v>Skadestatistikk for landbasert forsikring 3. kvartal 2018</v>
      </c>
      <c r="J62" s="1"/>
      <c r="K62" s="1"/>
      <c r="L62" s="1"/>
      <c r="M62" s="1"/>
      <c r="N62" s="1"/>
      <c r="O62" s="194"/>
      <c r="P62" s="54" t="str">
        <f>+Innhold!B124</f>
        <v>Skadestatistikk for landbasert forsikring 3. kvartal 2018</v>
      </c>
      <c r="Q62" s="1"/>
      <c r="R62" s="1"/>
      <c r="S62" s="1"/>
      <c r="T62" s="1"/>
      <c r="U62" s="1"/>
      <c r="V62" s="194"/>
      <c r="W62" s="54" t="str">
        <f>+Innhold!B124</f>
        <v>Skadestatistikk for landbasert forsikring 3. kvartal 2018</v>
      </c>
      <c r="X62" s="1"/>
      <c r="Y62" s="1"/>
      <c r="Z62" s="1"/>
      <c r="AA62" s="1"/>
      <c r="AB62" s="1"/>
      <c r="AC62" s="194"/>
      <c r="AD62" s="54" t="str">
        <f>+Innhold!B124</f>
        <v>Skadestatistikk for landbasert forsikring 3. kvartal 2018</v>
      </c>
      <c r="AE62" s="1"/>
      <c r="AF62" s="1"/>
      <c r="AG62" s="1"/>
      <c r="AH62" s="1"/>
      <c r="AI62" s="1"/>
      <c r="AJ62" s="194"/>
    </row>
    <row r="67" spans="1:26" ht="12.75" customHeight="1" x14ac:dyDescent="0.25"/>
    <row r="68" spans="1:26" ht="12.75" customHeight="1" x14ac:dyDescent="0.25">
      <c r="M68" s="165" t="s">
        <v>177</v>
      </c>
      <c r="P68" s="165" t="s">
        <v>179</v>
      </c>
      <c r="S68" s="165" t="s">
        <v>178</v>
      </c>
    </row>
    <row r="69" spans="1:26" x14ac:dyDescent="0.25">
      <c r="A69" s="166" t="s">
        <v>183</v>
      </c>
      <c r="B69" s="167"/>
      <c r="C69" s="167"/>
      <c r="D69" s="167" t="s">
        <v>74</v>
      </c>
      <c r="E69" s="167"/>
      <c r="F69" s="167"/>
      <c r="G69" s="167"/>
      <c r="H69" s="166"/>
      <c r="I69" s="168">
        <v>147.6</v>
      </c>
      <c r="J69" s="169" t="s">
        <v>230</v>
      </c>
      <c r="M69" s="165" t="s">
        <v>161</v>
      </c>
      <c r="P69" s="165" t="s">
        <v>175</v>
      </c>
      <c r="S69" s="165" t="s">
        <v>176</v>
      </c>
      <c r="V69" s="166" t="s">
        <v>184</v>
      </c>
      <c r="W69" s="167"/>
      <c r="X69" s="167"/>
      <c r="Y69" s="167"/>
      <c r="Z69" s="167"/>
    </row>
    <row r="70" spans="1:26" x14ac:dyDescent="0.25">
      <c r="A70" s="167" t="s">
        <v>75</v>
      </c>
      <c r="B70" s="167" t="s">
        <v>76</v>
      </c>
      <c r="C70" s="167" t="s">
        <v>26</v>
      </c>
      <c r="D70" s="167" t="s">
        <v>77</v>
      </c>
      <c r="E70" s="167"/>
      <c r="F70" s="167"/>
      <c r="G70" s="167"/>
      <c r="I70" s="170" t="s">
        <v>159</v>
      </c>
      <c r="J70" s="164" t="s">
        <v>229</v>
      </c>
      <c r="K70" s="170" t="s">
        <v>76</v>
      </c>
      <c r="L70" s="170" t="s">
        <v>108</v>
      </c>
      <c r="M70" s="170" t="s">
        <v>157</v>
      </c>
      <c r="N70" s="170" t="s">
        <v>158</v>
      </c>
      <c r="O70" s="170" t="s">
        <v>108</v>
      </c>
      <c r="P70" s="170" t="s">
        <v>157</v>
      </c>
      <c r="Q70" s="170" t="s">
        <v>158</v>
      </c>
      <c r="R70" s="170" t="s">
        <v>108</v>
      </c>
      <c r="S70" s="170" t="s">
        <v>157</v>
      </c>
      <c r="T70" s="170" t="s">
        <v>158</v>
      </c>
      <c r="V70" s="167" t="s">
        <v>81</v>
      </c>
      <c r="W70" s="167"/>
      <c r="X70" s="171" t="str">
        <f>+'Tab3'!C6</f>
        <v>2016</v>
      </c>
      <c r="Y70" s="171" t="str">
        <f>+'Tab3'!D6</f>
        <v>2017</v>
      </c>
      <c r="Z70" s="171" t="str">
        <f>+'Tab3'!E6</f>
        <v>2018</v>
      </c>
    </row>
    <row r="71" spans="1:26" x14ac:dyDescent="0.25">
      <c r="A71" s="167">
        <v>1</v>
      </c>
      <c r="B71" s="167">
        <v>1983</v>
      </c>
      <c r="C71" s="167">
        <v>97</v>
      </c>
      <c r="D71" s="167">
        <v>78.3</v>
      </c>
      <c r="E71" s="167"/>
      <c r="F71" s="167"/>
      <c r="G71" s="167"/>
      <c r="I71" s="172">
        <v>53.8</v>
      </c>
      <c r="J71" s="164">
        <v>1</v>
      </c>
      <c r="K71" s="164">
        <v>1983</v>
      </c>
      <c r="L71" s="173">
        <v>11621</v>
      </c>
      <c r="M71" s="172">
        <v>80.900000000000006</v>
      </c>
      <c r="N71" s="172">
        <f t="shared" ref="N71:N102" si="0">M71/I71*$I$69</f>
        <v>221.94869888475839</v>
      </c>
      <c r="V71" s="167"/>
      <c r="W71" s="167"/>
      <c r="X71" s="167"/>
      <c r="Y71" s="167"/>
      <c r="Z71" s="167"/>
    </row>
    <row r="72" spans="1:26" x14ac:dyDescent="0.25">
      <c r="A72" s="167">
        <v>2</v>
      </c>
      <c r="B72" s="167"/>
      <c r="C72" s="167">
        <v>78.8</v>
      </c>
      <c r="D72" s="167">
        <v>61.3</v>
      </c>
      <c r="E72" s="167"/>
      <c r="F72" s="167"/>
      <c r="G72" s="167"/>
      <c r="I72" s="172">
        <v>54.7</v>
      </c>
      <c r="J72" s="164">
        <v>2</v>
      </c>
      <c r="L72" s="173">
        <v>11120</v>
      </c>
      <c r="M72" s="172">
        <v>68.900000000000006</v>
      </c>
      <c r="N72" s="172">
        <f t="shared" si="0"/>
        <v>185.9166361974406</v>
      </c>
      <c r="V72" s="167" t="s">
        <v>26</v>
      </c>
      <c r="W72" s="167"/>
      <c r="X72" s="174">
        <f>IF('Tab6'!C36="",'Tab6'!C35,'Tab6'!C36)</f>
        <v>9728.3698438987503</v>
      </c>
      <c r="Y72" s="174">
        <f>IF('Tab6'!D36="",'Tab6'!D35,'Tab6'!D36)</f>
        <v>10401.324113394447</v>
      </c>
      <c r="Z72" s="174">
        <f>IF('Tab6'!E36="",'Tab6'!E35,'Tab6'!E36)</f>
        <v>11317.622871284517</v>
      </c>
    </row>
    <row r="73" spans="1:26" x14ac:dyDescent="0.25">
      <c r="A73" s="167">
        <v>3</v>
      </c>
      <c r="B73" s="167"/>
      <c r="C73" s="167">
        <v>84.8</v>
      </c>
      <c r="D73" s="167">
        <v>63</v>
      </c>
      <c r="E73" s="167"/>
      <c r="F73" s="167"/>
      <c r="G73" s="167"/>
      <c r="I73" s="172">
        <v>55.3</v>
      </c>
      <c r="J73" s="164">
        <v>3</v>
      </c>
      <c r="L73" s="173">
        <v>11918</v>
      </c>
      <c r="M73" s="172">
        <v>63.7</v>
      </c>
      <c r="N73" s="172">
        <f t="shared" si="0"/>
        <v>170.02025316455698</v>
      </c>
      <c r="V73" s="167"/>
      <c r="W73" s="167"/>
      <c r="X73" s="174"/>
      <c r="Y73" s="174"/>
      <c r="Z73" s="174"/>
    </row>
    <row r="74" spans="1:26" x14ac:dyDescent="0.25">
      <c r="A74" s="167">
        <v>4</v>
      </c>
      <c r="B74" s="167"/>
      <c r="C74" s="167">
        <v>91.2</v>
      </c>
      <c r="D74" s="167">
        <v>70.8</v>
      </c>
      <c r="E74" s="167"/>
      <c r="F74" s="167"/>
      <c r="G74" s="167"/>
      <c r="I74" s="172">
        <v>56.2</v>
      </c>
      <c r="J74" s="164">
        <v>4</v>
      </c>
      <c r="L74" s="173">
        <v>11905</v>
      </c>
      <c r="M74" s="172">
        <v>79.3</v>
      </c>
      <c r="N74" s="172">
        <f t="shared" si="0"/>
        <v>208.26832740213521</v>
      </c>
      <c r="V74" s="167" t="s">
        <v>63</v>
      </c>
      <c r="W74" s="167"/>
      <c r="X74" s="174">
        <f>IF('Tab6'!C36="",'Tab6'!C45+'Tab6'!C47,'Tab6'!C46+'Tab6'!C48)</f>
        <v>164.27798907297756</v>
      </c>
      <c r="Y74" s="174">
        <f>IF('Tab6'!D36="",'Tab6'!D45+'Tab6'!D47,'Tab6'!D46+'Tab6'!D48)</f>
        <v>152.23496044681994</v>
      </c>
      <c r="Z74" s="174">
        <f>IF('Tab6'!E36="",'Tab6'!E45+'Tab6'!E47,'Tab6'!E46+'Tab6'!E48)</f>
        <v>153.67243472173629</v>
      </c>
    </row>
    <row r="75" spans="1:26" x14ac:dyDescent="0.25">
      <c r="A75" s="167">
        <v>1</v>
      </c>
      <c r="B75" s="167">
        <v>1984</v>
      </c>
      <c r="C75" s="167">
        <v>112.2</v>
      </c>
      <c r="D75" s="167">
        <v>90.4</v>
      </c>
      <c r="E75" s="167"/>
      <c r="F75" s="167"/>
      <c r="G75" s="167"/>
      <c r="I75" s="172">
        <v>57.3</v>
      </c>
      <c r="J75" s="164">
        <v>1</v>
      </c>
      <c r="K75" s="164">
        <v>1984</v>
      </c>
      <c r="L75" s="173">
        <v>13205</v>
      </c>
      <c r="M75" s="172">
        <v>86.7</v>
      </c>
      <c r="N75" s="172">
        <f t="shared" si="0"/>
        <v>223.3319371727749</v>
      </c>
      <c r="V75" s="167" t="s">
        <v>39</v>
      </c>
      <c r="W75" s="167"/>
      <c r="X75" s="174">
        <f>IF('Tab6'!C36="",'Tab6'!C49,'Tab6'!C50)</f>
        <v>1136.3128563429691</v>
      </c>
      <c r="Y75" s="174">
        <f>IF('Tab6'!D36="",'Tab6'!D49,'Tab6'!D50)</f>
        <v>1216.172340334608</v>
      </c>
      <c r="Z75" s="174">
        <f>IF('Tab6'!E36="",'Tab6'!E49,'Tab6'!E50)</f>
        <v>1237.7229174386357</v>
      </c>
    </row>
    <row r="76" spans="1:26" x14ac:dyDescent="0.25">
      <c r="A76" s="167">
        <v>2</v>
      </c>
      <c r="B76" s="167"/>
      <c r="C76" s="167">
        <v>81.8</v>
      </c>
      <c r="D76" s="167">
        <v>64.400000000000006</v>
      </c>
      <c r="E76" s="167"/>
      <c r="F76" s="167"/>
      <c r="G76" s="167"/>
      <c r="I76" s="172">
        <v>58.2</v>
      </c>
      <c r="J76" s="164">
        <v>2</v>
      </c>
      <c r="L76" s="173">
        <v>12453</v>
      </c>
      <c r="M76" s="172">
        <v>83.3</v>
      </c>
      <c r="N76" s="172">
        <f t="shared" si="0"/>
        <v>211.25567010309274</v>
      </c>
      <c r="V76" s="167" t="s">
        <v>18</v>
      </c>
      <c r="W76" s="167"/>
      <c r="X76" s="174">
        <f>IF('Tab6'!C36="",'Tab6'!C43,'Tab6'!C44)</f>
        <v>150.51544340537467</v>
      </c>
      <c r="Y76" s="174">
        <f>IF('Tab6'!D36="",'Tab6'!D43,'Tab6'!D44)</f>
        <v>175.34470816054517</v>
      </c>
      <c r="Z76" s="174">
        <f>IF('Tab6'!E36="",'Tab6'!E43,'Tab6'!E44)</f>
        <v>214.20772874950049</v>
      </c>
    </row>
    <row r="77" spans="1:26" x14ac:dyDescent="0.25">
      <c r="A77" s="167">
        <v>3</v>
      </c>
      <c r="B77" s="167"/>
      <c r="C77" s="167">
        <v>90.4</v>
      </c>
      <c r="D77" s="167">
        <v>71.099999999999994</v>
      </c>
      <c r="E77" s="167"/>
      <c r="F77" s="167"/>
      <c r="G77" s="167"/>
      <c r="I77" s="172">
        <v>58.7</v>
      </c>
      <c r="J77" s="164">
        <v>3</v>
      </c>
      <c r="L77" s="173">
        <v>12278</v>
      </c>
      <c r="M77" s="172">
        <v>83.3</v>
      </c>
      <c r="N77" s="172">
        <f t="shared" si="0"/>
        <v>209.4562180579216</v>
      </c>
      <c r="V77" s="167" t="s">
        <v>82</v>
      </c>
      <c r="W77" s="167"/>
      <c r="X77" s="174">
        <f>IF('Tab6'!C36="",'Tab6'!C37+'Tab6'!C39,'Tab6'!C38+'Tab6'!C40)</f>
        <v>1049.8448327414364</v>
      </c>
      <c r="Y77" s="174">
        <f>IF('Tab6'!D36="",'Tab6'!D37+'Tab6'!D39,'Tab6'!D38+'Tab6'!D40)</f>
        <v>1066.8741257346724</v>
      </c>
      <c r="Z77" s="174">
        <f>IF('Tab6'!E36="",'Tab6'!E37+'Tab6'!E39,'Tab6'!E38+'Tab6'!E40)</f>
        <v>911.72217168831219</v>
      </c>
    </row>
    <row r="78" spans="1:26" x14ac:dyDescent="0.25">
      <c r="A78" s="167">
        <v>4</v>
      </c>
      <c r="B78" s="167"/>
      <c r="C78" s="167">
        <v>92.9</v>
      </c>
      <c r="D78" s="167">
        <v>73.900000000000006</v>
      </c>
      <c r="E78" s="167"/>
      <c r="F78" s="167"/>
      <c r="G78" s="167"/>
      <c r="I78" s="172">
        <v>59.6</v>
      </c>
      <c r="J78" s="164">
        <v>4</v>
      </c>
      <c r="L78" s="173">
        <v>11449</v>
      </c>
      <c r="M78" s="172">
        <v>94.6</v>
      </c>
      <c r="N78" s="172">
        <f t="shared" si="0"/>
        <v>234.27785234899324</v>
      </c>
      <c r="V78" s="167" t="s">
        <v>83</v>
      </c>
      <c r="W78" s="167"/>
      <c r="X78" s="175">
        <f>X72-X77-X76-X75-X74</f>
        <v>7227.4187223359913</v>
      </c>
      <c r="Y78" s="175">
        <f>Y72-Y77-Y76-Y75-Y74</f>
        <v>7790.6979787178025</v>
      </c>
      <c r="Z78" s="175">
        <f>Z72-Z77-Z76-Z75-Z74</f>
        <v>8800.2976186863307</v>
      </c>
    </row>
    <row r="79" spans="1:26" x14ac:dyDescent="0.25">
      <c r="A79" s="167">
        <v>1</v>
      </c>
      <c r="B79" s="167">
        <v>1985</v>
      </c>
      <c r="C79" s="167">
        <v>123.4</v>
      </c>
      <c r="D79" s="167">
        <v>100.8</v>
      </c>
      <c r="E79" s="167"/>
      <c r="F79" s="167"/>
      <c r="G79" s="167"/>
      <c r="I79" s="172">
        <v>60.4</v>
      </c>
      <c r="J79" s="164">
        <v>1</v>
      </c>
      <c r="K79" s="164">
        <v>1985</v>
      </c>
      <c r="L79" s="173">
        <v>16918</v>
      </c>
      <c r="M79" s="172">
        <v>103.6</v>
      </c>
      <c r="N79" s="172">
        <f t="shared" si="0"/>
        <v>253.16821192052979</v>
      </c>
      <c r="V79" s="167"/>
      <c r="W79" s="167"/>
      <c r="X79" s="167"/>
      <c r="Y79" s="167"/>
      <c r="Z79" s="167"/>
    </row>
    <row r="80" spans="1:26" x14ac:dyDescent="0.25">
      <c r="A80" s="167">
        <v>2</v>
      </c>
      <c r="B80" s="167"/>
      <c r="C80" s="167">
        <v>102</v>
      </c>
      <c r="D80" s="167">
        <v>81.099999999999994</v>
      </c>
      <c r="E80" s="167"/>
      <c r="F80" s="167"/>
      <c r="G80" s="167"/>
      <c r="I80" s="172">
        <v>61.5</v>
      </c>
      <c r="J80" s="164">
        <v>2</v>
      </c>
      <c r="L80" s="173">
        <v>14237</v>
      </c>
      <c r="M80" s="172">
        <v>115.3</v>
      </c>
      <c r="N80" s="172">
        <f t="shared" si="0"/>
        <v>276.71999999999997</v>
      </c>
      <c r="V80" s="166" t="s">
        <v>162</v>
      </c>
      <c r="W80" s="167"/>
      <c r="X80" s="167"/>
      <c r="Y80" s="167"/>
    </row>
    <row r="81" spans="1:25" x14ac:dyDescent="0.25">
      <c r="A81" s="167">
        <v>3</v>
      </c>
      <c r="B81" s="167"/>
      <c r="C81" s="167">
        <v>108.4</v>
      </c>
      <c r="D81" s="167">
        <v>86</v>
      </c>
      <c r="E81" s="167"/>
      <c r="F81" s="167"/>
      <c r="G81" s="167"/>
      <c r="I81" s="172">
        <v>62</v>
      </c>
      <c r="J81" s="164">
        <v>3</v>
      </c>
      <c r="L81" s="173">
        <v>14329</v>
      </c>
      <c r="M81" s="172">
        <v>103</v>
      </c>
      <c r="N81" s="172">
        <f t="shared" si="0"/>
        <v>245.20645161290324</v>
      </c>
      <c r="V81" s="167"/>
      <c r="W81" s="167"/>
      <c r="X81" s="167"/>
      <c r="Y81" s="167"/>
    </row>
    <row r="82" spans="1:25" x14ac:dyDescent="0.25">
      <c r="A82" s="167">
        <v>4</v>
      </c>
      <c r="B82" s="167"/>
      <c r="C82" s="167">
        <v>109.6</v>
      </c>
      <c r="D82" s="167">
        <v>87.1</v>
      </c>
      <c r="E82" s="167"/>
      <c r="F82" s="167"/>
      <c r="G82" s="167"/>
      <c r="I82" s="172">
        <v>63</v>
      </c>
      <c r="J82" s="164">
        <v>4</v>
      </c>
      <c r="L82" s="173">
        <v>13060</v>
      </c>
      <c r="M82" s="172">
        <v>118.7</v>
      </c>
      <c r="N82" s="172">
        <f t="shared" si="0"/>
        <v>278.09714285714284</v>
      </c>
      <c r="V82" s="167"/>
      <c r="W82" s="171" t="str">
        <f>+'Tab4'!C6</f>
        <v>2016</v>
      </c>
      <c r="X82" s="171" t="str">
        <f>+'Tab4'!D6</f>
        <v>2017</v>
      </c>
      <c r="Y82" s="171" t="str">
        <f>+'Tab4'!E6</f>
        <v>2018</v>
      </c>
    </row>
    <row r="83" spans="1:25" x14ac:dyDescent="0.25">
      <c r="A83" s="167">
        <v>1</v>
      </c>
      <c r="B83" s="167">
        <v>1986</v>
      </c>
      <c r="C83" s="167">
        <v>141</v>
      </c>
      <c r="D83" s="167">
        <v>115.2</v>
      </c>
      <c r="E83" s="167"/>
      <c r="F83" s="167"/>
      <c r="G83" s="167"/>
      <c r="I83" s="172">
        <v>64</v>
      </c>
      <c r="J83" s="164">
        <v>1</v>
      </c>
      <c r="K83" s="164">
        <v>1986</v>
      </c>
      <c r="L83" s="173">
        <v>14314</v>
      </c>
      <c r="M83" s="172">
        <v>111.8</v>
      </c>
      <c r="N83" s="172">
        <f t="shared" si="0"/>
        <v>257.83875</v>
      </c>
      <c r="V83" s="167" t="s">
        <v>84</v>
      </c>
      <c r="W83" s="174">
        <f>IF('Tab4'!C14="",'Tab4'!C13,'Tab4'!C14)</f>
        <v>5586.4400612353575</v>
      </c>
      <c r="X83" s="174">
        <f>IF('Tab4'!D14="",'Tab4'!D13,'Tab4'!D14)</f>
        <v>5230.8983176788379</v>
      </c>
      <c r="Y83" s="174">
        <f>IF('Tab4'!E14="",'Tab4'!E13,'Tab4'!E14)</f>
        <v>6749.2810834624852</v>
      </c>
    </row>
    <row r="84" spans="1:25" x14ac:dyDescent="0.25">
      <c r="A84" s="167">
        <v>2</v>
      </c>
      <c r="B84" s="167"/>
      <c r="C84" s="167">
        <v>120.5</v>
      </c>
      <c r="D84" s="167">
        <v>93.2</v>
      </c>
      <c r="E84" s="167"/>
      <c r="F84" s="167"/>
      <c r="G84" s="167"/>
      <c r="I84" s="172">
        <v>65</v>
      </c>
      <c r="J84" s="164">
        <v>2</v>
      </c>
      <c r="L84" s="173">
        <v>13505</v>
      </c>
      <c r="M84" s="172">
        <v>121.5</v>
      </c>
      <c r="N84" s="172">
        <f t="shared" si="0"/>
        <v>275.8984615384615</v>
      </c>
      <c r="V84" s="167" t="s">
        <v>169</v>
      </c>
      <c r="W84" s="174">
        <f>IF('Tab4'!C16="",'Tab4'!C15,'Tab4'!C16)</f>
        <v>4034.6048600896183</v>
      </c>
      <c r="X84" s="174">
        <f>IF('Tab4'!D16="",'Tab4'!D15,'Tab4'!D16)</f>
        <v>3900.5517770320093</v>
      </c>
      <c r="Y84" s="174">
        <f>IF('Tab4'!E16="",'Tab4'!E15,'Tab4'!E16)</f>
        <v>5286.9828060371356</v>
      </c>
    </row>
    <row r="85" spans="1:25" x14ac:dyDescent="0.25">
      <c r="A85" s="167">
        <v>3</v>
      </c>
      <c r="B85" s="167"/>
      <c r="C85" s="167">
        <v>115.7</v>
      </c>
      <c r="D85" s="167">
        <v>91.1</v>
      </c>
      <c r="E85" s="167"/>
      <c r="F85" s="167"/>
      <c r="G85" s="167"/>
      <c r="I85" s="172">
        <v>67</v>
      </c>
      <c r="J85" s="164">
        <v>3</v>
      </c>
      <c r="L85" s="173">
        <v>12132</v>
      </c>
      <c r="M85" s="172">
        <v>100.8</v>
      </c>
      <c r="N85" s="172">
        <f t="shared" si="0"/>
        <v>222.06089552238805</v>
      </c>
      <c r="V85" s="167" t="s">
        <v>7</v>
      </c>
      <c r="W85" s="174">
        <f>IF('Tab4'!C18="",'Tab4'!C17,'Tab4'!C18)</f>
        <v>1493.2386639074216</v>
      </c>
      <c r="X85" s="174">
        <f>IF('Tab4'!D18="",'Tab4'!D17,'Tab4'!D18)</f>
        <v>1415.3484573075712</v>
      </c>
      <c r="Y85" s="174">
        <f>IF('Tab4'!E18="",'Tab4'!E17,'Tab4'!E18)</f>
        <v>1363.7842889789267</v>
      </c>
    </row>
    <row r="86" spans="1:25" x14ac:dyDescent="0.25">
      <c r="A86" s="167">
        <v>4</v>
      </c>
      <c r="B86" s="167"/>
      <c r="C86" s="167">
        <v>114.4</v>
      </c>
      <c r="D86" s="167">
        <v>90.8</v>
      </c>
      <c r="E86" s="167"/>
      <c r="F86" s="167"/>
      <c r="G86" s="167"/>
      <c r="I86" s="172">
        <v>68.5</v>
      </c>
      <c r="J86" s="164">
        <v>4</v>
      </c>
      <c r="L86" s="173">
        <v>11763</v>
      </c>
      <c r="M86" s="172">
        <v>120.6</v>
      </c>
      <c r="N86" s="172">
        <f t="shared" si="0"/>
        <v>259.86218978102187</v>
      </c>
      <c r="V86" s="164" t="s">
        <v>8</v>
      </c>
      <c r="W86" s="174">
        <f>IF('Tab4'!C20="",'Tab4'!C19,'Tab4'!C20)</f>
        <v>1556.1120566629634</v>
      </c>
      <c r="X86" s="174">
        <f>IF('Tab4'!D20="",'Tab4'!D19,'Tab4'!D20)</f>
        <v>1387.3754178750219</v>
      </c>
      <c r="Y86" s="174">
        <f>IF('Tab4'!E20="",'Tab4'!E19,'Tab4'!E20)</f>
        <v>1305.4693500324836</v>
      </c>
    </row>
    <row r="87" spans="1:25" x14ac:dyDescent="0.25">
      <c r="A87" s="167">
        <v>1</v>
      </c>
      <c r="B87" s="167">
        <v>1987</v>
      </c>
      <c r="C87" s="167">
        <v>152.19999999999999</v>
      </c>
      <c r="D87" s="167">
        <v>121.3</v>
      </c>
      <c r="E87" s="167"/>
      <c r="F87" s="167"/>
      <c r="G87" s="167"/>
      <c r="I87" s="172">
        <v>70.5</v>
      </c>
      <c r="J87" s="164">
        <v>1</v>
      </c>
      <c r="K87" s="164">
        <v>1987</v>
      </c>
      <c r="L87" s="173">
        <v>17280</v>
      </c>
      <c r="M87" s="172">
        <v>135.6</v>
      </c>
      <c r="N87" s="172">
        <f t="shared" si="0"/>
        <v>283.89446808510638</v>
      </c>
      <c r="V87" s="167" t="s">
        <v>9</v>
      </c>
      <c r="W87" s="174">
        <f>IF('Tab4'!C20="",'Tab4'!C21,'Tab4'!C22)</f>
        <v>397.93455426671096</v>
      </c>
      <c r="X87" s="174">
        <f>IF('Tab4'!D20="",'Tab4'!D21,'Tab4'!D22)</f>
        <v>401.15314912061172</v>
      </c>
      <c r="Y87" s="174">
        <f>IF('Tab4'!E20="",'Tab4'!E21,'Tab4'!E22)</f>
        <v>416.25019085927642</v>
      </c>
    </row>
    <row r="88" spans="1:25" x14ac:dyDescent="0.25">
      <c r="A88" s="167">
        <v>2</v>
      </c>
      <c r="B88" s="167"/>
      <c r="C88" s="167">
        <v>109.2</v>
      </c>
      <c r="D88" s="167">
        <v>86.1</v>
      </c>
      <c r="E88" s="167"/>
      <c r="F88" s="167"/>
      <c r="G88" s="167"/>
      <c r="I88" s="172">
        <v>71.599999999999994</v>
      </c>
      <c r="J88" s="164">
        <v>2</v>
      </c>
      <c r="L88" s="173">
        <v>12241</v>
      </c>
      <c r="M88" s="172">
        <v>135.9</v>
      </c>
      <c r="N88" s="172">
        <f t="shared" si="0"/>
        <v>280.15139664804474</v>
      </c>
      <c r="V88" s="167" t="s">
        <v>10</v>
      </c>
      <c r="W88" s="174">
        <f>IF('Tab4'!C22="",'Tab4'!C29,'Tab4'!C30)</f>
        <v>1725.9445114489031</v>
      </c>
      <c r="X88" s="174">
        <f>IF('Tab4'!D22="",'Tab4'!D29,'Tab4'!D30)</f>
        <v>1637.6368887491637</v>
      </c>
      <c r="Y88" s="174">
        <f>IF('Tab4'!E22="",'Tab4'!E29,'Tab4'!E30)</f>
        <v>1739.1033802745555</v>
      </c>
    </row>
    <row r="89" spans="1:25" x14ac:dyDescent="0.25">
      <c r="A89" s="167">
        <v>3</v>
      </c>
      <c r="B89" s="167"/>
      <c r="C89" s="167">
        <v>110.1</v>
      </c>
      <c r="D89" s="167">
        <v>87.3</v>
      </c>
      <c r="E89" s="167"/>
      <c r="F89" s="167"/>
      <c r="G89" s="167"/>
      <c r="I89" s="172">
        <v>72.3</v>
      </c>
      <c r="J89" s="164">
        <v>3</v>
      </c>
      <c r="L89" s="173">
        <v>11506</v>
      </c>
      <c r="M89" s="172">
        <v>112.3</v>
      </c>
      <c r="N89" s="172">
        <f t="shared" si="0"/>
        <v>229.25975103734439</v>
      </c>
      <c r="V89" s="167" t="s">
        <v>11</v>
      </c>
      <c r="W89" s="174">
        <f>IF('Tab4'!C30="",'Tab4'!C31,'Tab4'!C32)</f>
        <v>368.91039147919628</v>
      </c>
      <c r="X89" s="174">
        <f>IF('Tab4'!D30="",'Tab4'!D31,'Tab4'!D32)</f>
        <v>372.4964278198899</v>
      </c>
      <c r="Y89" s="174">
        <f>IF('Tab4'!E30="",'Tab4'!E31,'Tab4'!E32)</f>
        <v>459.96772914450486</v>
      </c>
    </row>
    <row r="90" spans="1:25" x14ac:dyDescent="0.25">
      <c r="A90" s="167">
        <v>4</v>
      </c>
      <c r="B90" s="167"/>
      <c r="C90" s="167">
        <v>112</v>
      </c>
      <c r="D90" s="167">
        <v>89.8</v>
      </c>
      <c r="E90" s="167"/>
      <c r="F90" s="167"/>
      <c r="G90" s="167"/>
      <c r="I90" s="172">
        <v>73.599999999999994</v>
      </c>
      <c r="J90" s="164">
        <v>4</v>
      </c>
      <c r="L90" s="173">
        <v>12860</v>
      </c>
      <c r="M90" s="172">
        <v>134.5</v>
      </c>
      <c r="N90" s="172">
        <f t="shared" si="0"/>
        <v>269.73097826086956</v>
      </c>
      <c r="V90" s="167" t="s">
        <v>12</v>
      </c>
      <c r="W90" s="174">
        <f>IF('Tab4'!C32="",'Tab4'!C33,'Tab4'!C34)</f>
        <v>866.96305299337291</v>
      </c>
      <c r="X90" s="174">
        <f>IF('Tab4'!D32="",'Tab4'!D33,'Tab4'!D34)</f>
        <v>679.31885226898271</v>
      </c>
      <c r="Y90" s="174">
        <f>IF('Tab4'!E32="",'Tab4'!E33,'Tab4'!E34)</f>
        <v>757.47810499964385</v>
      </c>
    </row>
    <row r="91" spans="1:25" x14ac:dyDescent="0.25">
      <c r="A91" s="167">
        <v>1</v>
      </c>
      <c r="B91" s="167">
        <v>1988</v>
      </c>
      <c r="C91" s="167">
        <v>134.1</v>
      </c>
      <c r="D91" s="167">
        <v>107.5</v>
      </c>
      <c r="E91" s="167"/>
      <c r="F91" s="167"/>
      <c r="G91" s="167"/>
      <c r="I91" s="172">
        <v>75.2</v>
      </c>
      <c r="J91" s="164">
        <v>1</v>
      </c>
      <c r="K91" s="164">
        <v>1988</v>
      </c>
      <c r="L91" s="173">
        <v>10180</v>
      </c>
      <c r="M91" s="172">
        <v>130.80000000000001</v>
      </c>
      <c r="N91" s="172">
        <f t="shared" si="0"/>
        <v>256.72978723404259</v>
      </c>
      <c r="V91" s="167" t="s">
        <v>13</v>
      </c>
      <c r="W91" s="174">
        <f>IF('Tab4'!C34="",'Tab4'!C35,'Tab4'!C36)</f>
        <v>107.1265294507206</v>
      </c>
      <c r="X91" s="174">
        <f>IF('Tab4'!D34="",'Tab4'!D35,'Tab4'!D36)</f>
        <v>89.789844258129705</v>
      </c>
      <c r="Y91" s="174">
        <f>IF('Tab4'!E34="",'Tab4'!E35,'Tab4'!E36)</f>
        <v>149.75039763065843</v>
      </c>
    </row>
    <row r="92" spans="1:25" x14ac:dyDescent="0.25">
      <c r="A92" s="167">
        <v>2</v>
      </c>
      <c r="B92" s="167"/>
      <c r="C92" s="167">
        <v>113.7</v>
      </c>
      <c r="D92" s="167">
        <v>90</v>
      </c>
      <c r="E92" s="167"/>
      <c r="F92" s="167"/>
      <c r="G92" s="167"/>
      <c r="I92" s="172">
        <v>76.7</v>
      </c>
      <c r="J92" s="164">
        <v>2</v>
      </c>
      <c r="L92" s="173">
        <v>11081</v>
      </c>
      <c r="M92" s="172">
        <v>95.1</v>
      </c>
      <c r="N92" s="172">
        <f t="shared" si="0"/>
        <v>183.00860495436766</v>
      </c>
      <c r="V92" s="167" t="s">
        <v>14</v>
      </c>
      <c r="W92" s="174">
        <f>IF('Tab4'!C38="",'Tab4'!C37,'Tab4'!C38)</f>
        <v>559.91563653964533</v>
      </c>
      <c r="X92" s="174">
        <f>IF('Tab4'!D38="",'Tab4'!D37,'Tab4'!D38)</f>
        <v>702.4559895928378</v>
      </c>
      <c r="Y92" s="174">
        <f>IF('Tab4'!E38="",'Tab4'!E37,'Tab4'!E38)</f>
        <v>636.40258000706467</v>
      </c>
    </row>
    <row r="93" spans="1:25" x14ac:dyDescent="0.25">
      <c r="A93" s="167">
        <v>3</v>
      </c>
      <c r="B93" s="167"/>
      <c r="C93" s="167">
        <v>116.3</v>
      </c>
      <c r="D93" s="167">
        <v>93.1</v>
      </c>
      <c r="E93" s="167"/>
      <c r="F93" s="167"/>
      <c r="G93" s="167"/>
      <c r="I93" s="172">
        <v>77</v>
      </c>
      <c r="J93" s="164">
        <v>3</v>
      </c>
      <c r="L93" s="173">
        <v>15987</v>
      </c>
      <c r="M93" s="172">
        <v>148.69999999999999</v>
      </c>
      <c r="N93" s="172">
        <f t="shared" si="0"/>
        <v>285.04051948051944</v>
      </c>
      <c r="V93" s="167" t="s">
        <v>85</v>
      </c>
      <c r="W93" s="175">
        <f>SUM(W83:W92)</f>
        <v>16697.19031807391</v>
      </c>
      <c r="X93" s="175">
        <f>SUM(X83:X92)</f>
        <v>15817.025121703056</v>
      </c>
      <c r="Y93" s="175">
        <f>SUM(Y83:Y92)</f>
        <v>18864.469911426731</v>
      </c>
    </row>
    <row r="94" spans="1:25" x14ac:dyDescent="0.25">
      <c r="A94" s="167">
        <v>4</v>
      </c>
      <c r="B94" s="167"/>
      <c r="C94" s="167">
        <v>115.2</v>
      </c>
      <c r="D94" s="167">
        <v>93.4</v>
      </c>
      <c r="E94" s="167"/>
      <c r="F94" s="167"/>
      <c r="G94" s="167"/>
      <c r="I94" s="172">
        <v>78.099999999999994</v>
      </c>
      <c r="J94" s="164">
        <v>4</v>
      </c>
      <c r="L94" s="173">
        <v>12493</v>
      </c>
      <c r="M94" s="172">
        <v>199.8</v>
      </c>
      <c r="N94" s="172">
        <f t="shared" si="0"/>
        <v>377.59897567221515</v>
      </c>
      <c r="V94" s="167"/>
      <c r="W94" s="167"/>
      <c r="X94" s="167"/>
      <c r="Y94" s="167"/>
    </row>
    <row r="95" spans="1:25" x14ac:dyDescent="0.25">
      <c r="A95" s="167">
        <v>1</v>
      </c>
      <c r="B95" s="167">
        <v>1989</v>
      </c>
      <c r="C95" s="167">
        <v>106.6</v>
      </c>
      <c r="D95" s="167">
        <v>86.4</v>
      </c>
      <c r="E95" s="167"/>
      <c r="F95" s="167"/>
      <c r="G95" s="167"/>
      <c r="I95" s="172">
        <v>78.900000000000006</v>
      </c>
      <c r="J95" s="164">
        <v>1</v>
      </c>
      <c r="K95" s="164">
        <v>1989</v>
      </c>
      <c r="L95" s="173">
        <v>10988</v>
      </c>
      <c r="M95" s="172">
        <v>142.6</v>
      </c>
      <c r="N95" s="172">
        <f t="shared" si="0"/>
        <v>266.76501901140682</v>
      </c>
      <c r="V95" s="167" t="s">
        <v>170</v>
      </c>
      <c r="W95" s="176">
        <f>+W93+X72</f>
        <v>26425.560161972659</v>
      </c>
      <c r="X95" s="176">
        <f>+X93+Y72</f>
        <v>26218.349235097503</v>
      </c>
      <c r="Y95" s="176">
        <f>+Y93+Z72</f>
        <v>30182.092782711246</v>
      </c>
    </row>
    <row r="96" spans="1:25" x14ac:dyDescent="0.25">
      <c r="A96" s="167">
        <v>2</v>
      </c>
      <c r="B96" s="167"/>
      <c r="C96" s="167">
        <v>98</v>
      </c>
      <c r="D96" s="167">
        <v>79.599999999999994</v>
      </c>
      <c r="E96" s="167"/>
      <c r="F96" s="167"/>
      <c r="G96" s="167"/>
      <c r="I96" s="172">
        <v>80.3</v>
      </c>
      <c r="J96" s="164">
        <v>2</v>
      </c>
      <c r="L96" s="173">
        <v>10292</v>
      </c>
      <c r="M96" s="172">
        <v>117.3</v>
      </c>
      <c r="N96" s="172">
        <f t="shared" si="0"/>
        <v>215.60996264009964</v>
      </c>
    </row>
    <row r="97" spans="1:25" x14ac:dyDescent="0.25">
      <c r="A97" s="167">
        <v>3</v>
      </c>
      <c r="B97" s="167"/>
      <c r="C97" s="167">
        <v>96.9</v>
      </c>
      <c r="D97" s="167">
        <v>79</v>
      </c>
      <c r="E97" s="167"/>
      <c r="F97" s="167"/>
      <c r="G97" s="167"/>
      <c r="I97" s="172">
        <v>80.599999999999994</v>
      </c>
      <c r="J97" s="164">
        <v>3</v>
      </c>
      <c r="L97" s="173">
        <v>11352</v>
      </c>
      <c r="M97" s="172">
        <v>103.6</v>
      </c>
      <c r="N97" s="172">
        <f t="shared" si="0"/>
        <v>189.71910669975185</v>
      </c>
      <c r="Y97" s="167"/>
    </row>
    <row r="98" spans="1:25" x14ac:dyDescent="0.25">
      <c r="A98" s="167">
        <v>4</v>
      </c>
      <c r="B98" s="167"/>
      <c r="C98" s="167">
        <v>93.4</v>
      </c>
      <c r="D98" s="167">
        <v>76.8</v>
      </c>
      <c r="E98" s="167"/>
      <c r="F98" s="167"/>
      <c r="G98" s="167"/>
      <c r="I98" s="172">
        <v>81.400000000000006</v>
      </c>
      <c r="J98" s="164">
        <v>4</v>
      </c>
      <c r="L98" s="173">
        <v>11958</v>
      </c>
      <c r="M98" s="172">
        <v>132</v>
      </c>
      <c r="N98" s="172">
        <f t="shared" si="0"/>
        <v>239.35135135135133</v>
      </c>
      <c r="V98" s="166" t="s">
        <v>185</v>
      </c>
      <c r="W98" s="167"/>
      <c r="X98" s="167"/>
      <c r="Y98" s="167"/>
    </row>
    <row r="99" spans="1:25" x14ac:dyDescent="0.25">
      <c r="A99" s="167">
        <v>1</v>
      </c>
      <c r="B99" s="167">
        <v>1990</v>
      </c>
      <c r="C99" s="167">
        <v>99.4</v>
      </c>
      <c r="D99" s="167">
        <v>81.3</v>
      </c>
      <c r="E99" s="167"/>
      <c r="F99" s="167"/>
      <c r="G99" s="167"/>
      <c r="I99" s="172">
        <v>82.3</v>
      </c>
      <c r="J99" s="164">
        <v>1</v>
      </c>
      <c r="K99" s="164">
        <v>1990</v>
      </c>
      <c r="L99" s="173">
        <v>13741</v>
      </c>
      <c r="M99" s="172">
        <v>142.9</v>
      </c>
      <c r="N99" s="172">
        <f t="shared" si="0"/>
        <v>256.2823815309842</v>
      </c>
      <c r="V99" s="167"/>
      <c r="X99" s="167"/>
      <c r="Y99" s="167"/>
    </row>
    <row r="100" spans="1:25" x14ac:dyDescent="0.25">
      <c r="A100" s="167">
        <v>2</v>
      </c>
      <c r="B100" s="167"/>
      <c r="C100" s="167">
        <v>88.6</v>
      </c>
      <c r="D100" s="167">
        <v>73.099999999999994</v>
      </c>
      <c r="E100" s="167"/>
      <c r="F100" s="167"/>
      <c r="G100" s="167"/>
      <c r="I100" s="172">
        <v>83.4</v>
      </c>
      <c r="J100" s="164">
        <v>2</v>
      </c>
      <c r="L100" s="173">
        <v>10045</v>
      </c>
      <c r="M100" s="172">
        <v>116.5</v>
      </c>
      <c r="N100" s="172">
        <f t="shared" si="0"/>
        <v>206.1798561151079</v>
      </c>
      <c r="V100" s="167"/>
      <c r="W100" s="171" t="str">
        <f>+W82</f>
        <v>2016</v>
      </c>
      <c r="X100" s="171" t="str">
        <f>+X82</f>
        <v>2017</v>
      </c>
      <c r="Y100" s="171" t="str">
        <f>+Y82</f>
        <v>2018</v>
      </c>
    </row>
    <row r="101" spans="1:25" x14ac:dyDescent="0.25">
      <c r="A101" s="167">
        <v>3</v>
      </c>
      <c r="B101" s="167"/>
      <c r="C101" s="167">
        <v>88.2</v>
      </c>
      <c r="D101" s="167">
        <v>72.5</v>
      </c>
      <c r="E101" s="167"/>
      <c r="F101" s="167"/>
      <c r="G101" s="167"/>
      <c r="I101" s="172">
        <v>83.7</v>
      </c>
      <c r="J101" s="164">
        <v>3</v>
      </c>
      <c r="L101" s="173">
        <v>10870</v>
      </c>
      <c r="M101" s="172">
        <v>101.4</v>
      </c>
      <c r="N101" s="172">
        <f t="shared" si="0"/>
        <v>178.81290322580645</v>
      </c>
      <c r="V101" s="167" t="s">
        <v>18</v>
      </c>
      <c r="W101" s="177">
        <f>IF('Tab7'!C10="",+'Tab7'!C9+'Tab11'!C9,+'Tab7'!C10+'Tab11'!C10)</f>
        <v>21734.710147123653</v>
      </c>
      <c r="X101" s="177">
        <f>IF('Tab7'!D10="",+'Tab7'!D9+'Tab11'!D9,+'Tab7'!D10+'Tab11'!D10)</f>
        <v>21024.265041689487</v>
      </c>
      <c r="Y101" s="177">
        <f>IF('Tab7'!E10="",+'Tab7'!E9+'Tab11'!E9,+'Tab7'!E10+'Tab11'!E10)</f>
        <v>22519.979302173913</v>
      </c>
    </row>
    <row r="102" spans="1:25" x14ac:dyDescent="0.25">
      <c r="A102" s="167">
        <v>4</v>
      </c>
      <c r="B102" s="167"/>
      <c r="C102" s="167">
        <v>84.8</v>
      </c>
      <c r="D102" s="167">
        <v>70.2</v>
      </c>
      <c r="E102" s="167"/>
      <c r="F102" s="167"/>
      <c r="G102" s="167"/>
      <c r="I102" s="172">
        <v>85.1</v>
      </c>
      <c r="J102" s="164">
        <v>4</v>
      </c>
      <c r="L102" s="173">
        <v>11076</v>
      </c>
      <c r="M102" s="172">
        <v>120</v>
      </c>
      <c r="N102" s="172">
        <f t="shared" si="0"/>
        <v>208.13160987074031</v>
      </c>
      <c r="V102" s="167" t="s">
        <v>86</v>
      </c>
      <c r="W102" s="177">
        <f>IF('Tab7'!C12="",+'Tab7'!C11+'Tab11'!C11,+'Tab7'!C12+'Tab11'!C12)</f>
        <v>65032.45872217897</v>
      </c>
      <c r="X102" s="177">
        <f>IF('Tab7'!D12="",+'Tab7'!D11+'Tab11'!D11,+'Tab7'!D12+'Tab11'!D12)</f>
        <v>55947.099327646909</v>
      </c>
      <c r="Y102" s="177">
        <f>IF('Tab7'!E12="",+'Tab7'!E11+'Tab11'!E11,+'Tab7'!E12+'Tab11'!E12)</f>
        <v>68720.092901185766</v>
      </c>
    </row>
    <row r="103" spans="1:25" x14ac:dyDescent="0.25">
      <c r="A103" s="167">
        <v>1</v>
      </c>
      <c r="B103" s="167">
        <v>1991</v>
      </c>
      <c r="C103" s="167">
        <v>97.5</v>
      </c>
      <c r="D103" s="167">
        <v>82.4</v>
      </c>
      <c r="E103" s="167"/>
      <c r="F103" s="167"/>
      <c r="G103" s="167"/>
      <c r="I103" s="172">
        <v>85.5</v>
      </c>
      <c r="J103" s="164">
        <v>1</v>
      </c>
      <c r="K103" s="164">
        <v>1991</v>
      </c>
      <c r="L103" s="173">
        <v>10172</v>
      </c>
      <c r="M103" s="172">
        <v>130.10000000000002</v>
      </c>
      <c r="N103" s="172">
        <f t="shared" ref="N103:N106" si="1">M103/I103*$I$69</f>
        <v>224.59368421052633</v>
      </c>
      <c r="O103" s="173">
        <v>6727</v>
      </c>
      <c r="P103" s="172">
        <v>376.9</v>
      </c>
      <c r="Q103" s="172">
        <f>P103/I103*$I$69</f>
        <v>650.64842105263142</v>
      </c>
      <c r="R103" s="173">
        <v>9077</v>
      </c>
      <c r="S103" s="172">
        <v>139.9</v>
      </c>
      <c r="T103" s="172">
        <f>S103/I103*$I$69</f>
        <v>241.51157894736841</v>
      </c>
      <c r="V103" s="167" t="s">
        <v>63</v>
      </c>
      <c r="W103" s="177">
        <f>IF('Tab7'!C14="",+'Tab7'!C13+'Tab11'!C13,+'Tab7'!C14+'Tab11'!C14)</f>
        <v>26773.592666263976</v>
      </c>
      <c r="X103" s="177">
        <f>IF('Tab7'!D14="",+'Tab7'!D13+'Tab11'!D13,+'Tab7'!D14+'Tab11'!D14)</f>
        <v>22044.151373225799</v>
      </c>
      <c r="Y103" s="177">
        <f>IF('Tab7'!E14="",+'Tab7'!E13+'Tab11'!E13,+'Tab7'!E14+'Tab11'!E14)</f>
        <v>24478.980666149069</v>
      </c>
    </row>
    <row r="104" spans="1:25" x14ac:dyDescent="0.25">
      <c r="A104" s="167">
        <v>2</v>
      </c>
      <c r="B104" s="167"/>
      <c r="C104" s="167">
        <v>93.9</v>
      </c>
      <c r="D104" s="167">
        <v>78</v>
      </c>
      <c r="E104" s="167"/>
      <c r="F104" s="167"/>
      <c r="G104" s="167"/>
      <c r="I104" s="172">
        <v>86.6</v>
      </c>
      <c r="J104" s="164">
        <v>2</v>
      </c>
      <c r="L104" s="173">
        <v>10188</v>
      </c>
      <c r="M104" s="172">
        <v>126.69999999999993</v>
      </c>
      <c r="N104" s="172">
        <f t="shared" si="1"/>
        <v>215.9459584295611</v>
      </c>
      <c r="O104" s="173">
        <v>5864</v>
      </c>
      <c r="P104" s="172">
        <v>369.29999999999995</v>
      </c>
      <c r="Q104" s="172">
        <f t="shared" ref="Q104:Q167" si="2">P104/I104*$I$69</f>
        <v>629.43048498845258</v>
      </c>
      <c r="R104" s="173">
        <v>12525</v>
      </c>
      <c r="S104" s="172">
        <v>176.29999999999998</v>
      </c>
      <c r="T104" s="172">
        <f t="shared" ref="T104:T167" si="3">S104/I104*$I$69</f>
        <v>300.4836027713626</v>
      </c>
      <c r="V104" s="167" t="s">
        <v>14</v>
      </c>
      <c r="W104" s="178">
        <f>+W106-SUM(W101:W103)</f>
        <v>171109.09748597274</v>
      </c>
      <c r="X104" s="178">
        <f>+X106-SUM(X101:X103)</f>
        <v>164180.7065785061</v>
      </c>
      <c r="Y104" s="178">
        <f>+Y106-SUM(Y101:Y103)</f>
        <v>220900.12578111916</v>
      </c>
    </row>
    <row r="105" spans="1:25" x14ac:dyDescent="0.25">
      <c r="A105" s="167">
        <v>3</v>
      </c>
      <c r="B105" s="167"/>
      <c r="C105" s="167">
        <v>90.2</v>
      </c>
      <c r="D105" s="167">
        <v>76.099999999999994</v>
      </c>
      <c r="E105" s="167"/>
      <c r="F105" s="167"/>
      <c r="G105" s="167"/>
      <c r="I105" s="172">
        <v>86.6</v>
      </c>
      <c r="J105" s="164">
        <v>3</v>
      </c>
      <c r="L105" s="173">
        <v>10621</v>
      </c>
      <c r="M105" s="172">
        <v>132.60000000000002</v>
      </c>
      <c r="N105" s="172">
        <f t="shared" si="1"/>
        <v>226.00184757505778</v>
      </c>
      <c r="O105" s="173">
        <v>7951</v>
      </c>
      <c r="P105" s="172">
        <v>430.9</v>
      </c>
      <c r="Q105" s="172">
        <f t="shared" si="2"/>
        <v>734.42078521939948</v>
      </c>
      <c r="R105" s="173">
        <v>14126</v>
      </c>
      <c r="S105" s="172">
        <v>204.90000000000003</v>
      </c>
      <c r="T105" s="172">
        <f t="shared" si="3"/>
        <v>349.2290993071594</v>
      </c>
      <c r="V105" s="167"/>
      <c r="W105" s="167"/>
      <c r="X105" s="167"/>
      <c r="Y105" s="167"/>
    </row>
    <row r="106" spans="1:25" x14ac:dyDescent="0.25">
      <c r="A106" s="167">
        <v>4</v>
      </c>
      <c r="B106" s="167"/>
      <c r="C106" s="167">
        <v>92.6</v>
      </c>
      <c r="D106" s="167">
        <v>78.099999999999994</v>
      </c>
      <c r="E106" s="167"/>
      <c r="F106" s="167"/>
      <c r="G106" s="167"/>
      <c r="I106" s="172">
        <v>87.3</v>
      </c>
      <c r="J106" s="164">
        <v>4</v>
      </c>
      <c r="L106" s="173">
        <v>11640</v>
      </c>
      <c r="M106" s="172">
        <v>138.20000000000005</v>
      </c>
      <c r="N106" s="172">
        <f t="shared" si="1"/>
        <v>233.65773195876295</v>
      </c>
      <c r="O106" s="173">
        <v>13048</v>
      </c>
      <c r="P106" s="172">
        <v>427.00000000000023</v>
      </c>
      <c r="Q106" s="172">
        <f t="shared" si="2"/>
        <v>721.93814432989734</v>
      </c>
      <c r="R106" s="173">
        <v>13048</v>
      </c>
      <c r="S106" s="172">
        <v>185</v>
      </c>
      <c r="T106" s="172">
        <f t="shared" si="3"/>
        <v>312.78350515463916</v>
      </c>
      <c r="V106" s="167" t="s">
        <v>87</v>
      </c>
      <c r="W106" s="177">
        <f>IF('Tab7'!C8="",+'Tab7'!C7+'Tab11'!C7,+'Tab7'!C8+'Tab11'!C8)</f>
        <v>284649.85902153933</v>
      </c>
      <c r="X106" s="177">
        <f>IF('Tab7'!D8="",+'Tab7'!D7+'Tab11'!D7,+'Tab7'!D8+'Tab11'!D8)</f>
        <v>263196.22232106829</v>
      </c>
      <c r="Y106" s="177">
        <f>IF('Tab7'!E8="",+'Tab7'!E7+'Tab11'!E7,+'Tab7'!E8+'Tab11'!E8)</f>
        <v>336619.1786506279</v>
      </c>
    </row>
    <row r="107" spans="1:25" x14ac:dyDescent="0.25">
      <c r="A107" s="167">
        <v>1</v>
      </c>
      <c r="B107" s="167">
        <v>1992</v>
      </c>
      <c r="C107" s="167">
        <v>102</v>
      </c>
      <c r="D107" s="167">
        <v>87.1</v>
      </c>
      <c r="E107" s="167"/>
      <c r="F107" s="167"/>
      <c r="G107" s="167"/>
      <c r="I107" s="172">
        <v>87.5</v>
      </c>
      <c r="J107" s="164">
        <v>1</v>
      </c>
      <c r="K107" s="164">
        <v>1992</v>
      </c>
      <c r="L107" s="173">
        <v>10520</v>
      </c>
      <c r="M107" s="172">
        <v>129.4</v>
      </c>
      <c r="N107" s="172">
        <f>M107/I107*$I$69</f>
        <v>218.27931428571429</v>
      </c>
      <c r="O107" s="173">
        <v>6509</v>
      </c>
      <c r="P107" s="172">
        <v>409.5</v>
      </c>
      <c r="Q107" s="172">
        <f t="shared" si="2"/>
        <v>690.76799999999992</v>
      </c>
      <c r="R107" s="173">
        <v>11030</v>
      </c>
      <c r="S107" s="172">
        <v>180.5</v>
      </c>
      <c r="T107" s="172">
        <f t="shared" si="3"/>
        <v>304.47771428571423</v>
      </c>
    </row>
    <row r="108" spans="1:25" x14ac:dyDescent="0.25">
      <c r="A108" s="167">
        <v>2</v>
      </c>
      <c r="B108" s="167"/>
      <c r="C108" s="167">
        <v>92.2</v>
      </c>
      <c r="D108" s="167">
        <v>78.900000000000006</v>
      </c>
      <c r="E108" s="167"/>
      <c r="F108" s="167"/>
      <c r="G108" s="167"/>
      <c r="I108" s="172">
        <v>88.6</v>
      </c>
      <c r="J108" s="164">
        <v>2</v>
      </c>
      <c r="L108" s="173">
        <v>10661</v>
      </c>
      <c r="M108" s="172">
        <v>112.9</v>
      </c>
      <c r="N108" s="172">
        <f t="shared" ref="N108:N171" si="4">M108/I108*$I$69</f>
        <v>188.08171557562079</v>
      </c>
      <c r="O108" s="173">
        <v>5632</v>
      </c>
      <c r="P108" s="172">
        <v>412</v>
      </c>
      <c r="Q108" s="172">
        <f t="shared" si="2"/>
        <v>686.35665914221215</v>
      </c>
      <c r="R108" s="173">
        <v>13252</v>
      </c>
      <c r="S108" s="172">
        <v>167</v>
      </c>
      <c r="T108" s="172">
        <f t="shared" si="3"/>
        <v>278.20767494356659</v>
      </c>
    </row>
    <row r="109" spans="1:25" x14ac:dyDescent="0.25">
      <c r="A109" s="167">
        <v>3</v>
      </c>
      <c r="B109" s="167"/>
      <c r="C109" s="167">
        <v>93.3</v>
      </c>
      <c r="D109" s="167">
        <v>79.900000000000006</v>
      </c>
      <c r="E109" s="167"/>
      <c r="F109" s="167"/>
      <c r="G109" s="167"/>
      <c r="I109" s="172">
        <v>88.7</v>
      </c>
      <c r="J109" s="164">
        <v>3</v>
      </c>
      <c r="L109" s="173">
        <v>11590</v>
      </c>
      <c r="M109" s="172">
        <v>130.59999999999997</v>
      </c>
      <c r="N109" s="172">
        <f t="shared" si="4"/>
        <v>217.32311161217578</v>
      </c>
      <c r="O109" s="173">
        <v>8642</v>
      </c>
      <c r="P109" s="172">
        <v>440.40000000000009</v>
      </c>
      <c r="Q109" s="172">
        <f t="shared" si="2"/>
        <v>732.84148816234517</v>
      </c>
      <c r="R109" s="173">
        <v>15450</v>
      </c>
      <c r="S109" s="172">
        <v>219.10000000000002</v>
      </c>
      <c r="T109" s="172">
        <f t="shared" si="3"/>
        <v>364.59030439684329</v>
      </c>
      <c r="V109" s="166" t="s">
        <v>186</v>
      </c>
      <c r="W109" s="167"/>
      <c r="X109" s="167"/>
      <c r="Y109" s="167"/>
    </row>
    <row r="110" spans="1:25" x14ac:dyDescent="0.25">
      <c r="A110" s="167">
        <v>4</v>
      </c>
      <c r="B110" s="167"/>
      <c r="C110" s="167">
        <v>90.8</v>
      </c>
      <c r="D110" s="167">
        <v>77.599999999999994</v>
      </c>
      <c r="E110" s="167"/>
      <c r="F110" s="167"/>
      <c r="G110" s="167"/>
      <c r="I110" s="172">
        <v>89.3</v>
      </c>
      <c r="J110" s="164">
        <v>4</v>
      </c>
      <c r="L110" s="173">
        <v>11917</v>
      </c>
      <c r="M110" s="172">
        <v>108.50000000000006</v>
      </c>
      <c r="N110" s="172">
        <f t="shared" si="4"/>
        <v>179.33482642777165</v>
      </c>
      <c r="O110" s="173">
        <v>7139</v>
      </c>
      <c r="P110" s="172">
        <v>425.59999999999991</v>
      </c>
      <c r="Q110" s="172">
        <f t="shared" si="2"/>
        <v>703.45531914893593</v>
      </c>
      <c r="R110" s="173">
        <v>12309</v>
      </c>
      <c r="S110" s="172">
        <v>109.39999999999998</v>
      </c>
      <c r="T110" s="172">
        <f t="shared" si="3"/>
        <v>180.82239641657333</v>
      </c>
      <c r="V110" s="167"/>
      <c r="W110" s="167"/>
      <c r="X110" s="167"/>
      <c r="Y110" s="167"/>
    </row>
    <row r="111" spans="1:25" x14ac:dyDescent="0.25">
      <c r="A111" s="167">
        <v>1</v>
      </c>
      <c r="B111" s="167">
        <v>1993</v>
      </c>
      <c r="C111" s="167">
        <v>112.6</v>
      </c>
      <c r="D111" s="167">
        <v>96.5</v>
      </c>
      <c r="E111" s="167"/>
      <c r="F111" s="167"/>
      <c r="G111" s="167"/>
      <c r="I111" s="172">
        <v>89.8</v>
      </c>
      <c r="J111" s="164">
        <v>1</v>
      </c>
      <c r="K111" s="164">
        <v>1993</v>
      </c>
      <c r="L111" s="173">
        <v>11275</v>
      </c>
      <c r="M111" s="172">
        <v>136.89999999999998</v>
      </c>
      <c r="N111" s="172">
        <f t="shared" si="4"/>
        <v>225.01603563474384</v>
      </c>
      <c r="O111" s="173">
        <v>6982</v>
      </c>
      <c r="P111" s="172">
        <v>449.4</v>
      </c>
      <c r="Q111" s="172">
        <f t="shared" si="2"/>
        <v>738.65746102449884</v>
      </c>
      <c r="R111" s="173">
        <v>10571</v>
      </c>
      <c r="S111" s="172">
        <v>175.5</v>
      </c>
      <c r="T111" s="172">
        <f t="shared" si="3"/>
        <v>288.46102449888645</v>
      </c>
      <c r="V111" s="167"/>
      <c r="W111" s="171" t="str">
        <f>+W100</f>
        <v>2016</v>
      </c>
      <c r="X111" s="171" t="str">
        <f>+X100</f>
        <v>2017</v>
      </c>
      <c r="Y111" s="171" t="str">
        <f>+Y100</f>
        <v>2018</v>
      </c>
    </row>
    <row r="112" spans="1:25" x14ac:dyDescent="0.25">
      <c r="A112" s="167">
        <v>2</v>
      </c>
      <c r="B112" s="167"/>
      <c r="C112" s="167">
        <f>205.6-C111</f>
        <v>93</v>
      </c>
      <c r="D112" s="167">
        <f>176.6-D111</f>
        <v>80.099999999999994</v>
      </c>
      <c r="E112" s="167"/>
      <c r="F112" s="167"/>
      <c r="G112" s="167"/>
      <c r="I112" s="172">
        <v>90.8</v>
      </c>
      <c r="J112" s="164">
        <v>2</v>
      </c>
      <c r="L112" s="173">
        <v>10076</v>
      </c>
      <c r="M112" s="172">
        <v>115.20000000000002</v>
      </c>
      <c r="N112" s="172">
        <f t="shared" si="4"/>
        <v>187.26343612334804</v>
      </c>
      <c r="O112" s="173">
        <v>6332</v>
      </c>
      <c r="P112" s="172">
        <v>352.9</v>
      </c>
      <c r="Q112" s="172">
        <f t="shared" si="2"/>
        <v>573.65682819383255</v>
      </c>
      <c r="R112" s="173">
        <v>12919</v>
      </c>
      <c r="S112" s="172">
        <v>191.20000000000005</v>
      </c>
      <c r="T112" s="172">
        <f t="shared" si="3"/>
        <v>310.80528634361235</v>
      </c>
      <c r="V112" s="167" t="s">
        <v>171</v>
      </c>
      <c r="W112" s="176">
        <f>IF('Tab7'!C38="",+'Tab7'!C37+'Tab11'!C37,+'Tab7'!C38+'Tab11'!C38)</f>
        <v>3751.1486136617723</v>
      </c>
      <c r="X112" s="176">
        <f>IF('Tab7'!D38="",+'Tab7'!D37+'Tab11'!D37,+'Tab7'!D38+'Tab11'!D38)</f>
        <v>3932.5021641308085</v>
      </c>
      <c r="Y112" s="176">
        <f>IF('Tab7'!E38="",+'Tab7'!E37+'Tab11'!E37,+'Tab7'!E38+'Tab11'!E38)</f>
        <v>4556.4177878598057</v>
      </c>
    </row>
    <row r="113" spans="1:25" x14ac:dyDescent="0.25">
      <c r="A113" s="167">
        <v>3</v>
      </c>
      <c r="B113" s="167"/>
      <c r="C113" s="167">
        <f>293.1-C112-C111</f>
        <v>87.500000000000028</v>
      </c>
      <c r="D113" s="167">
        <f>250.2-D112-D111</f>
        <v>73.599999999999994</v>
      </c>
      <c r="E113" s="167"/>
      <c r="F113" s="167"/>
      <c r="G113" s="167"/>
      <c r="I113" s="172">
        <v>90.6</v>
      </c>
      <c r="J113" s="164">
        <v>3</v>
      </c>
      <c r="L113" s="173">
        <v>11766</v>
      </c>
      <c r="M113" s="172">
        <v>132.79999999999998</v>
      </c>
      <c r="N113" s="172">
        <f t="shared" si="4"/>
        <v>216.34966887417218</v>
      </c>
      <c r="O113" s="173">
        <v>6675</v>
      </c>
      <c r="P113" s="172">
        <v>388.50000000000023</v>
      </c>
      <c r="Q113" s="172">
        <f t="shared" si="2"/>
        <v>632.92052980132485</v>
      </c>
      <c r="R113" s="173">
        <v>14800</v>
      </c>
      <c r="S113" s="172">
        <v>216.89999999999998</v>
      </c>
      <c r="T113" s="172">
        <f t="shared" si="3"/>
        <v>353.36026490066223</v>
      </c>
      <c r="V113" s="167" t="s">
        <v>86</v>
      </c>
      <c r="W113" s="176">
        <f>IF('Tab7'!C40="",+'Tab7'!C39+'Tab11'!C39,+'Tab7'!C40+'Tab11'!C40)</f>
        <v>3221.1451027601734</v>
      </c>
      <c r="X113" s="176">
        <f>IF('Tab7'!D40="",+'Tab7'!D39+'Tab11'!D39,+'Tab7'!D40+'Tab11'!D40)</f>
        <v>2705.0580269078573</v>
      </c>
      <c r="Y113" s="176">
        <f>IF('Tab7'!E40="",+'Tab7'!E39+'Tab11'!E39,+'Tab7'!E40+'Tab11'!E40)</f>
        <v>3463.9799601502996</v>
      </c>
    </row>
    <row r="114" spans="1:25" x14ac:dyDescent="0.25">
      <c r="A114" s="167">
        <v>4</v>
      </c>
      <c r="B114" s="167"/>
      <c r="C114" s="167">
        <f>413.2-C113-C112-C111</f>
        <v>120.09999999999994</v>
      </c>
      <c r="D114" s="167">
        <f>356.8-D113-D112-D111</f>
        <v>106.60000000000005</v>
      </c>
      <c r="E114" s="167"/>
      <c r="F114" s="167"/>
      <c r="G114" s="167"/>
      <c r="I114" s="172">
        <v>91</v>
      </c>
      <c r="J114" s="164">
        <v>4</v>
      </c>
      <c r="L114" s="173">
        <v>12707</v>
      </c>
      <c r="M114" s="172">
        <v>157.79999999999995</v>
      </c>
      <c r="N114" s="172">
        <f t="shared" si="4"/>
        <v>255.94813186813178</v>
      </c>
      <c r="O114" s="173">
        <v>6319</v>
      </c>
      <c r="P114" s="172">
        <v>466.99999999999977</v>
      </c>
      <c r="Q114" s="172">
        <f t="shared" si="2"/>
        <v>757.46373626373588</v>
      </c>
      <c r="R114" s="173">
        <v>11391</v>
      </c>
      <c r="S114" s="172">
        <v>164.5</v>
      </c>
      <c r="T114" s="172">
        <f t="shared" si="3"/>
        <v>266.81538461538463</v>
      </c>
      <c r="V114" s="167" t="s">
        <v>63</v>
      </c>
      <c r="W114" s="176">
        <f>IF('Tab7'!C42="",+'Tab7'!C41+'Tab11'!C41,+'Tab7'!C42+'Tab11'!C42)</f>
        <v>430.35956677973445</v>
      </c>
      <c r="X114" s="176">
        <f>IF('Tab7'!D42="",+'Tab7'!D41+'Tab11'!D41,+'Tab7'!D42+'Tab11'!D42)</f>
        <v>388.61805044358204</v>
      </c>
      <c r="Y114" s="176">
        <f>IF('Tab7'!E42="",+'Tab7'!E41+'Tab11'!E41,+'Tab7'!E42+'Tab11'!E42)</f>
        <v>401.88905571880639</v>
      </c>
    </row>
    <row r="115" spans="1:25" x14ac:dyDescent="0.25">
      <c r="A115" s="167">
        <v>1</v>
      </c>
      <c r="B115" s="167">
        <v>1994</v>
      </c>
      <c r="C115" s="167">
        <v>138.4</v>
      </c>
      <c r="D115" s="167">
        <v>120</v>
      </c>
      <c r="E115" s="167"/>
      <c r="F115" s="167"/>
      <c r="G115" s="167"/>
      <c r="I115" s="172">
        <v>91</v>
      </c>
      <c r="J115" s="164">
        <v>1</v>
      </c>
      <c r="K115" s="164">
        <v>1994</v>
      </c>
      <c r="L115" s="173">
        <v>15224</v>
      </c>
      <c r="M115" s="172">
        <v>189</v>
      </c>
      <c r="N115" s="172">
        <f t="shared" si="4"/>
        <v>306.55384615384617</v>
      </c>
      <c r="O115" s="173">
        <v>6291</v>
      </c>
      <c r="P115" s="172">
        <v>427.6</v>
      </c>
      <c r="Q115" s="172">
        <f t="shared" si="2"/>
        <v>693.55780219780218</v>
      </c>
      <c r="R115" s="173">
        <v>8795</v>
      </c>
      <c r="S115" s="172">
        <v>161.69999999999999</v>
      </c>
      <c r="T115" s="172">
        <f t="shared" si="3"/>
        <v>262.27384615384614</v>
      </c>
      <c r="V115" s="167" t="s">
        <v>14</v>
      </c>
      <c r="W115" s="179">
        <f>+W117-SUM(W112:W114)</f>
        <v>2218.3916381232957</v>
      </c>
      <c r="X115" s="179">
        <f>+X117-SUM(X112:X114)</f>
        <v>2105.271853228598</v>
      </c>
      <c r="Y115" s="179">
        <f>+Y117-SUM(Y112:Y114)</f>
        <v>3613.9770857707081</v>
      </c>
    </row>
    <row r="116" spans="1:25" x14ac:dyDescent="0.25">
      <c r="A116" s="167">
        <v>2</v>
      </c>
      <c r="B116" s="167"/>
      <c r="C116" s="167">
        <f>252.9-C115</f>
        <v>114.5</v>
      </c>
      <c r="D116" s="167">
        <f>218.1-D115</f>
        <v>98.1</v>
      </c>
      <c r="E116" s="167"/>
      <c r="F116" s="167"/>
      <c r="G116" s="167"/>
      <c r="I116" s="172">
        <v>91.7</v>
      </c>
      <c r="J116" s="164">
        <v>2</v>
      </c>
      <c r="L116" s="173">
        <v>13585</v>
      </c>
      <c r="M116" s="172">
        <v>166.5</v>
      </c>
      <c r="N116" s="172">
        <f t="shared" si="4"/>
        <v>267.99781897491818</v>
      </c>
      <c r="O116" s="173">
        <v>5517</v>
      </c>
      <c r="P116" s="172">
        <v>494.30000000000007</v>
      </c>
      <c r="Q116" s="172">
        <f t="shared" si="2"/>
        <v>795.6235550708833</v>
      </c>
      <c r="R116" s="173">
        <v>13449</v>
      </c>
      <c r="S116" s="172">
        <v>196.2</v>
      </c>
      <c r="T116" s="172">
        <f t="shared" si="3"/>
        <v>315.80283533260632</v>
      </c>
      <c r="V116" s="167"/>
      <c r="W116" s="176"/>
      <c r="X116" s="176"/>
      <c r="Y116" s="176"/>
    </row>
    <row r="117" spans="1:25" x14ac:dyDescent="0.25">
      <c r="A117" s="167">
        <v>3</v>
      </c>
      <c r="B117" s="167"/>
      <c r="C117" s="167">
        <f>365.7-C115-C116</f>
        <v>112.79999999999998</v>
      </c>
      <c r="D117" s="167">
        <f>316.9-D115-D116</f>
        <v>98.799999999999983</v>
      </c>
      <c r="E117" s="167"/>
      <c r="F117" s="167"/>
      <c r="G117" s="167"/>
      <c r="I117" s="172">
        <v>92.1</v>
      </c>
      <c r="J117" s="164">
        <v>3</v>
      </c>
      <c r="L117" s="173">
        <v>13956</v>
      </c>
      <c r="M117" s="172">
        <v>169.89999999999998</v>
      </c>
      <c r="N117" s="172">
        <f t="shared" si="4"/>
        <v>272.28273615635175</v>
      </c>
      <c r="O117" s="173">
        <v>8952</v>
      </c>
      <c r="P117" s="172">
        <v>425.5</v>
      </c>
      <c r="Q117" s="172">
        <f t="shared" si="2"/>
        <v>681.90879478827367</v>
      </c>
      <c r="R117" s="173">
        <v>15669</v>
      </c>
      <c r="S117" s="172">
        <v>219.80000000000007</v>
      </c>
      <c r="T117" s="172">
        <f t="shared" si="3"/>
        <v>352.25276872964184</v>
      </c>
      <c r="V117" s="167" t="s">
        <v>87</v>
      </c>
      <c r="W117" s="176">
        <f>IF('Tab7'!C36="",+'Tab7'!C35+'Tab11'!C35,+'Tab7'!C36+'Tab11'!C36)</f>
        <v>9621.0449213249758</v>
      </c>
      <c r="X117" s="176">
        <f>IF('Tab7'!D36="",+'Tab7'!D35+'Tab11'!D35,+'Tab7'!D36+'Tab11'!D36)</f>
        <v>9131.4500947108463</v>
      </c>
      <c r="Y117" s="176">
        <f>IF('Tab7'!E36="",+'Tab7'!E35+'Tab11'!E35,+'Tab7'!E36+'Tab11'!E36)</f>
        <v>12036.26388949962</v>
      </c>
    </row>
    <row r="118" spans="1:25" x14ac:dyDescent="0.25">
      <c r="A118" s="167">
        <v>4</v>
      </c>
      <c r="B118" s="167"/>
      <c r="C118" s="167">
        <f>480.2-C115-C116-C117</f>
        <v>114.49999999999997</v>
      </c>
      <c r="D118" s="167">
        <f>417.1-D115-D116-D117</f>
        <v>100.20000000000005</v>
      </c>
      <c r="E118" s="167"/>
      <c r="F118" s="167"/>
      <c r="G118" s="167"/>
      <c r="I118" s="172">
        <v>92.6</v>
      </c>
      <c r="J118" s="164">
        <v>4</v>
      </c>
      <c r="L118" s="173">
        <v>14006</v>
      </c>
      <c r="M118" s="172">
        <v>140.80000000000007</v>
      </c>
      <c r="N118" s="172">
        <f t="shared" si="4"/>
        <v>224.42850971922257</v>
      </c>
      <c r="O118" s="173">
        <v>8189</v>
      </c>
      <c r="P118" s="172">
        <v>390.59999999999991</v>
      </c>
      <c r="Q118" s="172">
        <f t="shared" si="2"/>
        <v>622.59784017278605</v>
      </c>
      <c r="R118" s="173">
        <v>14139</v>
      </c>
      <c r="S118" s="172">
        <v>214.39999999999998</v>
      </c>
      <c r="T118" s="172">
        <f t="shared" si="3"/>
        <v>341.74341252699782</v>
      </c>
      <c r="V118" s="167"/>
      <c r="X118" s="167"/>
    </row>
    <row r="119" spans="1:25" x14ac:dyDescent="0.25">
      <c r="A119" s="167">
        <v>1</v>
      </c>
      <c r="B119" s="167">
        <v>1995</v>
      </c>
      <c r="C119" s="167">
        <v>137.19999999999999</v>
      </c>
      <c r="D119" s="167">
        <v>119.3</v>
      </c>
      <c r="E119" s="167"/>
      <c r="F119" s="167"/>
      <c r="G119" s="167"/>
      <c r="I119" s="172">
        <v>93.4</v>
      </c>
      <c r="J119" s="164">
        <v>1</v>
      </c>
      <c r="K119" s="164">
        <v>1995</v>
      </c>
      <c r="L119" s="173">
        <v>13188</v>
      </c>
      <c r="M119" s="172">
        <v>171.1</v>
      </c>
      <c r="N119" s="172">
        <f t="shared" si="4"/>
        <v>270.38929336188431</v>
      </c>
      <c r="O119" s="173">
        <v>7699</v>
      </c>
      <c r="P119" s="172">
        <v>543</v>
      </c>
      <c r="Q119" s="172">
        <f t="shared" si="2"/>
        <v>858.10278372591006</v>
      </c>
      <c r="R119" s="173">
        <v>11007</v>
      </c>
      <c r="S119" s="172">
        <v>183.1</v>
      </c>
      <c r="T119" s="172">
        <f t="shared" si="3"/>
        <v>289.35289079229119</v>
      </c>
      <c r="V119" s="166" t="s">
        <v>180</v>
      </c>
    </row>
    <row r="120" spans="1:25" x14ac:dyDescent="0.25">
      <c r="A120" s="167">
        <v>2</v>
      </c>
      <c r="B120" s="167"/>
      <c r="C120" s="167">
        <f>248.2-C119</f>
        <v>111</v>
      </c>
      <c r="D120" s="167">
        <f>214.7-D119</f>
        <v>95.399999999999991</v>
      </c>
      <c r="E120" s="167"/>
      <c r="F120" s="167"/>
      <c r="G120" s="167"/>
      <c r="I120" s="172">
        <v>94.1</v>
      </c>
      <c r="J120" s="164">
        <v>2</v>
      </c>
      <c r="L120" s="173">
        <v>11077</v>
      </c>
      <c r="M120" s="172">
        <v>148.30000000000004</v>
      </c>
      <c r="N120" s="172">
        <f t="shared" si="4"/>
        <v>232.61509032943684</v>
      </c>
      <c r="O120" s="173">
        <v>5465</v>
      </c>
      <c r="P120" s="172">
        <v>462.40000000000009</v>
      </c>
      <c r="Q120" s="172">
        <f t="shared" si="2"/>
        <v>725.29479277364521</v>
      </c>
      <c r="R120" s="173">
        <v>13915</v>
      </c>
      <c r="S120" s="172">
        <v>213.4</v>
      </c>
      <c r="T120" s="172">
        <f t="shared" si="3"/>
        <v>334.72731137088203</v>
      </c>
    </row>
    <row r="121" spans="1:25" x14ac:dyDescent="0.25">
      <c r="A121" s="167">
        <v>3</v>
      </c>
      <c r="B121" s="167"/>
      <c r="C121" s="167">
        <f>364.1-C119-C120</f>
        <v>115.90000000000003</v>
      </c>
      <c r="D121" s="167">
        <f>315.7-D119-D120</f>
        <v>100.99999999999999</v>
      </c>
      <c r="E121" s="167"/>
      <c r="F121" s="167"/>
      <c r="G121" s="167"/>
      <c r="I121" s="172">
        <v>94.1</v>
      </c>
      <c r="J121" s="164">
        <v>3</v>
      </c>
      <c r="L121" s="173">
        <v>13937</v>
      </c>
      <c r="M121" s="172">
        <v>180.19999999999993</v>
      </c>
      <c r="N121" s="172">
        <f t="shared" si="4"/>
        <v>282.65164718384688</v>
      </c>
      <c r="O121" s="173">
        <v>9139</v>
      </c>
      <c r="P121" s="172">
        <v>487.89999999999986</v>
      </c>
      <c r="Q121" s="172">
        <f t="shared" si="2"/>
        <v>765.29266737513262</v>
      </c>
      <c r="R121" s="173">
        <v>17436</v>
      </c>
      <c r="S121" s="172">
        <v>224.09999999999991</v>
      </c>
      <c r="T121" s="172">
        <f t="shared" si="3"/>
        <v>351.51073326248655</v>
      </c>
      <c r="V121" s="167"/>
      <c r="W121" s="171" t="str">
        <f>+'Tab3'!C6</f>
        <v>2016</v>
      </c>
      <c r="X121" s="171" t="str">
        <f>+'Tab3'!D6</f>
        <v>2017</v>
      </c>
      <c r="Y121" s="171" t="str">
        <f>+'Tab3'!E6</f>
        <v>2018</v>
      </c>
    </row>
    <row r="122" spans="1:25" x14ac:dyDescent="0.25">
      <c r="A122" s="167">
        <v>4</v>
      </c>
      <c r="B122" s="167"/>
      <c r="C122" s="167">
        <f>482.9-C119-C120-C121</f>
        <v>118.79999999999995</v>
      </c>
      <c r="D122" s="167">
        <f>420.1-D119-D120-D121</f>
        <v>104.40000000000005</v>
      </c>
      <c r="E122" s="167"/>
      <c r="F122" s="167"/>
      <c r="G122" s="167"/>
      <c r="I122" s="172">
        <v>94.6</v>
      </c>
      <c r="J122" s="164">
        <v>4</v>
      </c>
      <c r="L122" s="173">
        <v>13920</v>
      </c>
      <c r="M122" s="172">
        <v>172.00000000000006</v>
      </c>
      <c r="N122" s="172">
        <f t="shared" si="4"/>
        <v>268.36363636363643</v>
      </c>
      <c r="O122" s="173">
        <v>7500</v>
      </c>
      <c r="P122" s="172">
        <v>369.89999999999986</v>
      </c>
      <c r="Q122" s="172">
        <f t="shared" si="2"/>
        <v>577.13784355179689</v>
      </c>
      <c r="R122" s="173">
        <v>15130</v>
      </c>
      <c r="S122" s="172">
        <v>206.30000000000018</v>
      </c>
      <c r="T122" s="172">
        <f t="shared" si="3"/>
        <v>321.88033826638502</v>
      </c>
      <c r="V122" s="167" t="s">
        <v>10</v>
      </c>
      <c r="W122" s="171">
        <f>IF('Tab3'!C22="",'Tab3'!C29,'Tab3'!C30)</f>
        <v>260701</v>
      </c>
      <c r="X122" s="171">
        <f>IF('Tab3'!D22="",'Tab3'!D29,'Tab3'!D30)</f>
        <v>251107</v>
      </c>
      <c r="Y122" s="171">
        <f>IF('Tab3'!E22="",'Tab3'!E29,'Tab3'!E30)</f>
        <v>261928</v>
      </c>
    </row>
    <row r="123" spans="1:25" x14ac:dyDescent="0.25">
      <c r="A123" s="167">
        <v>1</v>
      </c>
      <c r="B123" s="167">
        <v>1996</v>
      </c>
      <c r="C123" s="167">
        <v>143.9</v>
      </c>
      <c r="D123" s="167">
        <v>126.9</v>
      </c>
      <c r="E123" s="167"/>
      <c r="F123" s="167"/>
      <c r="G123" s="167"/>
      <c r="I123" s="172">
        <v>94.2</v>
      </c>
      <c r="J123" s="164">
        <v>1</v>
      </c>
      <c r="K123" s="164">
        <v>1996</v>
      </c>
      <c r="L123" s="173">
        <v>29850</v>
      </c>
      <c r="M123" s="172">
        <v>375.59999999999997</v>
      </c>
      <c r="N123" s="172">
        <f t="shared" si="4"/>
        <v>588.51974522292983</v>
      </c>
      <c r="O123" s="173">
        <v>7239</v>
      </c>
      <c r="P123" s="172">
        <v>479.9</v>
      </c>
      <c r="Q123" s="172">
        <f t="shared" si="2"/>
        <v>751.94522292993622</v>
      </c>
      <c r="R123" s="173">
        <v>11785</v>
      </c>
      <c r="S123" s="172">
        <v>198.60000000000002</v>
      </c>
      <c r="T123" s="172">
        <f t="shared" si="3"/>
        <v>311.18216560509558</v>
      </c>
      <c r="V123" s="164" t="s">
        <v>112</v>
      </c>
      <c r="W123" s="171">
        <f>IF('Tab9'!C8="",'Tab9'!C7,'Tab9'!C8)</f>
        <v>84406.458586511799</v>
      </c>
      <c r="X123" s="171">
        <f>IF('Tab9'!D8="",'Tab9'!D7,'Tab9'!D8)</f>
        <v>81032.69608211689</v>
      </c>
      <c r="Y123" s="171">
        <f>IF('Tab9'!E8="",'Tab9'!E7,'Tab9'!E8)</f>
        <v>99193.467430544653</v>
      </c>
    </row>
    <row r="124" spans="1:25" x14ac:dyDescent="0.25">
      <c r="A124" s="167">
        <v>2</v>
      </c>
      <c r="B124" s="167"/>
      <c r="C124" s="167">
        <f>275.5-C123</f>
        <v>131.6</v>
      </c>
      <c r="D124" s="167">
        <f>242.6-D123</f>
        <v>115.69999999999999</v>
      </c>
      <c r="E124" s="167"/>
      <c r="F124" s="167"/>
      <c r="G124" s="167"/>
      <c r="I124" s="172">
        <v>95.1</v>
      </c>
      <c r="J124" s="164">
        <v>2</v>
      </c>
      <c r="L124" s="173">
        <v>17799</v>
      </c>
      <c r="M124" s="172">
        <v>234.8</v>
      </c>
      <c r="N124" s="172">
        <f t="shared" si="4"/>
        <v>364.42145110410098</v>
      </c>
      <c r="O124" s="173">
        <v>6503</v>
      </c>
      <c r="P124" s="172">
        <v>585.30000000000007</v>
      </c>
      <c r="Q124" s="172">
        <f t="shared" si="2"/>
        <v>908.41514195583602</v>
      </c>
      <c r="R124" s="173">
        <v>14642</v>
      </c>
      <c r="S124" s="172">
        <v>220.09999999999997</v>
      </c>
      <c r="T124" s="172">
        <f t="shared" si="3"/>
        <v>341.60630914826493</v>
      </c>
      <c r="V124" s="164" t="s">
        <v>111</v>
      </c>
      <c r="W124" s="171">
        <f>IF('Tab8'!C8="",'Tab8'!C7,'Tab8'!C8)</f>
        <v>103685.17555144404</v>
      </c>
      <c r="X124" s="171">
        <f>IF('Tab8'!D8="",'Tab8'!D7,'Tab8'!D8)</f>
        <v>116619.9324647622</v>
      </c>
      <c r="Y124" s="171">
        <f>IF('Tab8'!E8="",'Tab8'!E7,'Tab8'!E8)</f>
        <v>131214.51582692406</v>
      </c>
    </row>
    <row r="125" spans="1:25" x14ac:dyDescent="0.25">
      <c r="A125" s="167">
        <v>3</v>
      </c>
      <c r="B125" s="167"/>
      <c r="C125" s="167">
        <f>387.5-C123-C124</f>
        <v>112</v>
      </c>
      <c r="D125" s="167">
        <f>339.3-D123-D124</f>
        <v>96.700000000000017</v>
      </c>
      <c r="E125" s="167"/>
      <c r="F125" s="167"/>
      <c r="G125" s="167"/>
      <c r="I125" s="172">
        <v>95.5</v>
      </c>
      <c r="J125" s="164">
        <v>3</v>
      </c>
      <c r="L125" s="173">
        <v>16263</v>
      </c>
      <c r="M125" s="172">
        <v>240.00000000000011</v>
      </c>
      <c r="N125" s="172">
        <f t="shared" si="4"/>
        <v>370.93193717277506</v>
      </c>
      <c r="O125" s="173">
        <v>8934</v>
      </c>
      <c r="P125" s="172">
        <v>581.89999999999986</v>
      </c>
      <c r="Q125" s="172">
        <f t="shared" si="2"/>
        <v>899.3553926701569</v>
      </c>
      <c r="R125" s="173">
        <v>17198</v>
      </c>
      <c r="S125" s="172">
        <v>233.2</v>
      </c>
      <c r="T125" s="172">
        <f t="shared" si="3"/>
        <v>360.42219895287957</v>
      </c>
      <c r="V125" s="167" t="s">
        <v>169</v>
      </c>
      <c r="W125" s="171">
        <f>IF('Tab3'!C16="",'Tab3'!C15,'Tab3'!C16)</f>
        <v>30478.767038700429</v>
      </c>
      <c r="X125" s="171">
        <f>IF('Tab3'!D16="",'Tab3'!D15,'Tab3'!D16)</f>
        <v>28412.88258155853</v>
      </c>
      <c r="Y125" s="171">
        <f>IF('Tab3'!E16="",'Tab3'!E15,'Tab3'!E16)</f>
        <v>35114.516483516483</v>
      </c>
    </row>
    <row r="126" spans="1:25" x14ac:dyDescent="0.25">
      <c r="A126" s="167">
        <v>4</v>
      </c>
      <c r="B126" s="167"/>
      <c r="C126" s="167">
        <f>520-C123-C124-C125</f>
        <v>132.50000000000003</v>
      </c>
      <c r="D126" s="167">
        <f>452.4-D123-D124-D125</f>
        <v>113.1</v>
      </c>
      <c r="E126" s="167"/>
      <c r="F126" s="167"/>
      <c r="G126" s="167"/>
      <c r="I126" s="172">
        <v>96.3</v>
      </c>
      <c r="J126" s="164">
        <v>4</v>
      </c>
      <c r="L126" s="173">
        <v>16638</v>
      </c>
      <c r="M126" s="172">
        <v>233.40000000000009</v>
      </c>
      <c r="N126" s="172">
        <f t="shared" si="4"/>
        <v>357.73457943925246</v>
      </c>
      <c r="O126" s="173">
        <v>7966</v>
      </c>
      <c r="P126" s="172">
        <v>665.80000000000018</v>
      </c>
      <c r="Q126" s="172">
        <f t="shared" si="2"/>
        <v>1020.4785046728974</v>
      </c>
      <c r="R126" s="173">
        <v>13841</v>
      </c>
      <c r="S126" s="172">
        <v>188.00000000000011</v>
      </c>
      <c r="T126" s="172">
        <f t="shared" si="3"/>
        <v>288.14953271028054</v>
      </c>
    </row>
    <row r="127" spans="1:25" x14ac:dyDescent="0.25">
      <c r="A127" s="167">
        <v>1</v>
      </c>
      <c r="B127" s="167">
        <v>1997</v>
      </c>
      <c r="C127" s="167">
        <v>142.6</v>
      </c>
      <c r="D127" s="167">
        <v>124.8</v>
      </c>
      <c r="E127" s="167"/>
      <c r="F127" s="167"/>
      <c r="G127" s="167"/>
      <c r="I127" s="172">
        <v>97.3</v>
      </c>
      <c r="J127" s="164">
        <v>1</v>
      </c>
      <c r="K127" s="164">
        <v>1997</v>
      </c>
      <c r="L127" s="173">
        <v>17837</v>
      </c>
      <c r="M127" s="172">
        <v>255.29999999999998</v>
      </c>
      <c r="N127" s="172">
        <f t="shared" si="4"/>
        <v>387.27934224049329</v>
      </c>
      <c r="O127" s="173">
        <v>7574</v>
      </c>
      <c r="P127" s="172">
        <v>625.70000000000005</v>
      </c>
      <c r="Q127" s="172">
        <f t="shared" si="2"/>
        <v>949.16053442959924</v>
      </c>
      <c r="R127" s="173">
        <v>10571</v>
      </c>
      <c r="S127" s="172">
        <v>187.8</v>
      </c>
      <c r="T127" s="172">
        <f t="shared" si="3"/>
        <v>284.88468653648511</v>
      </c>
      <c r="V127" s="166" t="s">
        <v>181</v>
      </c>
    </row>
    <row r="128" spans="1:25" x14ac:dyDescent="0.25">
      <c r="A128" s="167">
        <v>2</v>
      </c>
      <c r="B128" s="167"/>
      <c r="C128" s="167">
        <f>284.4-C127</f>
        <v>141.79999999999998</v>
      </c>
      <c r="D128" s="167">
        <f>247.3-D127</f>
        <v>122.50000000000001</v>
      </c>
      <c r="E128" s="167"/>
      <c r="F128" s="167"/>
      <c r="G128" s="167"/>
      <c r="I128" s="172">
        <v>97.7</v>
      </c>
      <c r="J128" s="164">
        <v>2</v>
      </c>
      <c r="L128" s="173">
        <v>16872</v>
      </c>
      <c r="M128" s="172">
        <v>281.30000000000007</v>
      </c>
      <c r="N128" s="172">
        <f t="shared" si="4"/>
        <v>424.97318321392027</v>
      </c>
      <c r="O128" s="173">
        <v>7284</v>
      </c>
      <c r="P128" s="172">
        <v>664.39999999999986</v>
      </c>
      <c r="Q128" s="172">
        <f t="shared" si="2"/>
        <v>1003.7404298874101</v>
      </c>
      <c r="R128" s="173">
        <v>14837</v>
      </c>
      <c r="S128" s="172">
        <v>224.59999999999997</v>
      </c>
      <c r="T128" s="172">
        <f t="shared" si="3"/>
        <v>339.31381780962118</v>
      </c>
      <c r="W128" s="171" t="str">
        <f>+'Tab3'!C6</f>
        <v>2016</v>
      </c>
      <c r="X128" s="171" t="str">
        <f>+'Tab3'!D6</f>
        <v>2017</v>
      </c>
      <c r="Y128" s="171" t="str">
        <f>+'Tab3'!E6</f>
        <v>2018</v>
      </c>
    </row>
    <row r="129" spans="1:25" x14ac:dyDescent="0.25">
      <c r="A129" s="167">
        <v>3</v>
      </c>
      <c r="B129" s="167"/>
      <c r="C129" s="167">
        <f>419.8-C127-C128</f>
        <v>135.40000000000006</v>
      </c>
      <c r="D129" s="167">
        <f>364.6-D127-D128</f>
        <v>117.3</v>
      </c>
      <c r="E129" s="167"/>
      <c r="F129" s="167" t="s">
        <v>74</v>
      </c>
      <c r="G129" s="167"/>
      <c r="I129" s="172">
        <v>97.7</v>
      </c>
      <c r="J129" s="164">
        <v>3</v>
      </c>
      <c r="L129" s="173">
        <v>17873</v>
      </c>
      <c r="M129" s="172">
        <v>297.89999999999998</v>
      </c>
      <c r="N129" s="172">
        <f t="shared" si="4"/>
        <v>450.05158648925277</v>
      </c>
      <c r="O129" s="173">
        <v>14581</v>
      </c>
      <c r="P129" s="172">
        <v>720.30000000000018</v>
      </c>
      <c r="Q129" s="172">
        <f t="shared" si="2"/>
        <v>1088.1911975435007</v>
      </c>
      <c r="R129" s="173">
        <v>15670</v>
      </c>
      <c r="S129" s="172">
        <v>198.80000000000007</v>
      </c>
      <c r="T129" s="172">
        <f t="shared" si="3"/>
        <v>300.33654042988752</v>
      </c>
      <c r="V129" s="167" t="s">
        <v>11</v>
      </c>
      <c r="W129" s="171">
        <f>IF('Tab3'!C30="",'Tab3'!C31,'Tab3'!C32)</f>
        <v>8019.1474623129679</v>
      </c>
      <c r="X129" s="171">
        <f>IF('Tab3'!D30="",'Tab3'!D31,'Tab3'!D32)</f>
        <v>7767.2263092269322</v>
      </c>
      <c r="Y129" s="171">
        <f>IF('Tab3'!E30="",'Tab3'!E31,'Tab3'!E32)</f>
        <v>9968.6290523690768</v>
      </c>
    </row>
    <row r="130" spans="1:25" x14ac:dyDescent="0.25">
      <c r="A130" s="167">
        <v>4</v>
      </c>
      <c r="B130" s="167"/>
      <c r="C130" s="167">
        <f>550.4-C127-C128-C129</f>
        <v>130.59999999999994</v>
      </c>
      <c r="D130" s="167">
        <f>478.3-D127-D128-D129</f>
        <v>113.7</v>
      </c>
      <c r="E130" s="167"/>
      <c r="F130" s="167"/>
      <c r="G130" s="167"/>
      <c r="I130" s="172">
        <v>98.4</v>
      </c>
      <c r="J130" s="164">
        <v>4</v>
      </c>
      <c r="L130" s="173">
        <v>15493</v>
      </c>
      <c r="M130" s="172">
        <v>267.70000000000005</v>
      </c>
      <c r="N130" s="172">
        <f t="shared" si="4"/>
        <v>401.55</v>
      </c>
      <c r="O130" s="173">
        <v>9445</v>
      </c>
      <c r="P130" s="172">
        <v>564</v>
      </c>
      <c r="Q130" s="172">
        <f t="shared" si="2"/>
        <v>845.99999999999989</v>
      </c>
      <c r="R130" s="173">
        <v>13087</v>
      </c>
      <c r="S130" s="172">
        <v>185.09999999999991</v>
      </c>
      <c r="T130" s="172">
        <f t="shared" si="3"/>
        <v>277.64999999999981</v>
      </c>
      <c r="V130" s="167" t="s">
        <v>12</v>
      </c>
      <c r="W130" s="171">
        <f>IF('Tab3'!C32="",'Tab3'!C33,'Tab3'!C34)</f>
        <v>7187.7080118100002</v>
      </c>
      <c r="X130" s="171">
        <f>IF('Tab3'!D32="",'Tab3'!D33,'Tab3'!D34)</f>
        <v>6841.481096124834</v>
      </c>
      <c r="Y130" s="171">
        <f>IF('Tab3'!E32="",'Tab3'!E33,'Tab3'!E34)</f>
        <v>7980.5069999999996</v>
      </c>
    </row>
    <row r="131" spans="1:25" x14ac:dyDescent="0.25">
      <c r="A131" s="167">
        <v>1</v>
      </c>
      <c r="B131" s="167">
        <v>1998</v>
      </c>
      <c r="C131" s="167">
        <v>150</v>
      </c>
      <c r="D131" s="167">
        <v>131.9</v>
      </c>
      <c r="E131" s="167"/>
      <c r="F131" s="167" t="s">
        <v>78</v>
      </c>
      <c r="G131" s="167"/>
      <c r="I131" s="172">
        <v>99.3</v>
      </c>
      <c r="J131" s="164">
        <v>1</v>
      </c>
      <c r="K131" s="164">
        <v>1998</v>
      </c>
      <c r="L131" s="173">
        <v>17629</v>
      </c>
      <c r="M131" s="172">
        <v>285</v>
      </c>
      <c r="N131" s="172">
        <f t="shared" si="4"/>
        <v>423.62537764350452</v>
      </c>
      <c r="O131" s="173">
        <v>7614</v>
      </c>
      <c r="P131" s="172">
        <v>599.6</v>
      </c>
      <c r="Q131" s="172">
        <f t="shared" si="2"/>
        <v>891.24833836858011</v>
      </c>
      <c r="R131" s="173">
        <v>11958</v>
      </c>
      <c r="S131" s="172">
        <v>185.4</v>
      </c>
      <c r="T131" s="172">
        <f t="shared" si="3"/>
        <v>275.57945619335351</v>
      </c>
      <c r="V131" s="167" t="s">
        <v>7</v>
      </c>
      <c r="W131" s="171">
        <f>IF('Tab3'!C18="",'Tab3'!C17,'Tab3'!C18)</f>
        <v>7122</v>
      </c>
      <c r="X131" s="171">
        <f>IF('Tab3'!D18="",'Tab3'!D17,'Tab3'!D18)</f>
        <v>7540.1393879673469</v>
      </c>
      <c r="Y131" s="171">
        <f>IF('Tab3'!E18="",'Tab3'!E17,'Tab3'!E18)</f>
        <v>8017.5373224489795</v>
      </c>
    </row>
    <row r="132" spans="1:25" x14ac:dyDescent="0.25">
      <c r="A132" s="167">
        <v>2</v>
      </c>
      <c r="B132" s="167"/>
      <c r="C132" s="167">
        <f>289.8-C131</f>
        <v>139.80000000000001</v>
      </c>
      <c r="D132" s="167">
        <f>253.9-D131</f>
        <v>122</v>
      </c>
      <c r="E132" s="167"/>
      <c r="F132" s="167" t="s">
        <v>79</v>
      </c>
      <c r="G132" s="167" t="s">
        <v>80</v>
      </c>
      <c r="I132" s="172">
        <v>99.7</v>
      </c>
      <c r="J132" s="164">
        <v>2</v>
      </c>
      <c r="L132" s="173">
        <v>14484</v>
      </c>
      <c r="M132" s="172">
        <v>253.5</v>
      </c>
      <c r="N132" s="172">
        <f t="shared" si="4"/>
        <v>375.2918756268806</v>
      </c>
      <c r="O132" s="173">
        <v>6009</v>
      </c>
      <c r="P132" s="172">
        <v>576.9</v>
      </c>
      <c r="Q132" s="172">
        <f t="shared" si="2"/>
        <v>854.06659979939809</v>
      </c>
      <c r="R132" s="173">
        <v>15060</v>
      </c>
      <c r="S132" s="172">
        <v>204.20000000000002</v>
      </c>
      <c r="T132" s="172">
        <f t="shared" si="3"/>
        <v>302.30611835506517</v>
      </c>
      <c r="V132" s="164" t="s">
        <v>113</v>
      </c>
      <c r="W132" s="171">
        <f>IF('Tab10'!C8="",'Tab10'!C7,'Tab10'!C8)</f>
        <v>11662.405630670224</v>
      </c>
      <c r="X132" s="171">
        <f>IF('Tab10'!D8="",'Tab10'!D7,'Tab10'!D8)</f>
        <v>11429.679946476221</v>
      </c>
      <c r="Y132" s="171">
        <f>IF('Tab10'!E8="",'Tab10'!E7,'Tab10'!E8)</f>
        <v>15222.903625804427</v>
      </c>
    </row>
    <row r="133" spans="1:25" x14ac:dyDescent="0.25">
      <c r="A133" s="167">
        <v>3</v>
      </c>
      <c r="B133" s="167"/>
      <c r="C133" s="167">
        <f>+E133-C131-C132</f>
        <v>128.09999999999997</v>
      </c>
      <c r="D133" s="167">
        <f>+G133-D131-D132</f>
        <v>112.1</v>
      </c>
      <c r="E133" s="167">
        <v>417.9</v>
      </c>
      <c r="G133" s="167">
        <v>366</v>
      </c>
      <c r="I133" s="176">
        <v>99.8</v>
      </c>
      <c r="J133" s="164">
        <v>3</v>
      </c>
      <c r="L133" s="173">
        <v>15693</v>
      </c>
      <c r="M133" s="172">
        <v>257.89999999999998</v>
      </c>
      <c r="N133" s="172">
        <f t="shared" si="4"/>
        <v>381.42324649298592</v>
      </c>
      <c r="O133" s="173">
        <v>8328</v>
      </c>
      <c r="P133" s="172">
        <v>432.80000000000018</v>
      </c>
      <c r="Q133" s="172">
        <f t="shared" si="2"/>
        <v>640.09298597194413</v>
      </c>
      <c r="R133" s="173">
        <v>17098</v>
      </c>
      <c r="S133" s="172">
        <v>209.60000000000002</v>
      </c>
      <c r="T133" s="172">
        <f t="shared" si="3"/>
        <v>309.98957915831664</v>
      </c>
      <c r="V133" s="167" t="s">
        <v>9</v>
      </c>
      <c r="W133" s="171">
        <f>IF('Tab3'!C22="",'Tab3'!C21,'Tab3'!C22)</f>
        <v>19570.410680575002</v>
      </c>
      <c r="X133" s="171">
        <f>IF('Tab3'!D22="",'Tab3'!D21,'Tab3'!D22)</f>
        <v>17298.663604999998</v>
      </c>
      <c r="Y133" s="171">
        <f>IF('Tab3'!E22="",'Tab3'!E21,'Tab3'!E22)</f>
        <v>17128.16</v>
      </c>
    </row>
    <row r="134" spans="1:25" x14ac:dyDescent="0.25">
      <c r="A134" s="167">
        <v>4</v>
      </c>
      <c r="B134" s="167"/>
      <c r="C134" s="167">
        <f>+E134-E133</f>
        <v>141.80000000000007</v>
      </c>
      <c r="D134" s="167">
        <f>+G134-G133</f>
        <v>125.60000000000002</v>
      </c>
      <c r="E134" s="167">
        <v>559.70000000000005</v>
      </c>
      <c r="G134" s="167">
        <v>491.6</v>
      </c>
      <c r="I134" s="176">
        <v>100.7</v>
      </c>
      <c r="J134" s="164">
        <v>4</v>
      </c>
      <c r="L134" s="173">
        <v>16502</v>
      </c>
      <c r="M134" s="172">
        <v>299.10000000000002</v>
      </c>
      <c r="N134" s="172">
        <f t="shared" si="4"/>
        <v>438.40278053624627</v>
      </c>
      <c r="O134" s="173">
        <v>7526</v>
      </c>
      <c r="P134" s="172">
        <v>738.59999999999945</v>
      </c>
      <c r="Q134" s="172">
        <f t="shared" si="2"/>
        <v>1082.5954319761659</v>
      </c>
      <c r="R134" s="173">
        <v>14647</v>
      </c>
      <c r="S134" s="172">
        <v>205.79999999999995</v>
      </c>
      <c r="T134" s="172">
        <f t="shared" si="3"/>
        <v>301.6492552135054</v>
      </c>
    </row>
    <row r="135" spans="1:25" x14ac:dyDescent="0.25">
      <c r="A135" s="167">
        <v>1</v>
      </c>
      <c r="B135" s="167">
        <v>1999</v>
      </c>
      <c r="C135" s="167">
        <f>+E135</f>
        <v>154.19999999999999</v>
      </c>
      <c r="D135" s="167">
        <f>+G135</f>
        <v>137.1</v>
      </c>
      <c r="E135" s="167">
        <v>154.19999999999999</v>
      </c>
      <c r="G135" s="167">
        <v>137.1</v>
      </c>
      <c r="I135" s="176">
        <v>101.4</v>
      </c>
      <c r="J135" s="164">
        <v>1</v>
      </c>
      <c r="K135" s="164">
        <v>1999</v>
      </c>
      <c r="L135" s="173">
        <v>18095</v>
      </c>
      <c r="M135" s="172">
        <v>328.50000000000006</v>
      </c>
      <c r="N135" s="172">
        <f t="shared" si="4"/>
        <v>478.17159763313612</v>
      </c>
      <c r="O135" s="173">
        <v>8863</v>
      </c>
      <c r="P135" s="172">
        <v>689.1</v>
      </c>
      <c r="Q135" s="172">
        <f t="shared" si="2"/>
        <v>1003.0686390532544</v>
      </c>
      <c r="R135" s="173">
        <v>11175</v>
      </c>
      <c r="S135" s="172">
        <v>162.80000000000001</v>
      </c>
      <c r="T135" s="172">
        <f t="shared" si="3"/>
        <v>236.97514792899406</v>
      </c>
    </row>
    <row r="136" spans="1:25" x14ac:dyDescent="0.25">
      <c r="A136" s="167">
        <v>2</v>
      </c>
      <c r="B136" s="167"/>
      <c r="C136" s="167">
        <f>+E136-E135</f>
        <v>159.30000000000001</v>
      </c>
      <c r="D136" s="167">
        <f>+G136-G135</f>
        <v>140.70000000000002</v>
      </c>
      <c r="E136" s="167">
        <v>313.5</v>
      </c>
      <c r="G136" s="167">
        <v>277.8</v>
      </c>
      <c r="I136" s="176">
        <v>102.2</v>
      </c>
      <c r="J136" s="164">
        <v>2</v>
      </c>
      <c r="L136" s="173">
        <v>12899</v>
      </c>
      <c r="M136" s="172">
        <v>332.7</v>
      </c>
      <c r="N136" s="172">
        <f t="shared" si="4"/>
        <v>480.49432485322893</v>
      </c>
      <c r="O136" s="173">
        <v>5920</v>
      </c>
      <c r="P136" s="172">
        <v>874.6</v>
      </c>
      <c r="Q136" s="172">
        <f t="shared" si="2"/>
        <v>1263.120939334638</v>
      </c>
      <c r="R136" s="173">
        <v>12451</v>
      </c>
      <c r="S136" s="172">
        <v>199.09999999999997</v>
      </c>
      <c r="T136" s="172">
        <f t="shared" si="3"/>
        <v>287.5455968688845</v>
      </c>
    </row>
    <row r="137" spans="1:25" x14ac:dyDescent="0.25">
      <c r="A137" s="167">
        <v>3</v>
      </c>
      <c r="B137" s="167"/>
      <c r="C137" s="167">
        <f>+E137-E136</f>
        <v>146.30000000000001</v>
      </c>
      <c r="D137" s="167">
        <f>+G137-G136</f>
        <v>128.69999999999999</v>
      </c>
      <c r="E137" s="167">
        <v>459.8</v>
      </c>
      <c r="G137" s="167">
        <v>406.5</v>
      </c>
      <c r="I137" s="176">
        <v>101.7</v>
      </c>
      <c r="J137" s="164">
        <v>3</v>
      </c>
      <c r="L137" s="173">
        <v>23305</v>
      </c>
      <c r="M137" s="172">
        <v>445.5</v>
      </c>
      <c r="N137" s="172">
        <f t="shared" si="4"/>
        <v>646.56637168141583</v>
      </c>
      <c r="O137" s="173">
        <v>11181</v>
      </c>
      <c r="P137" s="172">
        <v>566.99999999999977</v>
      </c>
      <c r="Q137" s="172">
        <f t="shared" si="2"/>
        <v>822.90265486725627</v>
      </c>
      <c r="R137" s="173">
        <v>18817</v>
      </c>
      <c r="S137" s="172">
        <v>227.70000000000005</v>
      </c>
      <c r="T137" s="172">
        <f t="shared" si="3"/>
        <v>330.46725663716819</v>
      </c>
    </row>
    <row r="138" spans="1:25" x14ac:dyDescent="0.25">
      <c r="A138" s="167">
        <v>4</v>
      </c>
      <c r="B138" s="167"/>
      <c r="C138" s="167">
        <f>+E138-E137</f>
        <v>141.90000000000003</v>
      </c>
      <c r="D138" s="167">
        <f>+G138-G137</f>
        <v>126.39999999999998</v>
      </c>
      <c r="E138" s="167">
        <v>601.70000000000005</v>
      </c>
      <c r="G138" s="167">
        <v>532.9</v>
      </c>
      <c r="I138" s="172">
        <v>103.5</v>
      </c>
      <c r="J138" s="164">
        <v>4</v>
      </c>
      <c r="L138" s="173">
        <v>18359</v>
      </c>
      <c r="M138" s="172">
        <v>410.59999999999968</v>
      </c>
      <c r="N138" s="172">
        <f t="shared" si="4"/>
        <v>585.55130434782563</v>
      </c>
      <c r="O138" s="173">
        <v>9544</v>
      </c>
      <c r="P138" s="172">
        <v>935.5</v>
      </c>
      <c r="Q138" s="172">
        <f t="shared" si="2"/>
        <v>1334.104347826087</v>
      </c>
      <c r="R138" s="173">
        <v>13692</v>
      </c>
      <c r="S138" s="172">
        <v>192.19999999999993</v>
      </c>
      <c r="T138" s="172">
        <f t="shared" si="3"/>
        <v>274.09391304347815</v>
      </c>
    </row>
    <row r="139" spans="1:25" x14ac:dyDescent="0.25">
      <c r="A139" s="167">
        <v>1</v>
      </c>
      <c r="B139" s="167">
        <v>2000</v>
      </c>
      <c r="C139" s="167">
        <f>+E139</f>
        <v>169.1</v>
      </c>
      <c r="D139" s="167">
        <f>+G139</f>
        <v>150.9</v>
      </c>
      <c r="E139" s="167">
        <v>169.1</v>
      </c>
      <c r="G139" s="167">
        <v>150.9</v>
      </c>
      <c r="I139" s="172">
        <v>104.6</v>
      </c>
      <c r="J139" s="164">
        <v>1</v>
      </c>
      <c r="K139" s="164">
        <v>2000</v>
      </c>
      <c r="L139" s="173">
        <v>17570</v>
      </c>
      <c r="M139" s="172">
        <v>345.9</v>
      </c>
      <c r="N139" s="172">
        <f t="shared" si="4"/>
        <v>488.09598470363284</v>
      </c>
      <c r="O139" s="173">
        <v>9154</v>
      </c>
      <c r="P139" s="172">
        <v>819.9</v>
      </c>
      <c r="Q139" s="172">
        <f t="shared" si="2"/>
        <v>1156.9525812619504</v>
      </c>
      <c r="R139" s="173">
        <v>12421</v>
      </c>
      <c r="S139" s="172">
        <v>198</v>
      </c>
      <c r="T139" s="172">
        <f t="shared" si="3"/>
        <v>279.39579349904398</v>
      </c>
    </row>
    <row r="140" spans="1:25" x14ac:dyDescent="0.25">
      <c r="A140" s="167">
        <v>2</v>
      </c>
      <c r="B140" s="167"/>
      <c r="C140" s="167">
        <f>+E140-E139</f>
        <v>151.50000000000003</v>
      </c>
      <c r="D140" s="167">
        <f>+G140-G139</f>
        <v>133.4</v>
      </c>
      <c r="E140" s="167">
        <v>320.60000000000002</v>
      </c>
      <c r="G140" s="167">
        <v>284.3</v>
      </c>
      <c r="I140" s="172">
        <v>105.1</v>
      </c>
      <c r="J140" s="164">
        <v>2</v>
      </c>
      <c r="L140" s="173">
        <v>14069</v>
      </c>
      <c r="M140" s="172">
        <v>252.39999999999998</v>
      </c>
      <c r="N140" s="172">
        <f t="shared" si="4"/>
        <v>354.4647002854424</v>
      </c>
      <c r="O140" s="173">
        <v>10238</v>
      </c>
      <c r="P140" s="172">
        <v>674.19999999999993</v>
      </c>
      <c r="Q140" s="172">
        <f t="shared" si="2"/>
        <v>946.83082778306368</v>
      </c>
      <c r="R140" s="173">
        <v>13950</v>
      </c>
      <c r="S140" s="172">
        <v>184.5</v>
      </c>
      <c r="T140" s="172">
        <f t="shared" si="3"/>
        <v>259.10751665080875</v>
      </c>
    </row>
    <row r="141" spans="1:25" x14ac:dyDescent="0.25">
      <c r="A141" s="167">
        <v>3</v>
      </c>
      <c r="B141" s="167"/>
      <c r="C141" s="167">
        <f>+E141-E140</f>
        <v>139</v>
      </c>
      <c r="D141" s="167">
        <f>+G141-G140</f>
        <v>123.5</v>
      </c>
      <c r="E141" s="167">
        <v>459.6</v>
      </c>
      <c r="G141" s="167">
        <v>407.8</v>
      </c>
      <c r="I141" s="172">
        <v>105.3</v>
      </c>
      <c r="J141" s="164">
        <v>3</v>
      </c>
      <c r="L141" s="173">
        <v>16329</v>
      </c>
      <c r="M141" s="172">
        <v>313.5</v>
      </c>
      <c r="N141" s="172">
        <f t="shared" si="4"/>
        <v>439.4358974358974</v>
      </c>
      <c r="O141" s="173">
        <v>13877</v>
      </c>
      <c r="P141" s="172">
        <v>706.20000000000027</v>
      </c>
      <c r="Q141" s="172">
        <f t="shared" si="2"/>
        <v>989.88717948717976</v>
      </c>
      <c r="R141" s="173">
        <v>14850</v>
      </c>
      <c r="S141" s="172">
        <v>193.89999999999998</v>
      </c>
      <c r="T141" s="172">
        <f t="shared" si="3"/>
        <v>271.79145299145296</v>
      </c>
    </row>
    <row r="142" spans="1:25" x14ac:dyDescent="0.25">
      <c r="A142" s="167">
        <v>4</v>
      </c>
      <c r="B142" s="167"/>
      <c r="C142" s="167">
        <f>+E142-E141</f>
        <v>135.10000000000002</v>
      </c>
      <c r="D142" s="167">
        <f>+G142-G141</f>
        <v>121.40000000000003</v>
      </c>
      <c r="E142" s="167">
        <v>594.70000000000005</v>
      </c>
      <c r="G142" s="167">
        <v>529.20000000000005</v>
      </c>
      <c r="I142" s="172">
        <v>106.8</v>
      </c>
      <c r="J142" s="164">
        <v>4</v>
      </c>
      <c r="L142" s="173">
        <v>21735</v>
      </c>
      <c r="M142" s="172">
        <v>484.79999999999995</v>
      </c>
      <c r="N142" s="172">
        <f t="shared" si="4"/>
        <v>670.00449438202236</v>
      </c>
      <c r="O142" s="173">
        <v>9978</v>
      </c>
      <c r="P142" s="172">
        <v>739.19999999999982</v>
      </c>
      <c r="Q142" s="172">
        <f t="shared" si="2"/>
        <v>1021.5910112359547</v>
      </c>
      <c r="R142" s="173">
        <v>13212</v>
      </c>
      <c r="S142" s="172">
        <v>215</v>
      </c>
      <c r="T142" s="172">
        <f t="shared" si="3"/>
        <v>297.13483146067415</v>
      </c>
    </row>
    <row r="143" spans="1:25" x14ac:dyDescent="0.25">
      <c r="A143" s="167">
        <v>1</v>
      </c>
      <c r="B143" s="167">
        <v>2001</v>
      </c>
      <c r="C143" s="167">
        <f>+E143</f>
        <v>158.5</v>
      </c>
      <c r="D143" s="167">
        <f>+G143</f>
        <v>143.1</v>
      </c>
      <c r="E143" s="167">
        <v>158.5</v>
      </c>
      <c r="G143" s="167">
        <v>143.1</v>
      </c>
      <c r="I143" s="172">
        <v>108.4</v>
      </c>
      <c r="J143" s="164">
        <v>1</v>
      </c>
      <c r="K143" s="164">
        <v>2001</v>
      </c>
      <c r="L143" s="173">
        <v>27280</v>
      </c>
      <c r="M143" s="172">
        <v>675.3</v>
      </c>
      <c r="N143" s="172">
        <f t="shared" si="4"/>
        <v>919.5044280442803</v>
      </c>
      <c r="O143" s="173">
        <v>7776</v>
      </c>
      <c r="P143" s="172">
        <v>877</v>
      </c>
      <c r="Q143" s="172">
        <f t="shared" si="2"/>
        <v>1194.1439114391142</v>
      </c>
      <c r="R143" s="173">
        <v>10538</v>
      </c>
      <c r="S143" s="172">
        <v>164.1</v>
      </c>
      <c r="T143" s="172">
        <f t="shared" si="3"/>
        <v>223.44243542435422</v>
      </c>
    </row>
    <row r="144" spans="1:25" x14ac:dyDescent="0.25">
      <c r="A144" s="167">
        <v>2</v>
      </c>
      <c r="B144" s="167"/>
      <c r="C144" s="167">
        <f>+E144-E143</f>
        <v>140.45999999999998</v>
      </c>
      <c r="D144" s="167">
        <f>+G144-G143</f>
        <v>125.70000000000002</v>
      </c>
      <c r="E144" s="167">
        <v>298.95999999999998</v>
      </c>
      <c r="G144" s="167">
        <v>268.8</v>
      </c>
      <c r="I144" s="172">
        <v>109.6</v>
      </c>
      <c r="J144" s="164">
        <v>2</v>
      </c>
      <c r="L144" s="173">
        <v>17111</v>
      </c>
      <c r="M144" s="172">
        <v>452</v>
      </c>
      <c r="N144" s="172">
        <f t="shared" si="4"/>
        <v>608.71532846715331</v>
      </c>
      <c r="O144" s="173">
        <v>5711</v>
      </c>
      <c r="P144" s="172">
        <v>923</v>
      </c>
      <c r="Q144" s="172">
        <f t="shared" si="2"/>
        <v>1243.0182481751824</v>
      </c>
      <c r="R144" s="173">
        <v>11841</v>
      </c>
      <c r="S144" s="172">
        <v>190.29999999999998</v>
      </c>
      <c r="T144" s="172">
        <f t="shared" si="3"/>
        <v>256.27992700729925</v>
      </c>
    </row>
    <row r="145" spans="1:20" x14ac:dyDescent="0.25">
      <c r="A145" s="167">
        <v>3</v>
      </c>
      <c r="C145" s="167">
        <f>+E145-E144</f>
        <v>134.24</v>
      </c>
      <c r="D145" s="167">
        <f>+G145-G144</f>
        <v>119.19999999999999</v>
      </c>
      <c r="E145" s="167">
        <v>433.2</v>
      </c>
      <c r="G145" s="167">
        <v>388</v>
      </c>
      <c r="I145" s="172">
        <v>108.1</v>
      </c>
      <c r="J145" s="164">
        <v>3</v>
      </c>
      <c r="L145" s="173">
        <v>16407</v>
      </c>
      <c r="M145" s="172">
        <v>400.40000000000009</v>
      </c>
      <c r="N145" s="172">
        <f t="shared" si="4"/>
        <v>546.70712303422772</v>
      </c>
      <c r="O145" s="173">
        <v>15359</v>
      </c>
      <c r="P145" s="172">
        <v>1172.1999999999998</v>
      </c>
      <c r="Q145" s="172">
        <f t="shared" si="2"/>
        <v>1600.5246993524513</v>
      </c>
      <c r="R145" s="173">
        <v>13534</v>
      </c>
      <c r="S145" s="172">
        <v>158.5</v>
      </c>
      <c r="T145" s="172">
        <f t="shared" si="3"/>
        <v>216.41628122109157</v>
      </c>
    </row>
    <row r="146" spans="1:20" x14ac:dyDescent="0.25">
      <c r="A146" s="167">
        <v>4</v>
      </c>
      <c r="C146" s="167">
        <f>+E146-E145</f>
        <v>137.49520000000001</v>
      </c>
      <c r="D146" s="167">
        <f>+G146-G145</f>
        <v>124.07220000000007</v>
      </c>
      <c r="E146" s="175">
        <v>570.6952</v>
      </c>
      <c r="F146" s="180"/>
      <c r="G146" s="175">
        <v>512.07220000000007</v>
      </c>
      <c r="I146" s="172">
        <v>108.7</v>
      </c>
      <c r="J146" s="164">
        <v>4</v>
      </c>
      <c r="L146" s="173">
        <v>16945</v>
      </c>
      <c r="M146" s="172">
        <v>509.39999999999986</v>
      </c>
      <c r="N146" s="172">
        <f t="shared" si="4"/>
        <v>691.69678012879456</v>
      </c>
      <c r="O146" s="173">
        <v>9601</v>
      </c>
      <c r="P146" s="172">
        <v>803.30000000000018</v>
      </c>
      <c r="Q146" s="172">
        <f t="shared" si="2"/>
        <v>1090.7735050597978</v>
      </c>
      <c r="R146" s="173">
        <v>12341</v>
      </c>
      <c r="S146" s="172">
        <v>258.5</v>
      </c>
      <c r="T146" s="172">
        <f t="shared" si="3"/>
        <v>351.0082796688132</v>
      </c>
    </row>
    <row r="147" spans="1:20" x14ac:dyDescent="0.25">
      <c r="A147" s="167">
        <v>1</v>
      </c>
      <c r="B147" s="167">
        <v>2002</v>
      </c>
      <c r="C147" s="167">
        <f>+E147</f>
        <v>155.81399999999999</v>
      </c>
      <c r="D147" s="167">
        <f>+G147</f>
        <v>141.72399999999999</v>
      </c>
      <c r="E147" s="175">
        <v>155.81399999999999</v>
      </c>
      <c r="F147" s="180"/>
      <c r="G147" s="175">
        <v>141.72399999999999</v>
      </c>
      <c r="I147" s="172">
        <v>109.3</v>
      </c>
      <c r="J147" s="164">
        <v>1</v>
      </c>
      <c r="K147" s="164">
        <v>2002</v>
      </c>
      <c r="L147" s="173">
        <v>17523</v>
      </c>
      <c r="M147" s="172">
        <v>466.5</v>
      </c>
      <c r="N147" s="172">
        <f t="shared" si="4"/>
        <v>629.96706312900267</v>
      </c>
      <c r="O147" s="173">
        <v>6856</v>
      </c>
      <c r="P147" s="172">
        <v>820.40000000000009</v>
      </c>
      <c r="Q147" s="172">
        <f t="shared" si="2"/>
        <v>1107.8777676120769</v>
      </c>
      <c r="R147" s="173">
        <v>9371</v>
      </c>
      <c r="S147" s="172">
        <v>197.9</v>
      </c>
      <c r="T147" s="172">
        <f t="shared" si="3"/>
        <v>267.24647758462947</v>
      </c>
    </row>
    <row r="148" spans="1:20" x14ac:dyDescent="0.25">
      <c r="A148" s="167">
        <v>2</v>
      </c>
      <c r="B148" s="167"/>
      <c r="C148" s="167">
        <f>+E148-E147</f>
        <v>146.54300000000003</v>
      </c>
      <c r="D148" s="167">
        <f>+G148-G147</f>
        <v>133.19</v>
      </c>
      <c r="E148" s="167">
        <v>302.35700000000003</v>
      </c>
      <c r="G148" s="167">
        <v>274.91399999999999</v>
      </c>
      <c r="I148" s="172">
        <v>110</v>
      </c>
      <c r="J148" s="164">
        <v>2</v>
      </c>
      <c r="L148" s="173">
        <v>17469</v>
      </c>
      <c r="M148" s="172">
        <v>408.5</v>
      </c>
      <c r="N148" s="172">
        <f t="shared" si="4"/>
        <v>548.13272727272727</v>
      </c>
      <c r="O148" s="173">
        <v>9323</v>
      </c>
      <c r="P148" s="172">
        <v>689.09999999999991</v>
      </c>
      <c r="Q148" s="172">
        <f t="shared" si="2"/>
        <v>924.64690909090893</v>
      </c>
      <c r="R148" s="173">
        <v>14749</v>
      </c>
      <c r="S148" s="172">
        <v>233.49999999999997</v>
      </c>
      <c r="T148" s="172">
        <f t="shared" si="3"/>
        <v>313.3145454545454</v>
      </c>
    </row>
    <row r="149" spans="1:20" x14ac:dyDescent="0.25">
      <c r="A149" s="167">
        <v>3</v>
      </c>
      <c r="C149" s="167">
        <f>+E149-E148</f>
        <v>146.23099999999999</v>
      </c>
      <c r="D149" s="167">
        <f>+G149-G148</f>
        <v>127.14100000000002</v>
      </c>
      <c r="E149" s="167">
        <v>448.58800000000002</v>
      </c>
      <c r="G149" s="167">
        <v>402.05500000000001</v>
      </c>
      <c r="I149" s="172">
        <v>109.6</v>
      </c>
      <c r="J149" s="164">
        <v>3</v>
      </c>
      <c r="L149" s="173">
        <v>19641</v>
      </c>
      <c r="M149" s="172">
        <v>503</v>
      </c>
      <c r="N149" s="172">
        <f t="shared" si="4"/>
        <v>677.39781021897807</v>
      </c>
      <c r="O149" s="173">
        <v>17422</v>
      </c>
      <c r="P149" s="172">
        <v>895.90000000000009</v>
      </c>
      <c r="Q149" s="172">
        <f t="shared" si="2"/>
        <v>1206.5222627737228</v>
      </c>
      <c r="R149" s="173">
        <v>14722</v>
      </c>
      <c r="S149" s="172">
        <v>184.5</v>
      </c>
      <c r="T149" s="172">
        <f t="shared" si="3"/>
        <v>248.46897810218979</v>
      </c>
    </row>
    <row r="150" spans="1:20" x14ac:dyDescent="0.25">
      <c r="A150" s="167">
        <v>4</v>
      </c>
      <c r="C150" s="167">
        <f>+E150-E149</f>
        <v>137.96699999999993</v>
      </c>
      <c r="D150" s="167">
        <f>+G150-G149</f>
        <v>124.64100000000002</v>
      </c>
      <c r="E150" s="175">
        <v>586.55499999999995</v>
      </c>
      <c r="F150" s="180"/>
      <c r="G150" s="175">
        <v>526.69600000000003</v>
      </c>
      <c r="I150" s="172">
        <v>111</v>
      </c>
      <c r="J150" s="164">
        <v>4</v>
      </c>
      <c r="L150" s="173">
        <v>17442</v>
      </c>
      <c r="M150" s="172">
        <v>464.20000000000005</v>
      </c>
      <c r="N150" s="172">
        <f t="shared" si="4"/>
        <v>617.26054054054055</v>
      </c>
      <c r="O150" s="173">
        <v>8123</v>
      </c>
      <c r="P150" s="172">
        <v>938.5</v>
      </c>
      <c r="Q150" s="172">
        <f t="shared" si="2"/>
        <v>1247.9513513513514</v>
      </c>
      <c r="R150" s="173">
        <v>14689</v>
      </c>
      <c r="S150" s="172">
        <v>194.00000000000011</v>
      </c>
      <c r="T150" s="172">
        <f t="shared" si="3"/>
        <v>257.9675675675677</v>
      </c>
    </row>
    <row r="151" spans="1:20" x14ac:dyDescent="0.25">
      <c r="A151" s="167">
        <v>1</v>
      </c>
      <c r="B151" s="167">
        <v>2003</v>
      </c>
      <c r="C151" s="175">
        <f>+E151</f>
        <v>165.679</v>
      </c>
      <c r="D151" s="167">
        <f>+G151</f>
        <v>150.81100000000001</v>
      </c>
      <c r="E151" s="175">
        <v>165.679</v>
      </c>
      <c r="F151" s="180"/>
      <c r="G151" s="175">
        <v>150.81100000000001</v>
      </c>
      <c r="I151" s="172">
        <v>114.6</v>
      </c>
      <c r="J151" s="164">
        <v>1</v>
      </c>
      <c r="K151" s="164">
        <v>2003</v>
      </c>
      <c r="L151" s="173">
        <v>22781</v>
      </c>
      <c r="M151" s="172">
        <v>626.79999999999995</v>
      </c>
      <c r="N151" s="172">
        <f t="shared" si="4"/>
        <v>807.29214659685852</v>
      </c>
      <c r="O151" s="173">
        <v>6823</v>
      </c>
      <c r="P151" s="172">
        <v>1087.2</v>
      </c>
      <c r="Q151" s="172">
        <f t="shared" si="2"/>
        <v>1400.2680628272253</v>
      </c>
      <c r="R151" s="173">
        <v>10626</v>
      </c>
      <c r="S151" s="172">
        <v>183</v>
      </c>
      <c r="T151" s="172">
        <f t="shared" si="3"/>
        <v>235.69633507853402</v>
      </c>
    </row>
    <row r="152" spans="1:20" x14ac:dyDescent="0.25">
      <c r="A152" s="167">
        <v>2</v>
      </c>
      <c r="B152" s="167"/>
      <c r="C152" s="175">
        <f>+E152-E151</f>
        <v>135.02099999999999</v>
      </c>
      <c r="D152" s="167">
        <f>+G152-G151</f>
        <v>121.10099999999997</v>
      </c>
      <c r="E152" s="167">
        <v>300.7</v>
      </c>
      <c r="G152" s="167">
        <v>271.91199999999998</v>
      </c>
      <c r="I152" s="172">
        <v>112.3</v>
      </c>
      <c r="J152" s="164">
        <v>2</v>
      </c>
      <c r="L152" s="173">
        <v>15417</v>
      </c>
      <c r="M152" s="172">
        <v>406.10000000000014</v>
      </c>
      <c r="N152" s="172">
        <f t="shared" si="4"/>
        <v>533.75209260908298</v>
      </c>
      <c r="O152" s="173">
        <v>5618</v>
      </c>
      <c r="P152" s="172">
        <v>817.8</v>
      </c>
      <c r="Q152" s="172">
        <f t="shared" si="2"/>
        <v>1074.8644701691896</v>
      </c>
      <c r="R152" s="173">
        <v>12719</v>
      </c>
      <c r="S152" s="172">
        <v>203.2</v>
      </c>
      <c r="T152" s="172">
        <f t="shared" si="3"/>
        <v>267.07319679430094</v>
      </c>
    </row>
    <row r="153" spans="1:20" x14ac:dyDescent="0.25">
      <c r="A153" s="167">
        <v>3</v>
      </c>
      <c r="B153" s="167"/>
      <c r="C153" s="175">
        <f>+E153-E152</f>
        <v>134.11099999999999</v>
      </c>
      <c r="D153" s="167">
        <f>+G153-G152</f>
        <v>119.49100000000004</v>
      </c>
      <c r="E153" s="167">
        <v>434.81099999999998</v>
      </c>
      <c r="G153" s="167">
        <v>391.40300000000002</v>
      </c>
      <c r="I153" s="172">
        <v>111.9</v>
      </c>
      <c r="J153" s="164">
        <v>3</v>
      </c>
      <c r="L153" s="173">
        <v>18848</v>
      </c>
      <c r="M153" s="172">
        <v>430.5</v>
      </c>
      <c r="N153" s="172">
        <f t="shared" si="4"/>
        <v>567.84450402144762</v>
      </c>
      <c r="O153" s="173">
        <v>16056</v>
      </c>
      <c r="P153" s="172">
        <v>860.19999999999982</v>
      </c>
      <c r="Q153" s="172">
        <f t="shared" si="2"/>
        <v>1134.6337801608577</v>
      </c>
      <c r="R153" s="173">
        <v>13690</v>
      </c>
      <c r="S153" s="172">
        <v>188.8</v>
      </c>
      <c r="T153" s="172">
        <f t="shared" si="3"/>
        <v>249.0337801608579</v>
      </c>
    </row>
    <row r="154" spans="1:20" x14ac:dyDescent="0.25">
      <c r="A154" s="167">
        <v>4</v>
      </c>
      <c r="B154" s="167"/>
      <c r="C154" s="175">
        <f>+E154-E153</f>
        <v>142.01299999999998</v>
      </c>
      <c r="D154" s="167">
        <f>+G154-G153</f>
        <v>125.95899999999995</v>
      </c>
      <c r="E154" s="167">
        <v>576.82399999999996</v>
      </c>
      <c r="G154" s="167">
        <v>517.36199999999997</v>
      </c>
      <c r="I154" s="172">
        <v>112.6</v>
      </c>
      <c r="J154" s="164">
        <v>4</v>
      </c>
      <c r="L154" s="173">
        <v>16096</v>
      </c>
      <c r="M154" s="172">
        <v>471.89999999999986</v>
      </c>
      <c r="N154" s="172">
        <f t="shared" si="4"/>
        <v>618.58294849023071</v>
      </c>
      <c r="O154" s="173">
        <v>7652</v>
      </c>
      <c r="P154" s="172">
        <v>762.30000000000018</v>
      </c>
      <c r="Q154" s="172">
        <f t="shared" si="2"/>
        <v>999.24937833037325</v>
      </c>
      <c r="R154" s="173">
        <v>11607</v>
      </c>
      <c r="S154" s="172">
        <v>220.90000000000009</v>
      </c>
      <c r="T154" s="172">
        <f t="shared" si="3"/>
        <v>289.56341030195398</v>
      </c>
    </row>
    <row r="155" spans="1:20" x14ac:dyDescent="0.25">
      <c r="A155" s="167">
        <v>1</v>
      </c>
      <c r="B155" s="167">
        <v>2004</v>
      </c>
      <c r="C155" s="175">
        <f>+E155</f>
        <v>168.309</v>
      </c>
      <c r="D155" s="167">
        <f>+G155</f>
        <v>153.04300000000001</v>
      </c>
      <c r="E155" s="167">
        <v>168.309</v>
      </c>
      <c r="G155" s="167">
        <v>153.04300000000001</v>
      </c>
      <c r="I155" s="172">
        <v>112.6</v>
      </c>
      <c r="J155" s="164">
        <v>1</v>
      </c>
      <c r="K155" s="164">
        <v>2004</v>
      </c>
      <c r="L155" s="173">
        <v>17805</v>
      </c>
      <c r="M155" s="172">
        <v>517.69999999999993</v>
      </c>
      <c r="N155" s="172">
        <f t="shared" si="4"/>
        <v>678.61918294849011</v>
      </c>
      <c r="O155" s="173">
        <v>7033</v>
      </c>
      <c r="P155" s="172">
        <v>735.2</v>
      </c>
      <c r="Q155" s="172">
        <f t="shared" si="2"/>
        <v>963.7257548845472</v>
      </c>
      <c r="R155" s="173">
        <v>8913</v>
      </c>
      <c r="S155" s="172">
        <v>178.89999999999998</v>
      </c>
      <c r="T155" s="172">
        <f t="shared" si="3"/>
        <v>234.50834813499108</v>
      </c>
    </row>
    <row r="156" spans="1:20" x14ac:dyDescent="0.25">
      <c r="A156" s="167">
        <v>2</v>
      </c>
      <c r="B156" s="167"/>
      <c r="C156" s="175">
        <f>+E156-E155</f>
        <v>140.26700000000002</v>
      </c>
      <c r="D156" s="167">
        <f>+G156-G155</f>
        <v>125.56799999999998</v>
      </c>
      <c r="E156" s="167">
        <v>308.57600000000002</v>
      </c>
      <c r="G156" s="167">
        <v>278.61099999999999</v>
      </c>
      <c r="I156" s="172">
        <v>113.4</v>
      </c>
      <c r="J156" s="164">
        <v>2</v>
      </c>
      <c r="L156" s="173">
        <v>13855</v>
      </c>
      <c r="M156" s="172">
        <v>344.69999999999993</v>
      </c>
      <c r="N156" s="172">
        <f t="shared" si="4"/>
        <v>448.65714285714273</v>
      </c>
      <c r="O156" s="173">
        <v>6436</v>
      </c>
      <c r="P156" s="172">
        <v>708.3</v>
      </c>
      <c r="Q156" s="172">
        <f t="shared" si="2"/>
        <v>921.9142857142856</v>
      </c>
      <c r="R156" s="173">
        <v>10802</v>
      </c>
      <c r="S156" s="172">
        <v>228.40000000000003</v>
      </c>
      <c r="T156" s="172">
        <f t="shared" si="3"/>
        <v>297.28253968253966</v>
      </c>
    </row>
    <row r="157" spans="1:20" x14ac:dyDescent="0.25">
      <c r="A157" s="167">
        <v>3</v>
      </c>
      <c r="B157" s="167"/>
      <c r="C157" s="175">
        <f>+E157-E156</f>
        <v>137.76999999999998</v>
      </c>
      <c r="D157" s="167">
        <f>+G157-G156</f>
        <v>123.12100000000004</v>
      </c>
      <c r="E157" s="167">
        <v>446.346</v>
      </c>
      <c r="G157" s="167">
        <v>401.73200000000003</v>
      </c>
      <c r="I157" s="172">
        <v>113</v>
      </c>
      <c r="J157" s="164">
        <v>3</v>
      </c>
      <c r="L157" s="173">
        <v>17630</v>
      </c>
      <c r="M157" s="172">
        <v>454.09999999999991</v>
      </c>
      <c r="N157" s="172">
        <f t="shared" si="4"/>
        <v>593.1430088495573</v>
      </c>
      <c r="O157" s="173">
        <v>11805</v>
      </c>
      <c r="P157" s="172">
        <v>652.69999999999982</v>
      </c>
      <c r="Q157" s="172">
        <f t="shared" si="2"/>
        <v>852.55327433628293</v>
      </c>
      <c r="R157" s="173">
        <v>11365</v>
      </c>
      <c r="S157" s="172">
        <v>160.7999999999999</v>
      </c>
      <c r="T157" s="172">
        <f t="shared" si="3"/>
        <v>210.03610619469012</v>
      </c>
    </row>
    <row r="158" spans="1:20" x14ac:dyDescent="0.25">
      <c r="A158" s="167">
        <v>4</v>
      </c>
      <c r="B158" s="167"/>
      <c r="C158" s="175">
        <f>+E158-E157</f>
        <v>137.68499999999995</v>
      </c>
      <c r="D158" s="167">
        <f>+G158-G157</f>
        <v>124.50600000000003</v>
      </c>
      <c r="E158" s="167">
        <v>584.03099999999995</v>
      </c>
      <c r="G158" s="167">
        <v>526.23800000000006</v>
      </c>
      <c r="I158" s="172">
        <v>114</v>
      </c>
      <c r="J158" s="164">
        <v>4</v>
      </c>
      <c r="L158" s="173">
        <v>16674</v>
      </c>
      <c r="M158" s="172">
        <v>428.20000000000027</v>
      </c>
      <c r="N158" s="172">
        <f t="shared" si="4"/>
        <v>554.40631578947409</v>
      </c>
      <c r="O158" s="173">
        <v>10088</v>
      </c>
      <c r="P158" s="172">
        <v>709.40000000000055</v>
      </c>
      <c r="Q158" s="172">
        <f t="shared" si="2"/>
        <v>918.48631578947436</v>
      </c>
      <c r="R158" s="173">
        <v>9276</v>
      </c>
      <c r="S158" s="172">
        <v>162.90000000000009</v>
      </c>
      <c r="T158" s="172">
        <f t="shared" si="3"/>
        <v>210.91263157894747</v>
      </c>
    </row>
    <row r="159" spans="1:20" x14ac:dyDescent="0.25">
      <c r="A159" s="167">
        <v>1</v>
      </c>
      <c r="B159" s="167">
        <v>2005</v>
      </c>
      <c r="C159" s="175">
        <f>+E159</f>
        <v>147.31100000000001</v>
      </c>
      <c r="D159" s="167">
        <f>+G159</f>
        <v>133.756</v>
      </c>
      <c r="E159" s="167">
        <v>147.31100000000001</v>
      </c>
      <c r="G159" s="167">
        <v>133.756</v>
      </c>
      <c r="I159" s="172">
        <v>113.7</v>
      </c>
      <c r="J159" s="164">
        <v>1</v>
      </c>
      <c r="K159" s="164">
        <v>2005</v>
      </c>
      <c r="L159" s="173">
        <v>15151</v>
      </c>
      <c r="M159" s="172">
        <v>418</v>
      </c>
      <c r="N159" s="172">
        <f t="shared" si="4"/>
        <v>542.62796833773086</v>
      </c>
      <c r="O159" s="173">
        <v>7287</v>
      </c>
      <c r="P159" s="172">
        <v>715.2</v>
      </c>
      <c r="Q159" s="172">
        <f t="shared" si="2"/>
        <v>928.43905013192602</v>
      </c>
      <c r="R159" s="173">
        <v>7498</v>
      </c>
      <c r="S159" s="172">
        <v>159.69999999999999</v>
      </c>
      <c r="T159" s="172">
        <f t="shared" si="3"/>
        <v>207.31503957783639</v>
      </c>
    </row>
    <row r="160" spans="1:20" x14ac:dyDescent="0.25">
      <c r="A160" s="167">
        <v>2</v>
      </c>
      <c r="B160" s="167"/>
      <c r="C160" s="175">
        <f>+E160-E159</f>
        <v>143.51699999999997</v>
      </c>
      <c r="D160" s="167">
        <f>+G160-G159</f>
        <v>128.79</v>
      </c>
      <c r="E160" s="167">
        <v>290.82799999999997</v>
      </c>
      <c r="G160" s="167">
        <v>262.54599999999999</v>
      </c>
      <c r="I160" s="172">
        <v>115.2</v>
      </c>
      <c r="J160" s="164">
        <v>2</v>
      </c>
      <c r="L160" s="173">
        <v>14855</v>
      </c>
      <c r="M160" s="172">
        <v>323.20000000000005</v>
      </c>
      <c r="N160" s="172">
        <f t="shared" si="4"/>
        <v>414.1</v>
      </c>
      <c r="O160" s="173">
        <v>6172</v>
      </c>
      <c r="P160" s="172">
        <v>745.5</v>
      </c>
      <c r="Q160" s="172">
        <f t="shared" si="2"/>
        <v>955.17187499999989</v>
      </c>
      <c r="R160" s="173">
        <v>11610</v>
      </c>
      <c r="S160" s="172">
        <v>152.50000000000006</v>
      </c>
      <c r="T160" s="172">
        <f t="shared" si="3"/>
        <v>195.39062500000009</v>
      </c>
    </row>
    <row r="161" spans="1:20" x14ac:dyDescent="0.25">
      <c r="A161" s="167">
        <v>3</v>
      </c>
      <c r="B161" s="167"/>
      <c r="C161" s="175">
        <f>+E161-E160</f>
        <v>134.78300000000002</v>
      </c>
      <c r="D161" s="167">
        <f>+G161-G160</f>
        <v>120.57100000000003</v>
      </c>
      <c r="E161" s="167">
        <v>425.61099999999999</v>
      </c>
      <c r="G161" s="167">
        <v>383.11700000000002</v>
      </c>
      <c r="I161" s="172">
        <v>115.1</v>
      </c>
      <c r="J161" s="164">
        <v>3</v>
      </c>
      <c r="L161" s="173">
        <v>13014</v>
      </c>
      <c r="M161" s="172">
        <v>448.29999999999995</v>
      </c>
      <c r="N161" s="172">
        <f t="shared" si="4"/>
        <v>574.88340573414416</v>
      </c>
      <c r="O161" s="173">
        <v>6734</v>
      </c>
      <c r="P161" s="172">
        <v>832.10000000000014</v>
      </c>
      <c r="Q161" s="172">
        <f t="shared" si="2"/>
        <v>1067.05438748914</v>
      </c>
      <c r="R161" s="173">
        <v>8742</v>
      </c>
      <c r="S161" s="172">
        <v>152.99999999999994</v>
      </c>
      <c r="T161" s="172">
        <f t="shared" si="3"/>
        <v>196.20156385751511</v>
      </c>
    </row>
    <row r="162" spans="1:20" x14ac:dyDescent="0.25">
      <c r="A162" s="167">
        <v>4</v>
      </c>
      <c r="B162" s="167"/>
      <c r="C162" s="175">
        <f>+E162-E161</f>
        <v>137.37</v>
      </c>
      <c r="D162" s="167">
        <f>+G162-G161</f>
        <v>124.38200000000001</v>
      </c>
      <c r="E162" s="167">
        <v>562.98099999999999</v>
      </c>
      <c r="G162" s="167">
        <v>507.49900000000002</v>
      </c>
      <c r="I162" s="172">
        <v>116</v>
      </c>
      <c r="J162" s="164">
        <v>4</v>
      </c>
      <c r="L162" s="173">
        <v>22745</v>
      </c>
      <c r="M162" s="172">
        <v>478.79999999999995</v>
      </c>
      <c r="N162" s="172">
        <f t="shared" si="4"/>
        <v>609.231724137931</v>
      </c>
      <c r="O162" s="173">
        <v>8144</v>
      </c>
      <c r="P162" s="172">
        <v>795.79999999999973</v>
      </c>
      <c r="Q162" s="172">
        <f t="shared" si="2"/>
        <v>1012.5868965517237</v>
      </c>
      <c r="R162" s="173">
        <v>11407</v>
      </c>
      <c r="S162" s="172">
        <v>142.00000000000006</v>
      </c>
      <c r="T162" s="172">
        <f t="shared" si="3"/>
        <v>180.68275862068973</v>
      </c>
    </row>
    <row r="163" spans="1:20" x14ac:dyDescent="0.25">
      <c r="A163" s="167">
        <v>1</v>
      </c>
      <c r="B163" s="167">
        <v>2006</v>
      </c>
      <c r="C163" s="175">
        <f>+E163</f>
        <v>155.21299999999999</v>
      </c>
      <c r="D163" s="167">
        <f>+G163</f>
        <v>139.72800000000001</v>
      </c>
      <c r="E163" s="167">
        <v>155.21299999999999</v>
      </c>
      <c r="G163" s="167">
        <v>139.72800000000001</v>
      </c>
      <c r="I163" s="172">
        <v>116.6</v>
      </c>
      <c r="J163" s="164">
        <v>1</v>
      </c>
      <c r="K163" s="164">
        <v>2006</v>
      </c>
      <c r="L163" s="173">
        <v>18196</v>
      </c>
      <c r="M163" s="172">
        <v>585</v>
      </c>
      <c r="N163" s="172">
        <f t="shared" si="4"/>
        <v>740.53173241852494</v>
      </c>
      <c r="O163" s="173">
        <v>6106</v>
      </c>
      <c r="P163" s="172">
        <v>947.2</v>
      </c>
      <c r="Q163" s="172">
        <f t="shared" si="2"/>
        <v>1199.0284734133793</v>
      </c>
      <c r="R163" s="173">
        <v>7106</v>
      </c>
      <c r="S163" s="172">
        <v>150.6</v>
      </c>
      <c r="T163" s="172">
        <f t="shared" si="3"/>
        <v>190.63945111492279</v>
      </c>
    </row>
    <row r="164" spans="1:20" x14ac:dyDescent="0.25">
      <c r="A164" s="167">
        <v>2</v>
      </c>
      <c r="B164" s="167"/>
      <c r="C164" s="175">
        <f>+E164-E163</f>
        <v>147.44399999999999</v>
      </c>
      <c r="D164" s="167">
        <f>+G164-G163</f>
        <v>129.572</v>
      </c>
      <c r="E164" s="167">
        <v>302.65699999999998</v>
      </c>
      <c r="G164" s="167">
        <v>269.3</v>
      </c>
      <c r="I164" s="172">
        <v>117.9</v>
      </c>
      <c r="J164" s="164">
        <v>2</v>
      </c>
      <c r="L164" s="173">
        <v>13943</v>
      </c>
      <c r="M164" s="172">
        <v>433.79999999999995</v>
      </c>
      <c r="N164" s="172">
        <f t="shared" si="4"/>
        <v>543.07786259541967</v>
      </c>
      <c r="O164" s="173">
        <v>5246</v>
      </c>
      <c r="P164" s="172">
        <v>811.2</v>
      </c>
      <c r="Q164" s="172">
        <f t="shared" si="2"/>
        <v>1015.5480916030534</v>
      </c>
      <c r="R164" s="173">
        <v>9193</v>
      </c>
      <c r="S164" s="172">
        <v>176.1</v>
      </c>
      <c r="T164" s="172">
        <f t="shared" si="3"/>
        <v>220.46106870229005</v>
      </c>
    </row>
    <row r="165" spans="1:20" x14ac:dyDescent="0.25">
      <c r="A165" s="167">
        <v>3</v>
      </c>
      <c r="B165" s="167"/>
      <c r="C165" s="175">
        <f>+E165-E164</f>
        <v>143.45100000000002</v>
      </c>
      <c r="D165" s="167">
        <f>+G165-G164</f>
        <v>126.00599999999997</v>
      </c>
      <c r="E165" s="167">
        <v>446.108</v>
      </c>
      <c r="G165" s="167">
        <v>395.30599999999998</v>
      </c>
      <c r="I165" s="176">
        <v>117.3</v>
      </c>
      <c r="J165" s="164">
        <v>3</v>
      </c>
      <c r="L165" s="173">
        <v>13690</v>
      </c>
      <c r="M165" s="172">
        <v>496.59999999999991</v>
      </c>
      <c r="N165" s="172">
        <f t="shared" si="4"/>
        <v>624.87774936061362</v>
      </c>
      <c r="O165" s="173">
        <v>9450</v>
      </c>
      <c r="P165" s="172">
        <v>855.90000000000009</v>
      </c>
      <c r="Q165" s="172">
        <f t="shared" si="2"/>
        <v>1076.9892583120206</v>
      </c>
      <c r="R165" s="173">
        <v>10840</v>
      </c>
      <c r="S165" s="172">
        <v>167.10000000000002</v>
      </c>
      <c r="T165" s="172">
        <f t="shared" si="3"/>
        <v>210.26393861892586</v>
      </c>
    </row>
    <row r="166" spans="1:20" x14ac:dyDescent="0.25">
      <c r="A166" s="167">
        <v>4</v>
      </c>
      <c r="B166" s="167"/>
      <c r="C166" s="175">
        <f>+E166-E165</f>
        <v>148.56090999999998</v>
      </c>
      <c r="D166" s="167">
        <f>+G166-G165</f>
        <v>131.19532799999996</v>
      </c>
      <c r="E166" s="167">
        <v>594.66890999999998</v>
      </c>
      <c r="G166" s="167">
        <v>526.50132799999994</v>
      </c>
      <c r="I166" s="176">
        <v>119</v>
      </c>
      <c r="J166" s="164">
        <v>4</v>
      </c>
      <c r="L166" s="173">
        <v>16682</v>
      </c>
      <c r="M166" s="172">
        <v>525.60000000000014</v>
      </c>
      <c r="N166" s="172">
        <f t="shared" si="4"/>
        <v>651.92067226890777</v>
      </c>
      <c r="O166" s="173">
        <v>10233</v>
      </c>
      <c r="P166" s="172">
        <v>826</v>
      </c>
      <c r="Q166" s="172">
        <f t="shared" si="2"/>
        <v>1024.5176470588235</v>
      </c>
      <c r="R166" s="173">
        <v>9520</v>
      </c>
      <c r="S166" s="172">
        <v>144.09999999999997</v>
      </c>
      <c r="T166" s="172">
        <f t="shared" si="3"/>
        <v>178.73243697478986</v>
      </c>
    </row>
    <row r="167" spans="1:20" x14ac:dyDescent="0.25">
      <c r="A167" s="167">
        <v>1</v>
      </c>
      <c r="B167" s="167">
        <v>2007</v>
      </c>
      <c r="C167" s="175">
        <f>+E167</f>
        <v>158.09976</v>
      </c>
      <c r="D167" s="167">
        <f>+G167</f>
        <v>141.08400800000001</v>
      </c>
      <c r="E167" s="167">
        <v>158.09976</v>
      </c>
      <c r="G167" s="167">
        <v>141.08400800000001</v>
      </c>
      <c r="I167" s="176">
        <v>117.5</v>
      </c>
      <c r="J167" s="164">
        <v>1</v>
      </c>
      <c r="K167" s="164">
        <v>2007</v>
      </c>
      <c r="L167" s="173">
        <v>18623</v>
      </c>
      <c r="M167" s="172">
        <v>649.6</v>
      </c>
      <c r="N167" s="172">
        <f t="shared" si="4"/>
        <v>816.00817021276589</v>
      </c>
      <c r="O167" s="173">
        <v>7737</v>
      </c>
      <c r="P167" s="172">
        <v>1092.1999999999998</v>
      </c>
      <c r="Q167" s="172">
        <f t="shared" si="2"/>
        <v>1371.9891063829784</v>
      </c>
      <c r="R167" s="173">
        <v>8112</v>
      </c>
      <c r="S167" s="172">
        <v>167.4</v>
      </c>
      <c r="T167" s="172">
        <f t="shared" si="3"/>
        <v>210.28289361702127</v>
      </c>
    </row>
    <row r="168" spans="1:20" x14ac:dyDescent="0.25">
      <c r="A168" s="167">
        <v>2</v>
      </c>
      <c r="B168" s="167"/>
      <c r="C168" s="175">
        <f>+E168-E167</f>
        <v>161.61276000000004</v>
      </c>
      <c r="D168" s="167">
        <f>+G168-G167</f>
        <v>142.897008</v>
      </c>
      <c r="E168" s="167">
        <v>319.71252000000004</v>
      </c>
      <c r="G168" s="167">
        <v>283.98101600000001</v>
      </c>
      <c r="I168" s="176">
        <v>118.3</v>
      </c>
      <c r="J168" s="164">
        <v>2</v>
      </c>
      <c r="L168" s="173">
        <v>15831</v>
      </c>
      <c r="M168" s="172">
        <v>514.19999999999993</v>
      </c>
      <c r="N168" s="172">
        <f t="shared" si="4"/>
        <v>641.55469146238374</v>
      </c>
      <c r="O168" s="173">
        <v>5067</v>
      </c>
      <c r="P168" s="172">
        <v>1041.6999999999998</v>
      </c>
      <c r="Q168" s="172">
        <f t="shared" ref="Q168:Q189" si="5">P168/I168*$I$69</f>
        <v>1299.703465765004</v>
      </c>
      <c r="R168" s="173">
        <v>10608</v>
      </c>
      <c r="S168" s="172">
        <v>160.99999999999997</v>
      </c>
      <c r="T168" s="172">
        <f t="shared" ref="T168:T189" si="6">S168/I168*$I$69</f>
        <v>200.87573964497039</v>
      </c>
    </row>
    <row r="169" spans="1:20" x14ac:dyDescent="0.25">
      <c r="A169" s="167">
        <v>3</v>
      </c>
      <c r="B169" s="167"/>
      <c r="C169" s="175">
        <f>+E169-E168</f>
        <v>135.82058024999998</v>
      </c>
      <c r="D169" s="167">
        <f>+G169-G168</f>
        <v>119.75308425000003</v>
      </c>
      <c r="E169" s="167">
        <v>455.53310025000002</v>
      </c>
      <c r="G169" s="167">
        <v>403.73410025000004</v>
      </c>
      <c r="I169" s="176">
        <v>117.8</v>
      </c>
      <c r="J169" s="164">
        <v>3</v>
      </c>
      <c r="L169" s="173">
        <v>18428</v>
      </c>
      <c r="M169" s="172">
        <v>654.20000000000027</v>
      </c>
      <c r="N169" s="172">
        <f t="shared" si="4"/>
        <v>819.69371816638409</v>
      </c>
      <c r="O169" s="173">
        <v>6417</v>
      </c>
      <c r="P169" s="172">
        <v>679.60000000000036</v>
      </c>
      <c r="Q169" s="172">
        <f t="shared" si="5"/>
        <v>851.51918505942319</v>
      </c>
      <c r="R169" s="173">
        <v>10319</v>
      </c>
      <c r="S169" s="172">
        <v>152.89999999999998</v>
      </c>
      <c r="T169" s="172">
        <f t="shared" si="6"/>
        <v>191.57928692699485</v>
      </c>
    </row>
    <row r="170" spans="1:20" x14ac:dyDescent="0.25">
      <c r="A170" s="167">
        <v>4</v>
      </c>
      <c r="B170" s="167"/>
      <c r="C170" s="175">
        <f>+E170-E169</f>
        <v>149.79139924999998</v>
      </c>
      <c r="D170" s="167">
        <f>+G170-G169</f>
        <v>133.49839924999998</v>
      </c>
      <c r="E170" s="167">
        <v>605.3244995</v>
      </c>
      <c r="G170" s="167">
        <v>537.23249950000002</v>
      </c>
      <c r="I170" s="176">
        <v>120.8</v>
      </c>
      <c r="J170" s="164">
        <v>4</v>
      </c>
      <c r="L170" s="173">
        <v>15870</v>
      </c>
      <c r="M170" s="172">
        <v>567.19999999999959</v>
      </c>
      <c r="N170" s="172">
        <f t="shared" si="4"/>
        <v>693.03576158940348</v>
      </c>
      <c r="O170" s="173">
        <v>5114</v>
      </c>
      <c r="P170" s="172">
        <v>911.69999999999982</v>
      </c>
      <c r="Q170" s="172">
        <f t="shared" si="5"/>
        <v>1113.9645695364236</v>
      </c>
      <c r="R170" s="173">
        <v>8645</v>
      </c>
      <c r="S170" s="172">
        <v>142.80000000000007</v>
      </c>
      <c r="T170" s="172">
        <f t="shared" si="6"/>
        <v>174.48079470198684</v>
      </c>
    </row>
    <row r="171" spans="1:20" x14ac:dyDescent="0.25">
      <c r="A171" s="167">
        <v>1</v>
      </c>
      <c r="B171" s="167">
        <v>2008</v>
      </c>
      <c r="C171" s="175">
        <f>+E171</f>
        <v>164.64169099999998</v>
      </c>
      <c r="D171" s="167">
        <f>+G171</f>
        <v>148.61369099999999</v>
      </c>
      <c r="E171" s="167">
        <v>164.64169099999998</v>
      </c>
      <c r="G171" s="167">
        <v>148.61369099999999</v>
      </c>
      <c r="I171" s="176">
        <v>121.9</v>
      </c>
      <c r="J171" s="164">
        <v>1</v>
      </c>
      <c r="K171" s="164">
        <v>2008</v>
      </c>
      <c r="L171" s="173">
        <v>17004</v>
      </c>
      <c r="M171" s="172">
        <v>591.9</v>
      </c>
      <c r="N171" s="172">
        <f t="shared" si="4"/>
        <v>716.6894175553731</v>
      </c>
      <c r="O171" s="173">
        <v>6274</v>
      </c>
      <c r="P171" s="172">
        <v>963.6</v>
      </c>
      <c r="Q171" s="172">
        <f t="shared" si="5"/>
        <v>1166.7543888433142</v>
      </c>
      <c r="R171" s="173">
        <v>7939</v>
      </c>
      <c r="S171" s="172">
        <v>160.1</v>
      </c>
      <c r="T171" s="172">
        <f t="shared" si="6"/>
        <v>193.85365053322394</v>
      </c>
    </row>
    <row r="172" spans="1:20" x14ac:dyDescent="0.25">
      <c r="A172" s="167">
        <v>2</v>
      </c>
      <c r="B172" s="167"/>
      <c r="C172" s="175">
        <f>+E172-E171</f>
        <v>197.28657850000002</v>
      </c>
      <c r="D172" s="167">
        <f>+G172-G171</f>
        <v>175.71357850000001</v>
      </c>
      <c r="E172" s="167">
        <v>361.9282695</v>
      </c>
      <c r="G172" s="167">
        <v>324.3272695</v>
      </c>
      <c r="I172" s="176">
        <v>122</v>
      </c>
      <c r="J172" s="164">
        <v>2</v>
      </c>
      <c r="L172" s="173">
        <v>14987</v>
      </c>
      <c r="M172" s="172">
        <v>548.4</v>
      </c>
      <c r="N172" s="172">
        <f t="shared" ref="N172:N181" si="7">M172/I172*$I$69</f>
        <v>663.47409836065572</v>
      </c>
      <c r="O172" s="173">
        <v>5831</v>
      </c>
      <c r="P172" s="172">
        <v>1153.8000000000002</v>
      </c>
      <c r="Q172" s="172">
        <f t="shared" si="5"/>
        <v>1395.9088524590168</v>
      </c>
      <c r="R172" s="173">
        <v>10207</v>
      </c>
      <c r="S172" s="172">
        <v>188.4</v>
      </c>
      <c r="T172" s="172">
        <f t="shared" si="6"/>
        <v>227.93311475409837</v>
      </c>
    </row>
    <row r="173" spans="1:20" x14ac:dyDescent="0.25">
      <c r="A173" s="167">
        <v>3</v>
      </c>
      <c r="B173" s="167"/>
      <c r="C173" s="175">
        <f>+E173-E172</f>
        <v>159.71767174999997</v>
      </c>
      <c r="D173" s="167">
        <f>+G173-G172</f>
        <v>141.40667174999999</v>
      </c>
      <c r="E173" s="167">
        <v>521.64594124999996</v>
      </c>
      <c r="G173" s="167">
        <v>465.73394124999999</v>
      </c>
      <c r="I173" s="176">
        <v>123.1</v>
      </c>
      <c r="J173" s="164">
        <v>3</v>
      </c>
      <c r="L173" s="173">
        <v>19290</v>
      </c>
      <c r="M173" s="172">
        <v>722.70000000000027</v>
      </c>
      <c r="N173" s="172">
        <f t="shared" si="7"/>
        <v>866.53549959382656</v>
      </c>
      <c r="O173" s="173">
        <v>12252</v>
      </c>
      <c r="P173" s="172">
        <v>1486.4999999999995</v>
      </c>
      <c r="Q173" s="172">
        <f t="shared" si="5"/>
        <v>1782.350934199837</v>
      </c>
      <c r="R173" s="173">
        <v>11007</v>
      </c>
      <c r="S173" s="172">
        <v>186.29999999999995</v>
      </c>
      <c r="T173" s="172">
        <f t="shared" si="6"/>
        <v>223.37839155158403</v>
      </c>
    </row>
    <row r="174" spans="1:20" x14ac:dyDescent="0.25">
      <c r="A174" s="167">
        <v>4</v>
      </c>
      <c r="B174" s="167"/>
      <c r="C174" s="175">
        <f>+E174-E173</f>
        <v>170.05706974999998</v>
      </c>
      <c r="D174" s="167">
        <f>+G174-G173</f>
        <v>152.54014889999991</v>
      </c>
      <c r="E174" s="167">
        <v>691.70301099999995</v>
      </c>
      <c r="G174" s="167">
        <v>618.27409014999989</v>
      </c>
      <c r="I174" s="172">
        <v>124.7</v>
      </c>
      <c r="J174" s="164">
        <v>4</v>
      </c>
      <c r="L174" s="173">
        <v>16976</v>
      </c>
      <c r="M174" s="172">
        <v>703.10000000000014</v>
      </c>
      <c r="N174" s="172">
        <f t="shared" si="7"/>
        <v>832.21780272654382</v>
      </c>
      <c r="O174" s="173">
        <v>7247</v>
      </c>
      <c r="P174" s="172">
        <v>1160</v>
      </c>
      <c r="Q174" s="172">
        <f t="shared" si="5"/>
        <v>1373.0232558139535</v>
      </c>
      <c r="R174" s="173">
        <v>10145</v>
      </c>
      <c r="S174" s="172">
        <v>269.60000000000014</v>
      </c>
      <c r="T174" s="172">
        <f t="shared" si="6"/>
        <v>319.10954290296729</v>
      </c>
    </row>
    <row r="175" spans="1:20" x14ac:dyDescent="0.25">
      <c r="A175" s="167">
        <v>1</v>
      </c>
      <c r="B175" s="167">
        <v>2009</v>
      </c>
      <c r="C175" s="175">
        <f>+E175</f>
        <v>191.37959499999999</v>
      </c>
      <c r="D175" s="167">
        <f>+G175</f>
        <v>172.55938714999999</v>
      </c>
      <c r="E175" s="167">
        <v>191.37959499999999</v>
      </c>
      <c r="G175" s="167">
        <v>172.55938714999999</v>
      </c>
      <c r="I175" s="172">
        <v>125</v>
      </c>
      <c r="J175" s="164">
        <v>1</v>
      </c>
      <c r="K175" s="164">
        <v>2009</v>
      </c>
      <c r="L175" s="173">
        <v>18865</v>
      </c>
      <c r="M175" s="172">
        <v>739.59999999999991</v>
      </c>
      <c r="N175" s="172">
        <f t="shared" si="7"/>
        <v>873.31967999999983</v>
      </c>
      <c r="O175" s="173">
        <v>6194</v>
      </c>
      <c r="P175" s="172">
        <v>1049.9000000000001</v>
      </c>
      <c r="Q175" s="172">
        <f t="shared" si="5"/>
        <v>1239.72192</v>
      </c>
      <c r="R175" s="173">
        <v>8619</v>
      </c>
      <c r="S175" s="172">
        <v>213.2</v>
      </c>
      <c r="T175" s="172">
        <f t="shared" si="6"/>
        <v>251.74655999999999</v>
      </c>
    </row>
    <row r="176" spans="1:20" x14ac:dyDescent="0.25">
      <c r="A176" s="167">
        <v>2</v>
      </c>
      <c r="B176" s="167"/>
      <c r="C176" s="175">
        <f>+E176-E175</f>
        <v>178.90604250000001</v>
      </c>
      <c r="D176" s="167">
        <f>+G176-G175</f>
        <v>160.765232725</v>
      </c>
      <c r="E176" s="167">
        <v>370.28563750000001</v>
      </c>
      <c r="G176" s="167">
        <v>333.324619875</v>
      </c>
      <c r="I176" s="172">
        <v>125.7</v>
      </c>
      <c r="J176" s="164">
        <v>2</v>
      </c>
      <c r="L176" s="173">
        <v>14610</v>
      </c>
      <c r="M176" s="172">
        <v>603.80000000000018</v>
      </c>
      <c r="N176" s="172">
        <f t="shared" si="7"/>
        <v>708.99665871121726</v>
      </c>
      <c r="O176" s="173">
        <v>5486</v>
      </c>
      <c r="P176" s="172">
        <v>1077.9000000000001</v>
      </c>
      <c r="Q176" s="172">
        <f t="shared" si="5"/>
        <v>1265.6964200477328</v>
      </c>
      <c r="R176" s="173">
        <v>11296</v>
      </c>
      <c r="S176" s="172">
        <v>235.3</v>
      </c>
      <c r="T176" s="172">
        <f t="shared" si="6"/>
        <v>276.29498806682579</v>
      </c>
    </row>
    <row r="177" spans="1:20" x14ac:dyDescent="0.25">
      <c r="A177" s="167">
        <v>3</v>
      </c>
      <c r="B177" s="167"/>
      <c r="C177" s="175">
        <f>+E177-E176</f>
        <v>160.23377500000004</v>
      </c>
      <c r="D177" s="167">
        <f>+G177-G176</f>
        <v>142.31202375000004</v>
      </c>
      <c r="E177" s="167">
        <v>530.51941250000004</v>
      </c>
      <c r="G177" s="167">
        <v>475.63664362500003</v>
      </c>
      <c r="I177" s="172">
        <v>125.4</v>
      </c>
      <c r="J177" s="164">
        <v>3</v>
      </c>
      <c r="L177" s="173">
        <v>19220</v>
      </c>
      <c r="M177" s="172">
        <v>795.69999999999982</v>
      </c>
      <c r="N177" s="172">
        <f t="shared" si="7"/>
        <v>936.5655502392342</v>
      </c>
      <c r="O177" s="173">
        <v>13278</v>
      </c>
      <c r="P177" s="172">
        <v>1278.0999999999999</v>
      </c>
      <c r="Q177" s="172">
        <f t="shared" si="5"/>
        <v>1504.3665071770331</v>
      </c>
      <c r="R177" s="173">
        <v>11383</v>
      </c>
      <c r="S177" s="172">
        <v>231.79999999999995</v>
      </c>
      <c r="T177" s="172">
        <f t="shared" si="6"/>
        <v>272.83636363636356</v>
      </c>
    </row>
    <row r="178" spans="1:20" x14ac:dyDescent="0.25">
      <c r="A178" s="167">
        <v>4</v>
      </c>
      <c r="B178" s="167"/>
      <c r="C178" s="175">
        <f>+E178-E177</f>
        <v>179.8571388695641</v>
      </c>
      <c r="D178" s="167">
        <f>+G178-G177</f>
        <v>163.53199924456408</v>
      </c>
      <c r="E178" s="167">
        <v>710.37655136956414</v>
      </c>
      <c r="G178" s="167">
        <v>639.16864286956411</v>
      </c>
      <c r="I178" s="172">
        <v>126.6</v>
      </c>
      <c r="J178" s="164">
        <v>4</v>
      </c>
      <c r="L178" s="173">
        <v>16838</v>
      </c>
      <c r="M178" s="172">
        <v>759.30000000000018</v>
      </c>
      <c r="N178" s="172">
        <f t="shared" si="7"/>
        <v>885.2502369668249</v>
      </c>
      <c r="O178" s="173">
        <v>6227</v>
      </c>
      <c r="P178" s="172">
        <v>1192.2000000000003</v>
      </c>
      <c r="Q178" s="172">
        <f t="shared" si="5"/>
        <v>1389.958293838863</v>
      </c>
      <c r="R178" s="173">
        <v>10409</v>
      </c>
      <c r="S178" s="172">
        <v>276.40000000000009</v>
      </c>
      <c r="T178" s="172">
        <f t="shared" si="6"/>
        <v>322.24834123222757</v>
      </c>
    </row>
    <row r="179" spans="1:20" x14ac:dyDescent="0.25">
      <c r="A179" s="167">
        <v>1</v>
      </c>
      <c r="B179" s="167">
        <v>2010</v>
      </c>
      <c r="C179" s="175">
        <f>+E179</f>
        <v>204.63648875000001</v>
      </c>
      <c r="D179" s="167">
        <f>+G179</f>
        <v>186.506571025</v>
      </c>
      <c r="E179" s="167">
        <v>204.63648875000001</v>
      </c>
      <c r="G179" s="167">
        <v>186.506571025</v>
      </c>
      <c r="I179" s="172">
        <v>128.69999999999999</v>
      </c>
      <c r="J179" s="164">
        <v>1</v>
      </c>
      <c r="K179" s="164">
        <v>2010</v>
      </c>
      <c r="L179" s="173">
        <v>40484.70904761905</v>
      </c>
      <c r="M179" s="172">
        <v>1693.2251146266974</v>
      </c>
      <c r="N179" s="172">
        <f t="shared" si="7"/>
        <v>1941.8805510404081</v>
      </c>
      <c r="O179" s="173">
        <v>6690</v>
      </c>
      <c r="P179" s="172">
        <v>1648.5</v>
      </c>
      <c r="Q179" s="172">
        <f t="shared" si="5"/>
        <v>1890.5874125874127</v>
      </c>
      <c r="R179" s="173">
        <v>7227</v>
      </c>
      <c r="S179" s="172">
        <v>243.10000000000002</v>
      </c>
      <c r="T179" s="172">
        <f t="shared" si="6"/>
        <v>278.80000000000007</v>
      </c>
    </row>
    <row r="180" spans="1:20" x14ac:dyDescent="0.25">
      <c r="A180" s="167">
        <v>2</v>
      </c>
      <c r="B180" s="167"/>
      <c r="C180" s="175">
        <f>+E180-E179</f>
        <v>188.95691625000001</v>
      </c>
      <c r="D180" s="167">
        <f>+G180-G179</f>
        <v>170.46253197500002</v>
      </c>
      <c r="E180" s="167">
        <v>393.59340500000002</v>
      </c>
      <c r="G180" s="167">
        <v>356.96910300000002</v>
      </c>
      <c r="I180" s="172">
        <v>128.9</v>
      </c>
      <c r="J180" s="164">
        <v>2</v>
      </c>
      <c r="L180" s="173">
        <v>20633.79583333333</v>
      </c>
      <c r="M180" s="172">
        <v>864.97098885712671</v>
      </c>
      <c r="N180" s="172">
        <f t="shared" si="7"/>
        <v>990.45553107301703</v>
      </c>
      <c r="O180" s="173">
        <v>5716</v>
      </c>
      <c r="P180" s="172">
        <v>1381.6999999999998</v>
      </c>
      <c r="Q180" s="172">
        <f t="shared" si="5"/>
        <v>1582.1483320403411</v>
      </c>
      <c r="R180" s="173">
        <v>10696</v>
      </c>
      <c r="S180" s="172">
        <v>201.60000000000002</v>
      </c>
      <c r="T180" s="172">
        <f t="shared" si="6"/>
        <v>230.84685802948022</v>
      </c>
    </row>
    <row r="181" spans="1:20" x14ac:dyDescent="0.25">
      <c r="A181" s="167">
        <v>3</v>
      </c>
      <c r="B181" s="167"/>
      <c r="C181" s="175">
        <f>+E181-E180</f>
        <v>172.07737875000004</v>
      </c>
      <c r="D181" s="167">
        <f>+G181-G180</f>
        <v>154.15607493749997</v>
      </c>
      <c r="E181" s="167">
        <v>565.67078375000006</v>
      </c>
      <c r="G181" s="167">
        <v>511.12517793749998</v>
      </c>
      <c r="I181" s="172">
        <v>127.8</v>
      </c>
      <c r="J181" s="164">
        <v>3</v>
      </c>
      <c r="L181" s="173">
        <v>19149.335833333338</v>
      </c>
      <c r="M181" s="172">
        <v>861.71516601647909</v>
      </c>
      <c r="N181" s="172">
        <f t="shared" si="7"/>
        <v>995.22033258241254</v>
      </c>
      <c r="O181" s="173">
        <v>9089</v>
      </c>
      <c r="P181" s="172">
        <v>1286.1999999999998</v>
      </c>
      <c r="Q181" s="172">
        <f t="shared" si="5"/>
        <v>1485.4704225352111</v>
      </c>
      <c r="R181" s="173">
        <v>11532</v>
      </c>
      <c r="S181" s="172">
        <v>200.69999999999993</v>
      </c>
      <c r="T181" s="172">
        <f t="shared" si="6"/>
        <v>231.79436619718302</v>
      </c>
    </row>
    <row r="182" spans="1:20" x14ac:dyDescent="0.25">
      <c r="A182" s="167">
        <v>4</v>
      </c>
      <c r="B182" s="167"/>
      <c r="C182" s="175">
        <f>+E182-E181</f>
        <v>192.96143124999992</v>
      </c>
      <c r="D182" s="167">
        <f>+G182-G181</f>
        <v>174.39946771249993</v>
      </c>
      <c r="E182" s="167">
        <v>758.63221499999997</v>
      </c>
      <c r="G182" s="167">
        <v>685.52464564999991</v>
      </c>
      <c r="I182" s="172">
        <v>129</v>
      </c>
      <c r="J182" s="164">
        <v>4</v>
      </c>
      <c r="L182" s="173">
        <v>22322.361666666664</v>
      </c>
      <c r="M182" s="172">
        <v>889.84894905372039</v>
      </c>
      <c r="N182" s="172">
        <f t="shared" ref="N182" si="8">M182/I182*$I$69</f>
        <v>1018.1527510103033</v>
      </c>
      <c r="O182" s="173">
        <v>5858</v>
      </c>
      <c r="P182" s="172">
        <v>1310.8000000000011</v>
      </c>
      <c r="Q182" s="172">
        <f t="shared" si="5"/>
        <v>1499.7990697674429</v>
      </c>
      <c r="R182" s="173">
        <v>9548</v>
      </c>
      <c r="S182" s="172">
        <v>205</v>
      </c>
      <c r="T182" s="172">
        <f t="shared" si="6"/>
        <v>234.55813953488371</v>
      </c>
    </row>
    <row r="183" spans="1:20" x14ac:dyDescent="0.25">
      <c r="A183" s="167">
        <v>1</v>
      </c>
      <c r="B183" s="167">
        <v>2011</v>
      </c>
      <c r="C183" s="175">
        <f>+E183</f>
        <v>204.00503875000001</v>
      </c>
      <c r="D183" s="167">
        <f>+G183</f>
        <v>184.8599929625</v>
      </c>
      <c r="E183" s="167">
        <v>204.00503875000001</v>
      </c>
      <c r="G183" s="167">
        <v>184.8599929625</v>
      </c>
      <c r="I183" s="172">
        <v>130.19999999999999</v>
      </c>
      <c r="J183" s="164">
        <v>1</v>
      </c>
      <c r="K183" s="164">
        <v>2011</v>
      </c>
      <c r="L183" s="173">
        <v>26141.662648809524</v>
      </c>
      <c r="M183" s="172">
        <v>1061.4209517567813</v>
      </c>
      <c r="N183" s="172">
        <f t="shared" ref="N183:N186" si="9">M183/I183*$I$69</f>
        <v>1203.2698347104526</v>
      </c>
      <c r="O183" s="173">
        <v>5959</v>
      </c>
      <c r="P183" s="172">
        <v>1698.7</v>
      </c>
      <c r="Q183" s="172">
        <f t="shared" si="5"/>
        <v>1925.7152073732721</v>
      </c>
      <c r="R183" s="173">
        <v>6732</v>
      </c>
      <c r="S183" s="172">
        <v>156.5</v>
      </c>
      <c r="T183" s="172">
        <f t="shared" si="6"/>
        <v>177.41474654377882</v>
      </c>
    </row>
    <row r="184" spans="1:20" x14ac:dyDescent="0.25">
      <c r="A184" s="167">
        <v>2</v>
      </c>
      <c r="B184" s="167"/>
      <c r="C184" s="175">
        <f>+E184-E183</f>
        <v>188.74104374999999</v>
      </c>
      <c r="D184" s="167">
        <f>+G184-G183</f>
        <v>171.33320521249996</v>
      </c>
      <c r="E184" s="164">
        <v>392.7460825</v>
      </c>
      <c r="G184" s="164">
        <v>356.19319817499996</v>
      </c>
      <c r="I184" s="172">
        <v>131</v>
      </c>
      <c r="J184" s="164">
        <v>2</v>
      </c>
      <c r="L184" s="181">
        <v>18851.951101190472</v>
      </c>
      <c r="M184" s="182">
        <v>776.58308820124375</v>
      </c>
      <c r="N184" s="172">
        <f t="shared" si="9"/>
        <v>874.98980014124868</v>
      </c>
      <c r="O184" s="173">
        <v>7524</v>
      </c>
      <c r="P184" s="172">
        <v>1533.4000000000003</v>
      </c>
      <c r="Q184" s="172">
        <f t="shared" si="5"/>
        <v>1727.7087022900764</v>
      </c>
      <c r="R184" s="173">
        <v>10017</v>
      </c>
      <c r="S184" s="172">
        <v>197.79999999999995</v>
      </c>
      <c r="T184" s="172">
        <f t="shared" si="6"/>
        <v>222.86473282442742</v>
      </c>
    </row>
    <row r="185" spans="1:20" x14ac:dyDescent="0.25">
      <c r="A185" s="167">
        <v>3</v>
      </c>
      <c r="C185" s="175">
        <f>+E185-E184</f>
        <v>169.93391749999995</v>
      </c>
      <c r="D185" s="167">
        <f>+G185-G184</f>
        <v>151.69380182500004</v>
      </c>
      <c r="E185" s="164">
        <v>562.67999999999995</v>
      </c>
      <c r="G185" s="164">
        <v>507.887</v>
      </c>
      <c r="I185" s="172">
        <v>129.4</v>
      </c>
      <c r="J185" s="164">
        <v>3</v>
      </c>
      <c r="L185" s="181">
        <v>24107.386250000007</v>
      </c>
      <c r="M185" s="182">
        <v>914.64669811090494</v>
      </c>
      <c r="N185" s="172">
        <f t="shared" si="9"/>
        <v>1043.2909786798266</v>
      </c>
      <c r="O185" s="173">
        <v>10171</v>
      </c>
      <c r="P185" s="172">
        <v>1285.3999999999996</v>
      </c>
      <c r="Q185" s="172">
        <f t="shared" si="5"/>
        <v>1466.1904173106641</v>
      </c>
      <c r="R185" s="173">
        <v>10339</v>
      </c>
      <c r="S185" s="172">
        <v>167.29999999999995</v>
      </c>
      <c r="T185" s="172">
        <f t="shared" si="6"/>
        <v>190.83060278207103</v>
      </c>
    </row>
    <row r="186" spans="1:20" x14ac:dyDescent="0.25">
      <c r="A186" s="164">
        <v>4</v>
      </c>
      <c r="C186" s="175">
        <f>+E186-E185</f>
        <v>202.17554500000006</v>
      </c>
      <c r="D186" s="167">
        <f>+G186-G185</f>
        <v>178.91908595000001</v>
      </c>
      <c r="E186" s="164">
        <v>764.85554500000001</v>
      </c>
      <c r="G186" s="164">
        <v>686.80608595000001</v>
      </c>
      <c r="I186" s="164">
        <v>130.5</v>
      </c>
      <c r="J186" s="164">
        <v>4</v>
      </c>
      <c r="L186" s="181">
        <v>18022.572976190484</v>
      </c>
      <c r="M186" s="172">
        <v>777.38419736292576</v>
      </c>
      <c r="N186" s="172">
        <f t="shared" si="9"/>
        <v>879.24833356910221</v>
      </c>
      <c r="O186" s="181">
        <v>8775.7956028314002</v>
      </c>
      <c r="P186" s="172">
        <v>1286.8626975018997</v>
      </c>
      <c r="Q186" s="172">
        <f t="shared" si="5"/>
        <v>1455.4860854504245</v>
      </c>
      <c r="R186" s="181">
        <v>9645.4866500746648</v>
      </c>
      <c r="S186" s="172">
        <v>181.103452008619</v>
      </c>
      <c r="T186" s="172">
        <f t="shared" si="6"/>
        <v>204.83424916836907</v>
      </c>
    </row>
    <row r="187" spans="1:20" x14ac:dyDescent="0.25">
      <c r="A187" s="164">
        <v>1</v>
      </c>
      <c r="B187" s="164">
        <v>2012</v>
      </c>
      <c r="C187" s="175">
        <f>+E187</f>
        <v>195.82938625</v>
      </c>
      <c r="D187" s="167">
        <f>+G187</f>
        <v>177.0717714875</v>
      </c>
      <c r="E187" s="164">
        <v>195.82938625</v>
      </c>
      <c r="G187" s="164">
        <v>177.0717714875</v>
      </c>
      <c r="I187" s="164">
        <v>131.69999999999999</v>
      </c>
      <c r="J187" s="164">
        <v>1</v>
      </c>
      <c r="K187" s="164">
        <v>2012</v>
      </c>
      <c r="L187" s="181">
        <v>18517.39324404762</v>
      </c>
      <c r="M187" s="172">
        <v>869.15461769403078</v>
      </c>
      <c r="N187" s="172">
        <f t="shared" ref="N187:N193" si="10">M187/I187*$I$69</f>
        <v>974.08672415823048</v>
      </c>
      <c r="O187" s="173">
        <v>6822.44890070785</v>
      </c>
      <c r="P187" s="172">
        <v>1150.314057295883</v>
      </c>
      <c r="Q187" s="172">
        <f t="shared" si="5"/>
        <v>1289.1902418896912</v>
      </c>
      <c r="R187" s="173">
        <v>7564.3716625186662</v>
      </c>
      <c r="S187" s="172">
        <v>175.73767321176348</v>
      </c>
      <c r="T187" s="172">
        <f t="shared" si="6"/>
        <v>196.95429435122469</v>
      </c>
    </row>
    <row r="188" spans="1:20" x14ac:dyDescent="0.25">
      <c r="A188" s="164">
        <v>2</v>
      </c>
      <c r="C188" s="175">
        <f>+E188-E187</f>
        <v>182.75061374999999</v>
      </c>
      <c r="D188" s="167">
        <f>+G188-G187</f>
        <v>165.12822851249999</v>
      </c>
      <c r="E188" s="183">
        <v>378.58</v>
      </c>
      <c r="G188" s="183">
        <v>342.2</v>
      </c>
      <c r="I188" s="164">
        <v>131.69999999999999</v>
      </c>
      <c r="J188" s="164">
        <v>2</v>
      </c>
      <c r="L188" s="181">
        <v>14087.60675595238</v>
      </c>
      <c r="M188" s="172">
        <v>635.43152402028181</v>
      </c>
      <c r="N188" s="172">
        <f t="shared" si="10"/>
        <v>712.14649161270768</v>
      </c>
      <c r="O188" s="173">
        <v>4838.55109929215</v>
      </c>
      <c r="P188" s="172">
        <v>1037.7970664905204</v>
      </c>
      <c r="Q188" s="172">
        <f t="shared" si="5"/>
        <v>1163.0891952467791</v>
      </c>
      <c r="R188" s="173">
        <v>10002.628337481334</v>
      </c>
      <c r="S188" s="172">
        <v>184.20744441885319</v>
      </c>
      <c r="T188" s="172">
        <f t="shared" si="6"/>
        <v>206.44661196828196</v>
      </c>
    </row>
    <row r="189" spans="1:20" x14ac:dyDescent="0.25">
      <c r="A189" s="167">
        <v>3</v>
      </c>
      <c r="C189" s="175">
        <f>+E189-E188</f>
        <v>165.72960875000007</v>
      </c>
      <c r="D189" s="167">
        <f>+G189-G188</f>
        <v>148.24155396250001</v>
      </c>
      <c r="E189" s="164">
        <v>544.30960875000005</v>
      </c>
      <c r="G189" s="164">
        <v>490.4415539625</v>
      </c>
      <c r="I189" s="164">
        <v>130</v>
      </c>
      <c r="J189" s="164">
        <v>3</v>
      </c>
      <c r="L189" s="184">
        <v>20999.460714285713</v>
      </c>
      <c r="M189" s="185">
        <v>864.77367174435972</v>
      </c>
      <c r="N189" s="172">
        <f t="shared" si="10"/>
        <v>981.85072268821136</v>
      </c>
      <c r="O189" s="184">
        <v>6828.0536397386386</v>
      </c>
      <c r="P189" s="185">
        <v>1132.0609213635664</v>
      </c>
      <c r="Q189" s="172">
        <f t="shared" si="5"/>
        <v>1285.3245537943262</v>
      </c>
      <c r="R189" s="184">
        <v>10877.781177428844</v>
      </c>
      <c r="S189" s="185">
        <v>190.02859425457928</v>
      </c>
      <c r="T189" s="172">
        <f t="shared" si="6"/>
        <v>215.7555423998146</v>
      </c>
    </row>
    <row r="190" spans="1:20" x14ac:dyDescent="0.25">
      <c r="A190" s="167">
        <v>4</v>
      </c>
      <c r="C190" s="175">
        <f>+E190-E189</f>
        <v>166.80539124999996</v>
      </c>
      <c r="D190" s="167">
        <f>+G190-G189</f>
        <v>151.72844603749996</v>
      </c>
      <c r="E190" s="164">
        <v>711.11500000000001</v>
      </c>
      <c r="G190" s="164">
        <v>642.16999999999996</v>
      </c>
      <c r="I190" s="164">
        <v>132</v>
      </c>
      <c r="J190" s="164">
        <v>4</v>
      </c>
      <c r="L190" s="184">
        <v>17946.539285714287</v>
      </c>
      <c r="M190" s="185">
        <v>826.79347775776318</v>
      </c>
      <c r="N190" s="172">
        <f t="shared" si="10"/>
        <v>924.50543422004421</v>
      </c>
      <c r="O190" s="184">
        <v>5621.9463602613596</v>
      </c>
      <c r="P190" s="185">
        <v>1071.0118577206574</v>
      </c>
      <c r="Q190" s="172">
        <f t="shared" ref="Q190:Q213" si="11">P190/I190*$I$69</f>
        <v>1197.5859863603714</v>
      </c>
      <c r="R190" s="184">
        <v>8525.2188225711561</v>
      </c>
      <c r="S190" s="185">
        <v>190.41732478586363</v>
      </c>
      <c r="T190" s="172">
        <f t="shared" ref="T190:T213" si="12">S190/I190*$I$69</f>
        <v>212.92119044237475</v>
      </c>
    </row>
    <row r="191" spans="1:20" x14ac:dyDescent="0.25">
      <c r="A191" s="164">
        <v>1</v>
      </c>
      <c r="B191" s="164">
        <v>2013</v>
      </c>
      <c r="C191" s="175">
        <f>+E191</f>
        <v>199.180995</v>
      </c>
      <c r="D191" s="167">
        <f>+G191</f>
        <v>183.65288545000001</v>
      </c>
      <c r="E191" s="164">
        <v>199.180995</v>
      </c>
      <c r="G191" s="164">
        <v>183.65288545000001</v>
      </c>
      <c r="I191" s="164">
        <v>133</v>
      </c>
      <c r="J191" s="164">
        <v>1</v>
      </c>
      <c r="K191" s="164">
        <f>B191</f>
        <v>2013</v>
      </c>
      <c r="L191" s="184">
        <v>21974.571815476189</v>
      </c>
      <c r="M191" s="185">
        <v>1023.0812127444322</v>
      </c>
      <c r="N191" s="172">
        <f t="shared" si="10"/>
        <v>1135.3893759479563</v>
      </c>
      <c r="O191" s="184">
        <v>5520.4451678348678</v>
      </c>
      <c r="P191" s="185">
        <v>1148.1840804128565</v>
      </c>
      <c r="Q191" s="172">
        <f t="shared" si="11"/>
        <v>1274.225340367952</v>
      </c>
      <c r="R191" s="184">
        <v>5958.3970505452735</v>
      </c>
      <c r="S191" s="185">
        <v>167.84779905693762</v>
      </c>
      <c r="T191" s="172">
        <f t="shared" si="12"/>
        <v>186.27319654739844</v>
      </c>
    </row>
    <row r="192" spans="1:20" x14ac:dyDescent="0.25">
      <c r="A192" s="164">
        <v>2</v>
      </c>
      <c r="C192" s="175">
        <f>+E192-E191</f>
        <v>205.01500500000003</v>
      </c>
      <c r="D192" s="167">
        <f>+G192-G191</f>
        <v>185.63411454999996</v>
      </c>
      <c r="E192" s="164">
        <v>404.19600000000003</v>
      </c>
      <c r="G192" s="164">
        <v>369.28699999999998</v>
      </c>
      <c r="I192" s="164">
        <v>134.30000000000001</v>
      </c>
      <c r="J192" s="164">
        <v>2</v>
      </c>
      <c r="L192" s="184">
        <v>23960.428184523811</v>
      </c>
      <c r="M192" s="185">
        <v>1011.581560458749</v>
      </c>
      <c r="N192" s="172">
        <f t="shared" si="10"/>
        <v>1111.7605236315067</v>
      </c>
      <c r="O192" s="184">
        <v>6388.5548321651322</v>
      </c>
      <c r="P192" s="185">
        <v>1133.7065185307133</v>
      </c>
      <c r="Q192" s="172">
        <f t="shared" si="11"/>
        <v>1245.9797627336802</v>
      </c>
      <c r="R192" s="184">
        <v>10154.602949454726</v>
      </c>
      <c r="S192" s="185">
        <v>176.1673175310234</v>
      </c>
      <c r="T192" s="172">
        <f t="shared" si="12"/>
        <v>193.61352246894305</v>
      </c>
    </row>
    <row r="193" spans="1:20" x14ac:dyDescent="0.25">
      <c r="A193" s="164">
        <v>3</v>
      </c>
      <c r="C193" s="175">
        <f>+E193-E192</f>
        <v>172.04383408071794</v>
      </c>
      <c r="D193" s="167">
        <f>+G193-G192</f>
        <v>153.21019910313902</v>
      </c>
      <c r="E193" s="164">
        <v>576.23983408071797</v>
      </c>
      <c r="G193" s="164">
        <v>522.497199103139</v>
      </c>
      <c r="I193" s="164">
        <v>134.19999999999999</v>
      </c>
      <c r="J193" s="164">
        <v>3</v>
      </c>
      <c r="L193" s="184">
        <v>18388.581422924897</v>
      </c>
      <c r="M193" s="185">
        <v>735.52528494140915</v>
      </c>
      <c r="N193" s="172">
        <f t="shared" si="10"/>
        <v>808.96819714867354</v>
      </c>
      <c r="O193" s="184">
        <v>11492.955434782609</v>
      </c>
      <c r="P193" s="185">
        <v>1323.3889549928699</v>
      </c>
      <c r="Q193" s="172">
        <f t="shared" si="11"/>
        <v>1455.5306241203248</v>
      </c>
      <c r="R193" s="184">
        <v>11786.02326086957</v>
      </c>
      <c r="S193" s="185">
        <v>172.41802435151402</v>
      </c>
      <c r="T193" s="172">
        <f t="shared" si="12"/>
        <v>189.63413110494392</v>
      </c>
    </row>
    <row r="194" spans="1:20" x14ac:dyDescent="0.25">
      <c r="A194" s="167">
        <v>4</v>
      </c>
      <c r="C194" s="175">
        <f>+E194-E193</f>
        <v>204.099832585949</v>
      </c>
      <c r="D194" s="167">
        <f>+G194-G193</f>
        <v>188.07946756352794</v>
      </c>
      <c r="E194" s="164">
        <v>780.33966666666697</v>
      </c>
      <c r="G194" s="164">
        <v>710.57666666666694</v>
      </c>
      <c r="I194" s="164">
        <v>135.30000000000001</v>
      </c>
      <c r="J194" s="164">
        <v>4</v>
      </c>
      <c r="L194" s="184">
        <v>18420.418577075106</v>
      </c>
      <c r="M194" s="184">
        <v>895.71090498583999</v>
      </c>
      <c r="N194" s="172">
        <f>M194/I194*$I$69</f>
        <v>977.13916907546172</v>
      </c>
      <c r="O194" s="184">
        <v>7745.0445652173912</v>
      </c>
      <c r="P194" s="184">
        <v>1212.6630411771803</v>
      </c>
      <c r="Q194" s="172">
        <f t="shared" si="11"/>
        <v>1322.905135829651</v>
      </c>
      <c r="R194" s="184">
        <v>11621.97673913043</v>
      </c>
      <c r="S194" s="184">
        <v>180.100371437175</v>
      </c>
      <c r="T194" s="172">
        <f t="shared" si="12"/>
        <v>196.47313247691815</v>
      </c>
    </row>
    <row r="195" spans="1:20" x14ac:dyDescent="0.25">
      <c r="A195" s="167">
        <v>1</v>
      </c>
      <c r="B195" s="164">
        <v>2014</v>
      </c>
      <c r="C195" s="175">
        <f>E195</f>
        <v>196.17699999999999</v>
      </c>
      <c r="D195" s="167">
        <f>G195</f>
        <v>179.55199999999999</v>
      </c>
      <c r="E195" s="164">
        <v>196.17699999999999</v>
      </c>
      <c r="G195" s="164">
        <v>179.55199999999999</v>
      </c>
      <c r="I195" s="164">
        <v>135.80000000000001</v>
      </c>
      <c r="J195" s="164">
        <f>A195</f>
        <v>1</v>
      </c>
      <c r="K195" s="164">
        <f>B195</f>
        <v>2014</v>
      </c>
      <c r="L195" s="184">
        <v>19713</v>
      </c>
      <c r="M195" s="184">
        <v>886.67647724495987</v>
      </c>
      <c r="N195" s="172">
        <f>M195/I195*$I$69</f>
        <v>963.72200325004462</v>
      </c>
      <c r="O195" s="184">
        <v>7032</v>
      </c>
      <c r="P195" s="184">
        <v>1484.9150299297401</v>
      </c>
      <c r="Q195" s="172">
        <f t="shared" ref="Q195" si="13">P195/I195*$I$69</f>
        <v>1613.9429927660501</v>
      </c>
      <c r="R195" s="184">
        <v>8004</v>
      </c>
      <c r="S195" s="184">
        <v>165.16263465729782</v>
      </c>
      <c r="T195" s="172">
        <f t="shared" ref="T195" si="14">S195/I195*$I$69</f>
        <v>179.51402706492749</v>
      </c>
    </row>
    <row r="196" spans="1:20" x14ac:dyDescent="0.25">
      <c r="A196" s="164">
        <v>2</v>
      </c>
      <c r="C196" s="175">
        <f>+E196-E195</f>
        <v>197.965</v>
      </c>
      <c r="D196" s="167">
        <f>+G196-G195</f>
        <v>179.76700000000002</v>
      </c>
      <c r="E196" s="164">
        <v>394.142</v>
      </c>
      <c r="G196" s="164">
        <v>359.31900000000002</v>
      </c>
      <c r="I196" s="164">
        <v>136.69999999999999</v>
      </c>
      <c r="J196" s="164">
        <v>2</v>
      </c>
      <c r="L196" s="184">
        <v>16691</v>
      </c>
      <c r="M196" s="184">
        <v>732.96206934555016</v>
      </c>
      <c r="N196" s="172">
        <f t="shared" ref="N196:N213" si="15">M196/I196*$I$69</f>
        <v>791.40600903733139</v>
      </c>
      <c r="O196" s="184">
        <v>6228</v>
      </c>
      <c r="P196" s="184">
        <v>1158.7677611998799</v>
      </c>
      <c r="Q196" s="172">
        <f t="shared" si="11"/>
        <v>1251.1640201397388</v>
      </c>
      <c r="R196" s="184">
        <v>11579</v>
      </c>
      <c r="S196" s="184">
        <v>167.32102845142202</v>
      </c>
      <c r="T196" s="172">
        <f t="shared" si="12"/>
        <v>180.662646667373</v>
      </c>
    </row>
    <row r="197" spans="1:20" x14ac:dyDescent="0.25">
      <c r="A197" s="164">
        <v>3</v>
      </c>
      <c r="C197" s="175">
        <f>+E197-E196</f>
        <v>192.10452006852</v>
      </c>
      <c r="D197" s="167">
        <f>+G197-G196</f>
        <v>173.47352006851992</v>
      </c>
      <c r="E197" s="164">
        <v>586.24652006852</v>
      </c>
      <c r="G197" s="164">
        <v>532.79252006851993</v>
      </c>
      <c r="I197" s="164">
        <v>137</v>
      </c>
      <c r="J197" s="164">
        <v>3</v>
      </c>
      <c r="L197" s="184">
        <v>21817</v>
      </c>
      <c r="M197" s="184">
        <v>1080.59231996894</v>
      </c>
      <c r="N197" s="172">
        <f t="shared" si="15"/>
        <v>1164.2001929008434</v>
      </c>
      <c r="O197" s="184">
        <v>20407</v>
      </c>
      <c r="P197" s="184">
        <v>1259.8740491119995</v>
      </c>
      <c r="Q197" s="172">
        <f t="shared" si="11"/>
        <v>1357.3533551016872</v>
      </c>
      <c r="R197" s="184">
        <v>11684</v>
      </c>
      <c r="S197" s="184">
        <v>177.03184293206914</v>
      </c>
      <c r="T197" s="172">
        <f t="shared" si="12"/>
        <v>190.72919720272557</v>
      </c>
    </row>
    <row r="198" spans="1:20" x14ac:dyDescent="0.25">
      <c r="A198" s="164">
        <v>4</v>
      </c>
      <c r="C198" s="175">
        <f>+E198-E197</f>
        <v>196.808833167682</v>
      </c>
      <c r="D198" s="167">
        <f>+G198-G197</f>
        <v>184.73883316768206</v>
      </c>
      <c r="E198" s="164">
        <v>783.055353236202</v>
      </c>
      <c r="G198" s="164">
        <v>717.53135323620199</v>
      </c>
      <c r="I198" s="164">
        <v>137.9</v>
      </c>
      <c r="J198" s="164">
        <v>4</v>
      </c>
      <c r="L198" s="184">
        <v>20183</v>
      </c>
      <c r="M198" s="184">
        <v>869.67426416194962</v>
      </c>
      <c r="N198" s="172">
        <f t="shared" si="15"/>
        <v>930.84787085064363</v>
      </c>
      <c r="O198" s="184">
        <v>12863</v>
      </c>
      <c r="P198" s="184">
        <v>1106.850761909501</v>
      </c>
      <c r="Q198" s="172">
        <f t="shared" si="11"/>
        <v>1184.7075595202489</v>
      </c>
      <c r="R198" s="184">
        <v>9690</v>
      </c>
      <c r="S198" s="184">
        <v>175.42101671448501</v>
      </c>
      <c r="T198" s="172">
        <f t="shared" si="12"/>
        <v>187.76027604828124</v>
      </c>
    </row>
    <row r="199" spans="1:20" x14ac:dyDescent="0.25">
      <c r="A199" s="164">
        <v>1</v>
      </c>
      <c r="B199" s="164">
        <v>2015</v>
      </c>
      <c r="C199" s="175">
        <f>E199</f>
        <v>219.418599054541</v>
      </c>
      <c r="D199" s="167">
        <f>G199</f>
        <v>202.59159905454101</v>
      </c>
      <c r="E199" s="164">
        <v>219.418599054541</v>
      </c>
      <c r="G199" s="164">
        <v>202.59159905454101</v>
      </c>
      <c r="I199" s="164">
        <v>138.4</v>
      </c>
      <c r="J199" s="164">
        <v>1</v>
      </c>
      <c r="K199" s="164">
        <v>2015</v>
      </c>
      <c r="L199" s="184">
        <v>19630</v>
      </c>
      <c r="M199" s="184">
        <v>957.60520650282388</v>
      </c>
      <c r="N199" s="172">
        <f t="shared" si="15"/>
        <v>1021.2610439293121</v>
      </c>
      <c r="O199" s="184">
        <v>9848</v>
      </c>
      <c r="P199" s="184">
        <v>1279.8360091262539</v>
      </c>
      <c r="Q199" s="172">
        <f t="shared" si="11"/>
        <v>1364.9118132011204</v>
      </c>
      <c r="R199" s="184">
        <v>7135</v>
      </c>
      <c r="S199" s="184">
        <v>155.36971992416409</v>
      </c>
      <c r="T199" s="172">
        <f t="shared" si="12"/>
        <v>165.69776489022124</v>
      </c>
    </row>
    <row r="200" spans="1:20" x14ac:dyDescent="0.25">
      <c r="A200" s="164">
        <v>2</v>
      </c>
      <c r="C200" s="175">
        <f>+E200-E199</f>
        <v>188.69592411436798</v>
      </c>
      <c r="D200" s="167">
        <f>+G200-G199</f>
        <v>171.45081948058601</v>
      </c>
      <c r="E200" s="164">
        <v>408.11452316890899</v>
      </c>
      <c r="G200" s="164">
        <v>374.04241853512701</v>
      </c>
      <c r="I200" s="164">
        <v>139.6</v>
      </c>
      <c r="J200" s="164">
        <v>2</v>
      </c>
      <c r="L200" s="184">
        <v>15703.949675889351</v>
      </c>
      <c r="M200" s="184">
        <v>739.71582874915612</v>
      </c>
      <c r="N200" s="172">
        <f t="shared" si="15"/>
        <v>782.10642065455181</v>
      </c>
      <c r="O200" s="184">
        <v>5422.7168724637304</v>
      </c>
      <c r="P200" s="184">
        <v>1206.7408437095464</v>
      </c>
      <c r="Q200" s="172">
        <f t="shared" si="11"/>
        <v>1275.8950467874574</v>
      </c>
      <c r="R200" s="184">
        <v>9988.3050621118018</v>
      </c>
      <c r="S200" s="184">
        <v>168.85276765034422</v>
      </c>
      <c r="T200" s="172">
        <f t="shared" si="12"/>
        <v>178.52914401999143</v>
      </c>
    </row>
    <row r="201" spans="1:20" x14ac:dyDescent="0.25">
      <c r="A201" s="164">
        <v>3</v>
      </c>
      <c r="C201" s="175">
        <f>+E201-E200</f>
        <v>180.38826158445403</v>
      </c>
      <c r="D201" s="167">
        <f>+G201-G200</f>
        <v>162.29720926756397</v>
      </c>
      <c r="E201" s="164">
        <v>588.50278475336302</v>
      </c>
      <c r="G201" s="164">
        <v>536.33962780269098</v>
      </c>
      <c r="I201" s="164">
        <v>139.69999999999999</v>
      </c>
      <c r="J201" s="164">
        <v>3</v>
      </c>
      <c r="L201" s="184">
        <v>22728.974837944646</v>
      </c>
      <c r="M201" s="184">
        <v>979.87465749478997</v>
      </c>
      <c r="N201" s="172">
        <f t="shared" si="15"/>
        <v>1035.2863238813959</v>
      </c>
      <c r="O201" s="184">
        <v>8619.8584362319707</v>
      </c>
      <c r="P201" s="184">
        <v>1341.1049733657396</v>
      </c>
      <c r="Q201" s="172">
        <f t="shared" si="11"/>
        <v>1416.9441236133371</v>
      </c>
      <c r="R201" s="184">
        <v>10649.652531055901</v>
      </c>
      <c r="S201" s="184">
        <v>131.16322330640469</v>
      </c>
      <c r="T201" s="172">
        <f t="shared" si="12"/>
        <v>138.58047072315915</v>
      </c>
    </row>
    <row r="202" spans="1:20" x14ac:dyDescent="0.25">
      <c r="A202" s="164">
        <v>4</v>
      </c>
      <c r="C202" s="175">
        <f>+E202-E201</f>
        <v>195.22963867497901</v>
      </c>
      <c r="D202" s="167">
        <f>+G202-G201</f>
        <v>179.89113138755602</v>
      </c>
      <c r="E202" s="164">
        <v>783.73242342834203</v>
      </c>
      <c r="G202" s="164">
        <v>716.230759190247</v>
      </c>
      <c r="I202" s="164">
        <v>141.69999999999999</v>
      </c>
      <c r="J202" s="164">
        <v>4</v>
      </c>
      <c r="L202" s="184">
        <v>17661.404213438705</v>
      </c>
      <c r="M202" s="184">
        <v>882.4718984768997</v>
      </c>
      <c r="N202" s="172">
        <f t="shared" si="15"/>
        <v>919.21561196323501</v>
      </c>
      <c r="O202" s="184">
        <v>7193.856491304301</v>
      </c>
      <c r="P202" s="184">
        <v>1425.3376484527203</v>
      </c>
      <c r="Q202" s="172">
        <f t="shared" si="11"/>
        <v>1484.6848053043157</v>
      </c>
      <c r="R202" s="184">
        <v>9159.825978260902</v>
      </c>
      <c r="S202" s="184">
        <v>158.55842389179503</v>
      </c>
      <c r="T202" s="172">
        <f t="shared" si="12"/>
        <v>165.16036250126285</v>
      </c>
    </row>
    <row r="203" spans="1:20" x14ac:dyDescent="0.25">
      <c r="A203" s="164">
        <v>1</v>
      </c>
      <c r="B203" s="164">
        <v>2016</v>
      </c>
      <c r="C203" s="175">
        <f>E203</f>
        <v>217.297581707322</v>
      </c>
      <c r="D203" s="167">
        <f>G203</f>
        <v>201.19677375494101</v>
      </c>
      <c r="E203" s="164">
        <v>217.297581707322</v>
      </c>
      <c r="G203" s="164">
        <v>201.19677375494101</v>
      </c>
      <c r="I203" s="164">
        <v>142.69999999999999</v>
      </c>
      <c r="J203" s="164">
        <v>1</v>
      </c>
      <c r="K203" s="164">
        <v>2016</v>
      </c>
      <c r="L203" s="184">
        <v>20668.165818181998</v>
      </c>
      <c r="M203" s="184">
        <v>1021.6300324660001</v>
      </c>
      <c r="N203" s="172">
        <f t="shared" si="15"/>
        <v>1056.7105311281123</v>
      </c>
      <c r="O203" s="184">
        <v>6682.5362000000005</v>
      </c>
      <c r="P203" s="184">
        <v>1267.176908724</v>
      </c>
      <c r="Q203" s="172">
        <f t="shared" si="11"/>
        <v>1310.6889399275572</v>
      </c>
      <c r="R203" s="184">
        <v>6340.7358571430004</v>
      </c>
      <c r="S203" s="184">
        <v>128.592957756</v>
      </c>
      <c r="T203" s="172">
        <f t="shared" si="12"/>
        <v>133.00855336219763</v>
      </c>
    </row>
    <row r="204" spans="1:20" x14ac:dyDescent="0.25">
      <c r="A204" s="164">
        <v>2</v>
      </c>
      <c r="C204" s="175">
        <f>+E204-E203</f>
        <v>210.94903078835901</v>
      </c>
      <c r="D204" s="167">
        <f>+G204-G203</f>
        <v>192.89311593057502</v>
      </c>
      <c r="E204" s="164">
        <v>428.24661249568101</v>
      </c>
      <c r="G204" s="164">
        <v>394.08988968551603</v>
      </c>
      <c r="I204" s="164">
        <v>144.30000000000001</v>
      </c>
      <c r="J204" s="164">
        <v>2</v>
      </c>
      <c r="L204" s="184">
        <v>19039.287573122998</v>
      </c>
      <c r="M204" s="184">
        <v>795.20392340999979</v>
      </c>
      <c r="N204" s="172">
        <f t="shared" si="15"/>
        <v>813.38946011999974</v>
      </c>
      <c r="O204" s="184">
        <v>5385.3991579709982</v>
      </c>
      <c r="P204" s="184">
        <v>991.5183596400002</v>
      </c>
      <c r="Q204" s="172">
        <f t="shared" si="11"/>
        <v>1014.1934156816633</v>
      </c>
      <c r="R204" s="184">
        <v>10107.700518632999</v>
      </c>
      <c r="S204" s="184">
        <v>152.61472035099999</v>
      </c>
      <c r="T204" s="172">
        <f t="shared" si="12"/>
        <v>156.10486988085654</v>
      </c>
    </row>
    <row r="205" spans="1:20" x14ac:dyDescent="0.25">
      <c r="A205" s="164">
        <v>3</v>
      </c>
      <c r="C205" s="175">
        <f>+E205-E204</f>
        <v>193.64755294266695</v>
      </c>
      <c r="D205" s="167">
        <f>+G205-G204</f>
        <v>175.641874720337</v>
      </c>
      <c r="E205" s="164">
        <v>621.89416543834795</v>
      </c>
      <c r="G205" s="164">
        <v>569.73176440585303</v>
      </c>
      <c r="I205" s="164">
        <v>145.30000000000001</v>
      </c>
      <c r="J205" s="164">
        <v>3</v>
      </c>
      <c r="L205" s="184">
        <v>25325.005330874006</v>
      </c>
      <c r="M205" s="184">
        <v>1404.3111468839998</v>
      </c>
      <c r="N205" s="172">
        <f t="shared" si="15"/>
        <v>1426.5404355132714</v>
      </c>
      <c r="O205" s="184">
        <v>9666.7747891530034</v>
      </c>
      <c r="P205" s="184">
        <v>1492.4533452979995</v>
      </c>
      <c r="Q205" s="172">
        <f t="shared" si="11"/>
        <v>1516.0778648725718</v>
      </c>
      <c r="R205" s="184">
        <v>10325.156290487997</v>
      </c>
      <c r="S205" s="184">
        <v>149.15188867200001</v>
      </c>
      <c r="T205" s="172">
        <f t="shared" si="12"/>
        <v>151.5128614451975</v>
      </c>
    </row>
    <row r="206" spans="1:20" x14ac:dyDescent="0.25">
      <c r="A206" s="164">
        <v>4</v>
      </c>
      <c r="C206" s="175">
        <f>+E206-E205</f>
        <v>194.66297676649504</v>
      </c>
      <c r="D206" s="167">
        <f>+G206-G205</f>
        <v>178.45454935802093</v>
      </c>
      <c r="E206" s="164">
        <v>816.55714220484299</v>
      </c>
      <c r="G206" s="164">
        <v>748.18631376387395</v>
      </c>
      <c r="I206" s="164">
        <v>146.69999999999999</v>
      </c>
      <c r="J206" s="164">
        <v>4</v>
      </c>
      <c r="L206" s="184">
        <v>18369.446222722992</v>
      </c>
      <c r="M206" s="184">
        <v>962.00640138500057</v>
      </c>
      <c r="N206" s="172">
        <f t="shared" si="15"/>
        <v>967.90828114809881</v>
      </c>
      <c r="O206" s="184">
        <v>6575.4640743699983</v>
      </c>
      <c r="P206" s="184">
        <v>1222.1149542560006</v>
      </c>
      <c r="Q206" s="172">
        <f t="shared" si="11"/>
        <v>1229.6125920121724</v>
      </c>
      <c r="R206" s="184">
        <v>7957.0224983410008</v>
      </c>
      <c r="S206" s="184">
        <v>147.86469469900001</v>
      </c>
      <c r="T206" s="172">
        <f t="shared" si="12"/>
        <v>148.77184006525155</v>
      </c>
    </row>
    <row r="207" spans="1:20" x14ac:dyDescent="0.25">
      <c r="A207" s="164">
        <v>1</v>
      </c>
      <c r="B207" s="164">
        <v>2017</v>
      </c>
      <c r="C207" s="175">
        <f>E207</f>
        <v>227.02914608932699</v>
      </c>
      <c r="D207" s="167">
        <f>G207</f>
        <v>210.737716871462</v>
      </c>
      <c r="E207" s="164">
        <v>227.02914608932699</v>
      </c>
      <c r="G207" s="164">
        <v>210.737716871462</v>
      </c>
      <c r="I207" s="164">
        <v>146.4</v>
      </c>
      <c r="J207" s="164">
        <v>1</v>
      </c>
      <c r="K207" s="164">
        <v>2017</v>
      </c>
      <c r="L207" s="184">
        <v>20188.970584052</v>
      </c>
      <c r="M207" s="184">
        <v>1029.1484993670001</v>
      </c>
      <c r="N207" s="172">
        <f t="shared" si="15"/>
        <v>1037.5841428044344</v>
      </c>
      <c r="O207" s="184">
        <v>7124.2571060979999</v>
      </c>
      <c r="P207" s="184">
        <v>1296.4468783369998</v>
      </c>
      <c r="Q207" s="172">
        <f t="shared" si="11"/>
        <v>1307.0734920938605</v>
      </c>
      <c r="R207" s="184">
        <v>6121.3819215860003</v>
      </c>
      <c r="S207" s="184">
        <v>141.149656131</v>
      </c>
      <c r="T207" s="172">
        <f t="shared" si="12"/>
        <v>142.30662052551639</v>
      </c>
    </row>
    <row r="208" spans="1:20" x14ac:dyDescent="0.25">
      <c r="A208" s="164">
        <v>2</v>
      </c>
      <c r="C208" s="175">
        <f>+E208-E207</f>
        <v>200.76722202181199</v>
      </c>
      <c r="D208" s="167">
        <f>+G208-G207</f>
        <v>183.70797761744905</v>
      </c>
      <c r="E208" s="164">
        <v>427.79636811113897</v>
      </c>
      <c r="G208" s="164">
        <v>394.44569448891104</v>
      </c>
      <c r="I208" s="164">
        <v>147.4</v>
      </c>
      <c r="J208" s="164">
        <v>2</v>
      </c>
      <c r="L208" s="184">
        <v>16357.538075795001</v>
      </c>
      <c r="M208" s="184">
        <v>768.50776898899994</v>
      </c>
      <c r="N208" s="172">
        <f t="shared" si="15"/>
        <v>769.55052037161727</v>
      </c>
      <c r="O208" s="184">
        <v>5007.3623026510004</v>
      </c>
      <c r="P208" s="184">
        <v>1681.8190342150001</v>
      </c>
      <c r="Q208" s="172">
        <f t="shared" si="11"/>
        <v>1684.1010139086432</v>
      </c>
      <c r="R208" s="184">
        <v>7194.9193664359991</v>
      </c>
      <c r="S208" s="184">
        <v>119.946167266</v>
      </c>
      <c r="T208" s="172">
        <f t="shared" si="12"/>
        <v>120.10891647531614</v>
      </c>
    </row>
    <row r="209" spans="1:20" x14ac:dyDescent="0.25">
      <c r="A209" s="164">
        <v>3</v>
      </c>
      <c r="C209" s="175">
        <f>+E209-E208</f>
        <v>195.05863188886104</v>
      </c>
      <c r="D209" s="167">
        <f>+G209-G208</f>
        <v>176.76630551108894</v>
      </c>
      <c r="E209" s="164">
        <v>622.85500000000002</v>
      </c>
      <c r="G209" s="164">
        <v>571.21199999999999</v>
      </c>
      <c r="I209" s="164">
        <v>147.30000000000001</v>
      </c>
      <c r="J209" s="164">
        <v>3</v>
      </c>
      <c r="L209" s="184">
        <v>19399</v>
      </c>
      <c r="M209" s="184">
        <v>907</v>
      </c>
      <c r="N209" s="172">
        <f t="shared" si="15"/>
        <v>908.84725050916484</v>
      </c>
      <c r="O209" s="184">
        <v>8892</v>
      </c>
      <c r="P209" s="184">
        <v>954</v>
      </c>
      <c r="Q209" s="172">
        <f t="shared" si="11"/>
        <v>955.94297352342141</v>
      </c>
      <c r="R209" s="184">
        <v>8727</v>
      </c>
      <c r="S209" s="184">
        <v>128</v>
      </c>
      <c r="T209" s="172">
        <f t="shared" si="12"/>
        <v>128.26069246435844</v>
      </c>
    </row>
    <row r="210" spans="1:20" x14ac:dyDescent="0.25">
      <c r="A210" s="164">
        <v>4</v>
      </c>
      <c r="C210" s="175">
        <f>+E210-E209</f>
        <v>225.423</v>
      </c>
      <c r="D210" s="167">
        <f>+G210-G209</f>
        <v>208.21799999999996</v>
      </c>
      <c r="E210" s="164">
        <v>848.27800000000002</v>
      </c>
      <c r="G210" s="164">
        <v>779.43</v>
      </c>
      <c r="I210" s="164">
        <v>148.4</v>
      </c>
      <c r="J210" s="164">
        <v>4</v>
      </c>
      <c r="L210" s="184">
        <v>23333</v>
      </c>
      <c r="M210" s="184">
        <v>1141</v>
      </c>
      <c r="N210" s="172">
        <f t="shared" si="15"/>
        <v>1134.8490566037735</v>
      </c>
      <c r="O210" s="184">
        <v>6366</v>
      </c>
      <c r="P210" s="184">
        <v>1205</v>
      </c>
      <c r="Q210" s="172">
        <f t="shared" si="11"/>
        <v>1198.5040431266843</v>
      </c>
      <c r="R210" s="184">
        <v>7520</v>
      </c>
      <c r="S210" s="184">
        <v>124</v>
      </c>
      <c r="T210" s="172">
        <f t="shared" si="12"/>
        <v>123.33153638814017</v>
      </c>
    </row>
    <row r="211" spans="1:20" x14ac:dyDescent="0.25">
      <c r="A211" s="164">
        <v>1</v>
      </c>
      <c r="B211" s="164">
        <v>2018</v>
      </c>
      <c r="C211" s="175">
        <f>E211</f>
        <v>241.52799999999999</v>
      </c>
      <c r="D211" s="167">
        <f>G211</f>
        <v>222.678</v>
      </c>
      <c r="E211" s="164">
        <v>241.52799999999999</v>
      </c>
      <c r="G211" s="164">
        <v>222.678</v>
      </c>
      <c r="I211" s="164">
        <v>149.69999999999999</v>
      </c>
      <c r="J211" s="164">
        <v>1</v>
      </c>
      <c r="K211" s="164">
        <v>2018</v>
      </c>
      <c r="L211" s="184">
        <v>25111</v>
      </c>
      <c r="M211" s="184">
        <v>1175</v>
      </c>
      <c r="N211" s="172">
        <f t="shared" si="15"/>
        <v>1158.5170340681364</v>
      </c>
      <c r="O211" s="184">
        <v>6317</v>
      </c>
      <c r="P211" s="184">
        <v>1262</v>
      </c>
      <c r="Q211" s="172">
        <f t="shared" si="11"/>
        <v>1244.2965931863728</v>
      </c>
      <c r="R211" s="184">
        <v>5433</v>
      </c>
      <c r="S211" s="184">
        <v>116</v>
      </c>
      <c r="T211" s="172">
        <f t="shared" si="12"/>
        <v>114.37274549098197</v>
      </c>
    </row>
    <row r="212" spans="1:20" x14ac:dyDescent="0.25">
      <c r="A212" s="164">
        <v>2</v>
      </c>
      <c r="C212" s="175">
        <f>+E212-E211</f>
        <v>226.77080239162902</v>
      </c>
      <c r="D212" s="167">
        <f>+G212-G211</f>
        <v>208.83864191330298</v>
      </c>
      <c r="E212" s="164">
        <v>468.29880239162901</v>
      </c>
      <c r="G212" s="164">
        <v>431.51664191330298</v>
      </c>
      <c r="I212" s="164">
        <v>150.80000000000001</v>
      </c>
      <c r="J212" s="164">
        <v>2</v>
      </c>
      <c r="L212" s="184">
        <v>20973.437462450995</v>
      </c>
      <c r="M212" s="184">
        <v>1076.7915513600001</v>
      </c>
      <c r="N212" s="172">
        <f t="shared" si="15"/>
        <v>1053.9418632674801</v>
      </c>
      <c r="O212" s="184">
        <v>5869.5992710140017</v>
      </c>
      <c r="P212" s="184">
        <v>1471.9660798479999</v>
      </c>
      <c r="Q212" s="172">
        <f t="shared" si="11"/>
        <v>1440.7307253684667</v>
      </c>
      <c r="R212" s="184">
        <v>9319.6839472049996</v>
      </c>
      <c r="S212" s="184">
        <v>135.61776245999999</v>
      </c>
      <c r="T212" s="172">
        <f t="shared" si="12"/>
        <v>132.73993195687001</v>
      </c>
    </row>
    <row r="213" spans="1:20" x14ac:dyDescent="0.25">
      <c r="A213" s="164">
        <v>3</v>
      </c>
      <c r="C213" s="175">
        <f>+E213-E212</f>
        <v>230.04425590433516</v>
      </c>
      <c r="D213" s="167">
        <f>+G213-G212</f>
        <v>207.39460472346838</v>
      </c>
      <c r="E213" s="183">
        <v>698.34305829596417</v>
      </c>
      <c r="F213" s="183">
        <v>0</v>
      </c>
      <c r="G213" s="183">
        <v>638.91124663677135</v>
      </c>
      <c r="I213" s="164">
        <v>152.31</v>
      </c>
      <c r="J213" s="164">
        <v>3</v>
      </c>
      <c r="L213" s="184">
        <v>22635.655438734771</v>
      </c>
      <c r="M213" s="184">
        <v>1212.1884087902995</v>
      </c>
      <c r="N213" s="172">
        <f t="shared" si="15"/>
        <v>1174.7029685342275</v>
      </c>
      <c r="O213" s="184">
        <v>10333.380031159912</v>
      </c>
      <c r="P213" s="184">
        <v>1822.4517080118057</v>
      </c>
      <c r="Q213" s="172">
        <f t="shared" si="11"/>
        <v>1766.0946234819939</v>
      </c>
      <c r="R213" s="184">
        <v>9726.2967189440697</v>
      </c>
      <c r="S213" s="184">
        <v>150.27129325880639</v>
      </c>
      <c r="T213" s="172">
        <f t="shared" si="12"/>
        <v>145.6243377650832</v>
      </c>
    </row>
    <row r="214" spans="1:20" x14ac:dyDescent="0.25">
      <c r="E214" s="168" t="s">
        <v>110</v>
      </c>
      <c r="J214" s="186"/>
      <c r="K214" s="187" t="s">
        <v>160</v>
      </c>
      <c r="L214" s="188">
        <f>+L216-L211-L212</f>
        <v>22635.655438734771</v>
      </c>
      <c r="M214" s="188">
        <f>+M216-M211-M212</f>
        <v>1212.1884087902995</v>
      </c>
      <c r="N214" s="189" t="s">
        <v>174</v>
      </c>
      <c r="O214" s="188">
        <f>+O216-O211-O212</f>
        <v>10333.380031159912</v>
      </c>
      <c r="P214" s="188">
        <f>+P216-P211-P212</f>
        <v>1822.4517080118057</v>
      </c>
      <c r="Q214" s="189" t="s">
        <v>174</v>
      </c>
      <c r="R214" s="188">
        <f>+R216-R211-R212</f>
        <v>9726.2967189440697</v>
      </c>
      <c r="S214" s="188">
        <f>+S216-S211-S212</f>
        <v>150.27129325880639</v>
      </c>
      <c r="T214" s="190" t="s">
        <v>174</v>
      </c>
    </row>
    <row r="215" spans="1:20" x14ac:dyDescent="0.25">
      <c r="E215" s="183">
        <f>IF('Tab5'!E8="",'Tab5'!E7,'Tab5'!E8)/1000</f>
        <v>698.34305829596417</v>
      </c>
      <c r="G215" s="183">
        <f>IF('Tab5'!E10="",'Tab5'!E9,'Tab5'!E10)/1000</f>
        <v>638.91124663677135</v>
      </c>
      <c r="K215" s="170" t="s">
        <v>188</v>
      </c>
      <c r="L215" s="173">
        <f>SUM('Tab7'!E11,'Tab11'!E11)</f>
        <v>94235.228943652459</v>
      </c>
      <c r="M215" s="172">
        <f>SUM('Tab7'!E39,'Tab11'!E39)</f>
        <v>4779.6226377501534</v>
      </c>
      <c r="N215" s="191" t="s">
        <v>173</v>
      </c>
      <c r="O215" s="173">
        <f>SUM('Tab7'!E9,'Tab11'!E9)</f>
        <v>29326.247914220141</v>
      </c>
      <c r="P215" s="172">
        <f>SUM('Tab7'!E37,'Tab11'!E37)</f>
        <v>5980.1722943178074</v>
      </c>
      <c r="Q215" s="191" t="s">
        <v>173</v>
      </c>
      <c r="R215" s="173">
        <f>SUM('Tab7'!E13,'Tab11'!E13)</f>
        <v>32467.754346713304</v>
      </c>
      <c r="S215" s="172">
        <f>SUM('Tab7'!E41,'Tab11'!E41)</f>
        <v>534.28862726605939</v>
      </c>
      <c r="T215" s="191" t="s">
        <v>173</v>
      </c>
    </row>
    <row r="216" spans="1:20" x14ac:dyDescent="0.25">
      <c r="K216" s="170" t="s">
        <v>187</v>
      </c>
      <c r="L216" s="173">
        <f>SUM('Tab7'!E12,'Tab11'!E12)</f>
        <v>68720.092901185766</v>
      </c>
      <c r="M216" s="172">
        <f>SUM('Tab7'!E40,'Tab11'!E40)</f>
        <v>3463.9799601502996</v>
      </c>
      <c r="N216" s="191" t="s">
        <v>173</v>
      </c>
      <c r="O216" s="173">
        <f>SUM('Tab7'!E10,'Tab11'!E10)</f>
        <v>22519.979302173913</v>
      </c>
      <c r="P216" s="172">
        <f>SUM('Tab7'!E38,'Tab11'!E38)</f>
        <v>4556.4177878598057</v>
      </c>
      <c r="Q216" s="191" t="s">
        <v>173</v>
      </c>
      <c r="R216" s="173">
        <f>SUM('Tab7'!E14,'Tab11'!E14)</f>
        <v>24478.980666149069</v>
      </c>
      <c r="S216" s="172">
        <f>SUM('Tab7'!E42,'Tab11'!E42)</f>
        <v>401.88905571880639</v>
      </c>
      <c r="T216" s="191" t="s">
        <v>173</v>
      </c>
    </row>
  </sheetData>
  <autoFilter ref="A2" xr:uid="{00000000-0009-0000-0000-000003000000}"/>
  <mergeCells count="6">
    <mergeCell ref="AJ61:AJ62"/>
    <mergeCell ref="AC61:AC62"/>
    <mergeCell ref="A4:A5"/>
    <mergeCell ref="H61:H62"/>
    <mergeCell ref="O61:O62"/>
    <mergeCell ref="V61:V62"/>
  </mergeCells>
  <phoneticPr fontId="0" type="noConversion"/>
  <hyperlinks>
    <hyperlink ref="A2" location="Innhold!A11" display="Tilbake til innholdsfortegnelsen" xr:uid="{00000000-0004-0000-0300-000000000000}"/>
  </hyperlinks>
  <pageMargins left="0.78740157480314965" right="0.78740157480314965" top="0.98425196850393704" bottom="0.19685039370078741" header="3.937007874015748E-2" footer="3.937007874015748E-2"/>
  <pageSetup paperSize="9" scale="95" orientation="portrait" horizontalDpi="300" verticalDpi="300" r:id="rId1"/>
  <headerFooter alignWithMargins="0"/>
  <rowBreaks count="1" manualBreakCount="1">
    <brk id="62" max="16383" man="1"/>
  </rowBreaks>
  <ignoredErrors>
    <ignoredError sqref="J69"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8"/>
  <sheetViews>
    <sheetView showGridLines="0" showRowColHeaders="0" zoomScale="80" zoomScaleNormal="80" workbookViewId="0"/>
  </sheetViews>
  <sheetFormatPr defaultColWidth="11.5" defaultRowHeight="13.6" x14ac:dyDescent="0.25"/>
  <cols>
    <col min="1" max="1" width="26.375" style="1" customWidth="1"/>
    <col min="2" max="2" width="8.125" style="1" customWidth="1"/>
    <col min="3" max="4" width="10.5" style="1" customWidth="1"/>
    <col min="5" max="5" width="9.875" style="1" customWidth="1"/>
    <col min="6" max="6" width="1.625" style="1" customWidth="1"/>
    <col min="7" max="7" width="7.625" style="1" customWidth="1"/>
    <col min="8" max="8" width="8.875" style="1" customWidth="1"/>
    <col min="9" max="16384" width="11.5" style="1"/>
  </cols>
  <sheetData>
    <row r="1" spans="1:8" ht="5.3" customHeight="1" x14ac:dyDescent="0.25"/>
    <row r="2" spans="1:8" x14ac:dyDescent="0.25">
      <c r="A2" s="92" t="s">
        <v>0</v>
      </c>
      <c r="B2" s="2"/>
      <c r="C2" s="2"/>
      <c r="D2" s="2"/>
      <c r="E2" s="2"/>
      <c r="F2" s="2"/>
      <c r="G2" s="2"/>
    </row>
    <row r="3" spans="1:8" ht="5.95" customHeight="1" x14ac:dyDescent="0.25">
      <c r="A3" s="3"/>
      <c r="B3" s="2"/>
      <c r="C3" s="2"/>
      <c r="D3" s="2"/>
      <c r="E3" s="2"/>
      <c r="F3" s="2"/>
      <c r="G3" s="2"/>
    </row>
    <row r="4" spans="1:8" ht="16.3" thickBot="1" x14ac:dyDescent="0.3">
      <c r="A4" s="4" t="s">
        <v>144</v>
      </c>
      <c r="B4" s="5"/>
      <c r="C4" s="5"/>
      <c r="D4" s="5"/>
      <c r="E4" s="5"/>
      <c r="F4" s="5"/>
      <c r="G4" s="5"/>
      <c r="H4" s="6"/>
    </row>
    <row r="5" spans="1:8" x14ac:dyDescent="0.25">
      <c r="A5" s="7"/>
      <c r="B5" s="8"/>
      <c r="C5" s="9"/>
      <c r="D5" s="8"/>
      <c r="E5" s="10"/>
      <c r="F5" s="11"/>
      <c r="G5" s="196" t="s">
        <v>1</v>
      </c>
      <c r="H5" s="197"/>
    </row>
    <row r="6" spans="1:8" x14ac:dyDescent="0.25">
      <c r="A6" s="12"/>
      <c r="B6" s="13"/>
      <c r="C6" s="14" t="s">
        <v>231</v>
      </c>
      <c r="D6" s="15" t="s">
        <v>232</v>
      </c>
      <c r="E6" s="15" t="s">
        <v>233</v>
      </c>
      <c r="F6" s="16"/>
      <c r="G6" s="17" t="s">
        <v>234</v>
      </c>
      <c r="H6" s="18" t="s">
        <v>235</v>
      </c>
    </row>
    <row r="7" spans="1:8" x14ac:dyDescent="0.25">
      <c r="A7" s="198" t="s">
        <v>2</v>
      </c>
      <c r="B7" s="19" t="s">
        <v>3</v>
      </c>
      <c r="C7" s="20">
        <v>1873571.660366575</v>
      </c>
      <c r="D7" s="20">
        <v>1914669.0099414669</v>
      </c>
      <c r="E7" s="79">
        <v>2136540.3856065595</v>
      </c>
      <c r="F7" s="22" t="s">
        <v>236</v>
      </c>
      <c r="G7" s="23">
        <v>14.035690803976664</v>
      </c>
      <c r="H7" s="24">
        <v>11.587975494097293</v>
      </c>
    </row>
    <row r="8" spans="1:8" x14ac:dyDescent="0.25">
      <c r="A8" s="199"/>
      <c r="B8" s="25" t="s">
        <v>237</v>
      </c>
      <c r="C8" s="26">
        <v>1434479.8765320459</v>
      </c>
      <c r="D8" s="26">
        <v>1426078.7190862519</v>
      </c>
      <c r="E8" s="26">
        <v>1605889.9493052743</v>
      </c>
      <c r="F8" s="27"/>
      <c r="G8" s="28">
        <v>11.949283888709843</v>
      </c>
      <c r="H8" s="29">
        <v>12.608787145651746</v>
      </c>
    </row>
    <row r="9" spans="1:8" x14ac:dyDescent="0.25">
      <c r="A9" s="30" t="s">
        <v>4</v>
      </c>
      <c r="B9" s="31" t="s">
        <v>3</v>
      </c>
      <c r="C9" s="20">
        <v>673665.88803001971</v>
      </c>
      <c r="D9" s="20">
        <v>659386.10059192823</v>
      </c>
      <c r="E9" s="20">
        <v>687910.01127821882</v>
      </c>
      <c r="F9" s="22" t="s">
        <v>236</v>
      </c>
      <c r="G9" s="32">
        <v>2.1144195514860797</v>
      </c>
      <c r="H9" s="33">
        <v>4.325828321325659</v>
      </c>
    </row>
    <row r="10" spans="1:8" x14ac:dyDescent="0.25">
      <c r="A10" s="34"/>
      <c r="B10" s="25" t="s">
        <v>237</v>
      </c>
      <c r="C10" s="26">
        <v>511248.76428485452</v>
      </c>
      <c r="D10" s="26">
        <v>506387.39080495067</v>
      </c>
      <c r="E10" s="26">
        <v>526198.31838565017</v>
      </c>
      <c r="F10" s="27"/>
      <c r="G10" s="28">
        <v>2.924125229272164</v>
      </c>
      <c r="H10" s="29">
        <v>3.9122079144206339</v>
      </c>
    </row>
    <row r="11" spans="1:8" x14ac:dyDescent="0.25">
      <c r="A11" s="30" t="s">
        <v>5</v>
      </c>
      <c r="B11" s="31" t="s">
        <v>3</v>
      </c>
      <c r="C11" s="20">
        <v>142891.25417482329</v>
      </c>
      <c r="D11" s="20">
        <v>188881.58277912228</v>
      </c>
      <c r="E11" s="20">
        <v>260206.13519281676</v>
      </c>
      <c r="F11" s="22" t="s">
        <v>236</v>
      </c>
      <c r="G11" s="37">
        <v>82.100812744258036</v>
      </c>
      <c r="H11" s="33">
        <v>37.761517753216424</v>
      </c>
    </row>
    <row r="12" spans="1:8" x14ac:dyDescent="0.25">
      <c r="A12" s="34"/>
      <c r="B12" s="25" t="s">
        <v>237</v>
      </c>
      <c r="C12" s="26">
        <v>110645.40115349367</v>
      </c>
      <c r="D12" s="26">
        <v>116477.48968294164</v>
      </c>
      <c r="E12" s="26">
        <v>172144.73991031398</v>
      </c>
      <c r="F12" s="27"/>
      <c r="G12" s="28">
        <v>55.58237225920027</v>
      </c>
      <c r="H12" s="29">
        <v>47.792281906917594</v>
      </c>
    </row>
    <row r="13" spans="1:8" x14ac:dyDescent="0.25">
      <c r="A13" s="30" t="s">
        <v>6</v>
      </c>
      <c r="B13" s="31" t="s">
        <v>3</v>
      </c>
      <c r="C13" s="20">
        <v>334517.38835614501</v>
      </c>
      <c r="D13" s="20">
        <v>312410.11965267966</v>
      </c>
      <c r="E13" s="20">
        <v>399732.28567914164</v>
      </c>
      <c r="F13" s="22" t="s">
        <v>236</v>
      </c>
      <c r="G13" s="23">
        <v>19.495218961103859</v>
      </c>
      <c r="H13" s="24">
        <v>27.95113235241611</v>
      </c>
    </row>
    <row r="14" spans="1:8" x14ac:dyDescent="0.25">
      <c r="A14" s="34"/>
      <c r="B14" s="25" t="s">
        <v>237</v>
      </c>
      <c r="C14" s="26">
        <v>254171.0919828389</v>
      </c>
      <c r="D14" s="26">
        <v>234783.33973950977</v>
      </c>
      <c r="E14" s="26">
        <v>301504.66216711141</v>
      </c>
      <c r="F14" s="27"/>
      <c r="G14" s="38">
        <v>18.622719765262843</v>
      </c>
      <c r="H14" s="24">
        <v>28.418252547914335</v>
      </c>
    </row>
    <row r="15" spans="1:8" x14ac:dyDescent="0.25">
      <c r="A15" s="30" t="s">
        <v>168</v>
      </c>
      <c r="B15" s="31" t="s">
        <v>3</v>
      </c>
      <c r="C15" s="20">
        <v>40113.59909590699</v>
      </c>
      <c r="D15" s="20">
        <v>39410.456254180601</v>
      </c>
      <c r="E15" s="20">
        <v>47875.624169462688</v>
      </c>
      <c r="F15" s="22" t="s">
        <v>236</v>
      </c>
      <c r="G15" s="37">
        <v>19.350108812219986</v>
      </c>
      <c r="H15" s="33">
        <v>21.479497371675606</v>
      </c>
    </row>
    <row r="16" spans="1:8" x14ac:dyDescent="0.25">
      <c r="A16" s="34"/>
      <c r="B16" s="25" t="s">
        <v>237</v>
      </c>
      <c r="C16" s="26">
        <v>30478.767038700429</v>
      </c>
      <c r="D16" s="26">
        <v>28412.88258155853</v>
      </c>
      <c r="E16" s="26">
        <v>35114.516483516483</v>
      </c>
      <c r="F16" s="27"/>
      <c r="G16" s="28">
        <v>15.209766979516615</v>
      </c>
      <c r="H16" s="29">
        <v>23.586603304754689</v>
      </c>
    </row>
    <row r="17" spans="1:8" x14ac:dyDescent="0.25">
      <c r="A17" s="30" t="s">
        <v>7</v>
      </c>
      <c r="B17" s="31" t="s">
        <v>3</v>
      </c>
      <c r="C17" s="20">
        <v>9463</v>
      </c>
      <c r="D17" s="20">
        <v>10163.02716734694</v>
      </c>
      <c r="E17" s="20">
        <v>10755.294193177378</v>
      </c>
      <c r="F17" s="22" t="s">
        <v>236</v>
      </c>
      <c r="G17" s="23">
        <v>13.656284404283838</v>
      </c>
      <c r="H17" s="24">
        <v>5.8276635108616972</v>
      </c>
    </row>
    <row r="18" spans="1:8" x14ac:dyDescent="0.25">
      <c r="A18" s="30"/>
      <c r="B18" s="25" t="s">
        <v>237</v>
      </c>
      <c r="C18" s="26">
        <v>7122</v>
      </c>
      <c r="D18" s="26">
        <v>7540.1393879673469</v>
      </c>
      <c r="E18" s="26">
        <v>8017.5373224489795</v>
      </c>
      <c r="F18" s="27"/>
      <c r="G18" s="38">
        <v>12.574239293021321</v>
      </c>
      <c r="H18" s="24">
        <v>6.3314205469924048</v>
      </c>
    </row>
    <row r="19" spans="1:8" x14ac:dyDescent="0.25">
      <c r="A19" s="39" t="s">
        <v>8</v>
      </c>
      <c r="B19" s="31" t="s">
        <v>3</v>
      </c>
      <c r="C19" s="20">
        <v>4979</v>
      </c>
      <c r="D19" s="20">
        <v>4569</v>
      </c>
      <c r="E19" s="20">
        <v>4347.3847204285521</v>
      </c>
      <c r="F19" s="22" t="s">
        <v>236</v>
      </c>
      <c r="G19" s="37">
        <v>-12.685585048633214</v>
      </c>
      <c r="H19" s="33">
        <v>-4.850411021480582</v>
      </c>
    </row>
    <row r="20" spans="1:8" x14ac:dyDescent="0.25">
      <c r="A20" s="34"/>
      <c r="B20" s="25" t="s">
        <v>237</v>
      </c>
      <c r="C20" s="26">
        <v>3634</v>
      </c>
      <c r="D20" s="26">
        <v>3697.4073881142858</v>
      </c>
      <c r="E20" s="26">
        <v>3395</v>
      </c>
      <c r="F20" s="27"/>
      <c r="G20" s="28">
        <v>-6.5767749036873937</v>
      </c>
      <c r="H20" s="29">
        <v>-8.1789036579092453</v>
      </c>
    </row>
    <row r="21" spans="1:8" x14ac:dyDescent="0.25">
      <c r="A21" s="39" t="s">
        <v>9</v>
      </c>
      <c r="B21" s="31" t="s">
        <v>3</v>
      </c>
      <c r="C21" s="20">
        <v>25480.007092866668</v>
      </c>
      <c r="D21" s="20">
        <v>23196.560000000001</v>
      </c>
      <c r="E21" s="20">
        <v>22745.376012462792</v>
      </c>
      <c r="F21" s="22" t="s">
        <v>236</v>
      </c>
      <c r="G21" s="37">
        <v>-10.732458081495039</v>
      </c>
      <c r="H21" s="33">
        <v>-1.9450469704870414</v>
      </c>
    </row>
    <row r="22" spans="1:8" x14ac:dyDescent="0.25">
      <c r="A22" s="34"/>
      <c r="B22" s="25" t="s">
        <v>237</v>
      </c>
      <c r="C22" s="26">
        <v>19570.410680575002</v>
      </c>
      <c r="D22" s="26">
        <v>17298.663604999998</v>
      </c>
      <c r="E22" s="26">
        <v>17128.16</v>
      </c>
      <c r="F22" s="27"/>
      <c r="G22" s="28">
        <v>-12.479302148723463</v>
      </c>
      <c r="H22" s="29">
        <v>-0.98564611055108742</v>
      </c>
    </row>
    <row r="23" spans="1:8" x14ac:dyDescent="0.25">
      <c r="A23" s="39" t="s">
        <v>190</v>
      </c>
      <c r="B23" s="31" t="s">
        <v>3</v>
      </c>
      <c r="C23" s="20">
        <v>5258</v>
      </c>
      <c r="D23" s="20">
        <v>5464</v>
      </c>
      <c r="E23" s="20">
        <v>5591.9268234735091</v>
      </c>
      <c r="F23" s="22" t="s">
        <v>236</v>
      </c>
      <c r="G23" s="37">
        <v>6.3508334627902201</v>
      </c>
      <c r="H23" s="33">
        <v>2.3412669010525207</v>
      </c>
    </row>
    <row r="24" spans="1:8" x14ac:dyDescent="0.25">
      <c r="A24" s="34"/>
      <c r="B24" s="25" t="s">
        <v>237</v>
      </c>
      <c r="C24" s="26">
        <v>4014</v>
      </c>
      <c r="D24" s="26">
        <v>4209</v>
      </c>
      <c r="E24" s="26">
        <v>4269</v>
      </c>
      <c r="F24" s="27"/>
      <c r="G24" s="28">
        <v>6.3527653213751876</v>
      </c>
      <c r="H24" s="29">
        <v>1.42551674982181</v>
      </c>
    </row>
    <row r="25" spans="1:8" x14ac:dyDescent="0.25">
      <c r="A25" s="39" t="s">
        <v>191</v>
      </c>
      <c r="B25" s="31" t="s">
        <v>3</v>
      </c>
      <c r="C25" s="20">
        <v>918</v>
      </c>
      <c r="D25" s="20">
        <v>978</v>
      </c>
      <c r="E25" s="20">
        <v>1223.3113054745706</v>
      </c>
      <c r="F25" s="22" t="s">
        <v>236</v>
      </c>
      <c r="G25" s="37">
        <v>33.258312143199419</v>
      </c>
      <c r="H25" s="33">
        <v>25.082955569996997</v>
      </c>
    </row>
    <row r="26" spans="1:8" x14ac:dyDescent="0.25">
      <c r="A26" s="34"/>
      <c r="B26" s="25" t="s">
        <v>237</v>
      </c>
      <c r="C26" s="26">
        <v>674</v>
      </c>
      <c r="D26" s="26">
        <v>686</v>
      </c>
      <c r="E26" s="26">
        <v>877</v>
      </c>
      <c r="F26" s="27"/>
      <c r="G26" s="28">
        <v>30.118694362017806</v>
      </c>
      <c r="H26" s="29">
        <v>27.842565597667644</v>
      </c>
    </row>
    <row r="27" spans="1:8" x14ac:dyDescent="0.25">
      <c r="A27" s="39" t="s">
        <v>192</v>
      </c>
      <c r="B27" s="31" t="s">
        <v>3</v>
      </c>
      <c r="C27" s="20">
        <v>247116.93649583758</v>
      </c>
      <c r="D27" s="20">
        <v>269991.33667365054</v>
      </c>
      <c r="E27" s="20">
        <v>277676.84490625374</v>
      </c>
      <c r="F27" s="22" t="s">
        <v>236</v>
      </c>
      <c r="G27" s="37">
        <v>12.366577881613921</v>
      </c>
      <c r="H27" s="33">
        <v>2.846575866948271</v>
      </c>
    </row>
    <row r="28" spans="1:8" x14ac:dyDescent="0.25">
      <c r="A28" s="34"/>
      <c r="B28" s="25" t="s">
        <v>237</v>
      </c>
      <c r="C28" s="26">
        <v>175130.33367981407</v>
      </c>
      <c r="D28" s="26">
        <v>193238.6</v>
      </c>
      <c r="E28" s="26">
        <v>201813.89713771018</v>
      </c>
      <c r="F28" s="27"/>
      <c r="G28" s="28">
        <v>15.23640302466444</v>
      </c>
      <c r="H28" s="29">
        <v>4.437672979265102</v>
      </c>
    </row>
    <row r="29" spans="1:8" x14ac:dyDescent="0.25">
      <c r="A29" s="30" t="s">
        <v>10</v>
      </c>
      <c r="B29" s="31" t="s">
        <v>3</v>
      </c>
      <c r="C29" s="20">
        <v>311962</v>
      </c>
      <c r="D29" s="20">
        <v>320312</v>
      </c>
      <c r="E29" s="20">
        <v>327220.26317371469</v>
      </c>
      <c r="F29" s="22" t="s">
        <v>236</v>
      </c>
      <c r="G29" s="37">
        <v>4.8910646725289268</v>
      </c>
      <c r="H29" s="33">
        <v>2.1567294305910139</v>
      </c>
    </row>
    <row r="30" spans="1:8" x14ac:dyDescent="0.25">
      <c r="A30" s="30"/>
      <c r="B30" s="25" t="s">
        <v>237</v>
      </c>
      <c r="C30" s="26">
        <v>260701</v>
      </c>
      <c r="D30" s="26">
        <v>251107</v>
      </c>
      <c r="E30" s="26">
        <v>261928</v>
      </c>
      <c r="F30" s="27"/>
      <c r="G30" s="28">
        <v>0.47065412100452875</v>
      </c>
      <c r="H30" s="29">
        <v>4.3093183383975884</v>
      </c>
    </row>
    <row r="31" spans="1:8" x14ac:dyDescent="0.25">
      <c r="A31" s="39" t="s">
        <v>11</v>
      </c>
      <c r="B31" s="31" t="s">
        <v>3</v>
      </c>
      <c r="C31" s="20">
        <v>10018.849101246884</v>
      </c>
      <c r="D31" s="20">
        <v>9835.3017456359103</v>
      </c>
      <c r="E31" s="20">
        <v>12566.716648385896</v>
      </c>
      <c r="F31" s="22" t="s">
        <v>236</v>
      </c>
      <c r="G31" s="37">
        <v>25.430740810557978</v>
      </c>
      <c r="H31" s="33">
        <v>27.771541467570742</v>
      </c>
    </row>
    <row r="32" spans="1:8" x14ac:dyDescent="0.25">
      <c r="A32" s="34"/>
      <c r="B32" s="25" t="s">
        <v>237</v>
      </c>
      <c r="C32" s="26">
        <v>8019.1474623129679</v>
      </c>
      <c r="D32" s="26">
        <v>7767.2263092269322</v>
      </c>
      <c r="E32" s="26">
        <v>9968.6290523690768</v>
      </c>
      <c r="F32" s="27"/>
      <c r="G32" s="28">
        <v>24.310334723459732</v>
      </c>
      <c r="H32" s="29">
        <v>28.342199074681645</v>
      </c>
    </row>
    <row r="33" spans="1:8" x14ac:dyDescent="0.25">
      <c r="A33" s="30" t="s">
        <v>12</v>
      </c>
      <c r="B33" s="31" t="s">
        <v>3</v>
      </c>
      <c r="C33" s="20">
        <v>8825.3934933599994</v>
      </c>
      <c r="D33" s="20">
        <v>9480.0519999999997</v>
      </c>
      <c r="E33" s="20">
        <v>10638.521892124909</v>
      </c>
      <c r="F33" s="22" t="s">
        <v>236</v>
      </c>
      <c r="G33" s="37">
        <v>20.54444824617805</v>
      </c>
      <c r="H33" s="33">
        <v>12.220079511429986</v>
      </c>
    </row>
    <row r="34" spans="1:8" x14ac:dyDescent="0.25">
      <c r="A34" s="30"/>
      <c r="B34" s="25" t="s">
        <v>237</v>
      </c>
      <c r="C34" s="26">
        <v>7187.7080118100002</v>
      </c>
      <c r="D34" s="26">
        <v>6841.481096124834</v>
      </c>
      <c r="E34" s="26">
        <v>7980.5069999999996</v>
      </c>
      <c r="F34" s="27"/>
      <c r="G34" s="28">
        <v>11.029927577572224</v>
      </c>
      <c r="H34" s="29">
        <v>16.648820450886518</v>
      </c>
    </row>
    <row r="35" spans="1:8" x14ac:dyDescent="0.25">
      <c r="A35" s="39" t="s">
        <v>13</v>
      </c>
      <c r="B35" s="31" t="s">
        <v>3</v>
      </c>
      <c r="C35" s="20">
        <v>73</v>
      </c>
      <c r="D35" s="20">
        <v>104</v>
      </c>
      <c r="E35" s="20">
        <v>93.85560053981105</v>
      </c>
      <c r="F35" s="22" t="s">
        <v>236</v>
      </c>
      <c r="G35" s="23">
        <v>28.569315807960351</v>
      </c>
      <c r="H35" s="24">
        <v>-9.7542302501816778</v>
      </c>
    </row>
    <row r="36" spans="1:8" x14ac:dyDescent="0.25">
      <c r="A36" s="34"/>
      <c r="B36" s="25" t="s">
        <v>237</v>
      </c>
      <c r="C36" s="26">
        <v>52</v>
      </c>
      <c r="D36" s="26">
        <v>76</v>
      </c>
      <c r="E36" s="26">
        <v>68</v>
      </c>
      <c r="F36" s="27"/>
      <c r="G36" s="28">
        <v>30.769230769230774</v>
      </c>
      <c r="H36" s="29">
        <v>-10.526315789473685</v>
      </c>
    </row>
    <row r="37" spans="1:8" x14ac:dyDescent="0.25">
      <c r="A37" s="30" t="s">
        <v>14</v>
      </c>
      <c r="B37" s="31" t="s">
        <v>3</v>
      </c>
      <c r="C37" s="40">
        <v>58289.344526369227</v>
      </c>
      <c r="D37" s="40">
        <v>60487.473076923074</v>
      </c>
      <c r="E37" s="20">
        <v>72815.97244252979</v>
      </c>
      <c r="F37" s="22" t="s">
        <v>236</v>
      </c>
      <c r="G37" s="23">
        <v>24.921583926182137</v>
      </c>
      <c r="H37" s="24">
        <v>20.381905109390715</v>
      </c>
    </row>
    <row r="38" spans="1:8" ht="14.3" thickBot="1" x14ac:dyDescent="0.3">
      <c r="A38" s="41"/>
      <c r="B38" s="42" t="s">
        <v>237</v>
      </c>
      <c r="C38" s="43">
        <v>41831.252237646157</v>
      </c>
      <c r="D38" s="43">
        <v>47556.098490857512</v>
      </c>
      <c r="E38" s="43">
        <v>55481.981846153845</v>
      </c>
      <c r="F38" s="44"/>
      <c r="G38" s="45">
        <v>32.632849552188816</v>
      </c>
      <c r="H38" s="46">
        <v>16.666386871118235</v>
      </c>
    </row>
    <row r="39" spans="1:8" x14ac:dyDescent="0.25">
      <c r="A39" s="47"/>
      <c r="B39" s="48"/>
      <c r="C39" s="49"/>
      <c r="D39" s="49"/>
      <c r="E39" s="49"/>
      <c r="F39" s="49"/>
      <c r="G39" s="50"/>
      <c r="H39" s="51"/>
    </row>
    <row r="40" spans="1:8" x14ac:dyDescent="0.25">
      <c r="A40" s="47"/>
      <c r="B40" s="48"/>
      <c r="C40" s="49"/>
      <c r="D40" s="49"/>
      <c r="E40" s="49"/>
      <c r="F40" s="49"/>
      <c r="G40" s="50"/>
      <c r="H40" s="51"/>
    </row>
    <row r="41" spans="1:8" x14ac:dyDescent="0.25">
      <c r="A41" s="47"/>
      <c r="B41" s="48"/>
      <c r="C41" s="49"/>
      <c r="D41" s="49"/>
      <c r="E41" s="49"/>
      <c r="F41" s="49"/>
      <c r="G41" s="50"/>
      <c r="H41" s="51"/>
    </row>
    <row r="42" spans="1:8" x14ac:dyDescent="0.25">
      <c r="A42" s="47"/>
      <c r="B42" s="48"/>
      <c r="C42" s="49"/>
      <c r="D42" s="49"/>
      <c r="E42" s="49"/>
      <c r="F42" s="49"/>
      <c r="G42" s="50"/>
      <c r="H42" s="51"/>
    </row>
    <row r="43" spans="1:8" x14ac:dyDescent="0.25">
      <c r="A43" s="47"/>
      <c r="B43" s="48"/>
      <c r="C43" s="49"/>
      <c r="D43" s="49"/>
      <c r="E43" s="49"/>
      <c r="F43" s="49"/>
      <c r="G43" s="50"/>
      <c r="H43" s="51"/>
    </row>
    <row r="44" spans="1:8" x14ac:dyDescent="0.25">
      <c r="A44" s="47"/>
      <c r="B44" s="48"/>
      <c r="C44" s="49"/>
      <c r="D44" s="49"/>
      <c r="E44" s="49"/>
      <c r="F44" s="49"/>
      <c r="G44" s="50"/>
      <c r="H44" s="51"/>
    </row>
    <row r="45" spans="1:8" x14ac:dyDescent="0.25">
      <c r="A45" s="47"/>
      <c r="B45" s="48"/>
      <c r="C45" s="49"/>
      <c r="D45" s="49"/>
      <c r="E45" s="49"/>
      <c r="F45" s="49"/>
      <c r="G45" s="50"/>
      <c r="H45" s="51"/>
    </row>
    <row r="46" spans="1:8" x14ac:dyDescent="0.25">
      <c r="A46" s="47"/>
      <c r="B46" s="48"/>
      <c r="C46" s="49"/>
      <c r="D46" s="49"/>
      <c r="E46" s="49"/>
      <c r="F46" s="49"/>
      <c r="G46" s="50"/>
      <c r="H46" s="51"/>
    </row>
    <row r="47" spans="1:8" x14ac:dyDescent="0.25">
      <c r="A47" s="47"/>
      <c r="B47" s="48"/>
      <c r="C47" s="49"/>
      <c r="D47" s="49"/>
      <c r="E47" s="49"/>
      <c r="F47" s="49"/>
      <c r="G47" s="50"/>
      <c r="H47" s="51"/>
    </row>
    <row r="48" spans="1:8" x14ac:dyDescent="0.25">
      <c r="A48" s="47"/>
      <c r="B48" s="48"/>
      <c r="C48" s="49"/>
      <c r="D48" s="49"/>
      <c r="E48" s="49"/>
      <c r="F48" s="49"/>
      <c r="G48" s="50"/>
      <c r="H48" s="51"/>
    </row>
    <row r="49" spans="1:8" x14ac:dyDescent="0.25">
      <c r="A49" s="47"/>
      <c r="B49" s="48"/>
      <c r="C49" s="49"/>
      <c r="D49" s="49"/>
      <c r="E49" s="98"/>
      <c r="F49" s="49"/>
      <c r="G49" s="50"/>
      <c r="H49" s="51"/>
    </row>
    <row r="50" spans="1:8" x14ac:dyDescent="0.25">
      <c r="A50" s="47"/>
      <c r="B50" s="48"/>
      <c r="C50" s="49"/>
      <c r="D50" s="49"/>
      <c r="E50" s="49"/>
      <c r="F50" s="49"/>
      <c r="G50" s="50"/>
      <c r="H50" s="51"/>
    </row>
    <row r="51" spans="1:8" x14ac:dyDescent="0.25">
      <c r="A51" s="47"/>
      <c r="B51" s="48"/>
      <c r="C51" s="49"/>
      <c r="D51" s="49"/>
      <c r="E51" s="49"/>
      <c r="F51" s="49"/>
      <c r="G51" s="50"/>
      <c r="H51" s="51"/>
    </row>
    <row r="52" spans="1:8" x14ac:dyDescent="0.25">
      <c r="A52" s="47"/>
      <c r="B52" s="48"/>
      <c r="C52" s="49"/>
      <c r="D52" s="49"/>
      <c r="E52" s="49"/>
      <c r="F52" s="49"/>
      <c r="G52" s="50"/>
      <c r="H52" s="51"/>
    </row>
    <row r="53" spans="1:8" x14ac:dyDescent="0.25">
      <c r="A53" s="47"/>
      <c r="B53" s="48"/>
      <c r="C53" s="49"/>
      <c r="D53" s="49"/>
      <c r="E53" s="49"/>
      <c r="F53" s="49"/>
      <c r="G53" s="50"/>
      <c r="H53" s="51"/>
    </row>
    <row r="54" spans="1:8" x14ac:dyDescent="0.25">
      <c r="A54" s="47"/>
      <c r="B54" s="48"/>
      <c r="C54" s="49"/>
      <c r="D54" s="49"/>
      <c r="E54" s="49"/>
      <c r="F54" s="49"/>
      <c r="G54" s="50"/>
      <c r="H54" s="51"/>
    </row>
    <row r="55" spans="1:8" x14ac:dyDescent="0.25">
      <c r="A55" s="47"/>
      <c r="B55" s="48"/>
      <c r="C55" s="49"/>
      <c r="D55" s="49"/>
      <c r="E55" s="49"/>
      <c r="F55" s="49"/>
      <c r="G55" s="50"/>
      <c r="H55" s="51"/>
    </row>
    <row r="56" spans="1:8" x14ac:dyDescent="0.25">
      <c r="A56" s="47"/>
      <c r="B56" s="48"/>
      <c r="C56" s="49"/>
      <c r="D56" s="49"/>
      <c r="E56" s="49"/>
      <c r="F56" s="49"/>
      <c r="G56" s="50"/>
      <c r="H56" s="51"/>
    </row>
    <row r="57" spans="1:8" x14ac:dyDescent="0.25">
      <c r="A57" s="47"/>
      <c r="B57" s="48"/>
      <c r="C57" s="49"/>
      <c r="D57" s="49"/>
      <c r="E57" s="49"/>
      <c r="F57" s="49"/>
      <c r="G57" s="50"/>
      <c r="H57" s="51"/>
    </row>
    <row r="58" spans="1:8" x14ac:dyDescent="0.25">
      <c r="A58" s="47"/>
      <c r="B58" s="48"/>
      <c r="C58" s="49"/>
      <c r="D58" s="49"/>
      <c r="E58" s="49"/>
      <c r="F58" s="49"/>
      <c r="G58" s="50"/>
      <c r="H58" s="51"/>
    </row>
    <row r="59" spans="1:8" x14ac:dyDescent="0.25">
      <c r="A59" s="47"/>
      <c r="B59" s="48"/>
      <c r="C59" s="49"/>
      <c r="D59" s="49"/>
      <c r="E59" s="49"/>
      <c r="F59" s="49"/>
      <c r="G59" s="50"/>
      <c r="H59" s="51"/>
    </row>
    <row r="60" spans="1:8" x14ac:dyDescent="0.25">
      <c r="A60" s="52"/>
      <c r="B60" s="52"/>
      <c r="C60" s="52"/>
      <c r="D60" s="52"/>
      <c r="E60" s="52"/>
      <c r="F60" s="52"/>
      <c r="G60" s="52"/>
      <c r="H60" s="52"/>
    </row>
    <row r="61" spans="1:8" ht="12.75" customHeight="1" x14ac:dyDescent="0.25">
      <c r="A61" s="54" t="s">
        <v>238</v>
      </c>
      <c r="G61" s="53"/>
      <c r="H61" s="201">
        <v>9</v>
      </c>
    </row>
    <row r="62" spans="1:8" ht="12.75" customHeight="1" x14ac:dyDescent="0.25">
      <c r="A62" s="54" t="s">
        <v>239</v>
      </c>
      <c r="G62" s="53"/>
      <c r="H62" s="194"/>
    </row>
    <row r="63" spans="1:8" x14ac:dyDescent="0.25">
      <c r="H63" s="87"/>
    </row>
    <row r="64" spans="1:8" x14ac:dyDescent="0.25">
      <c r="A64" s="200"/>
      <c r="H64" s="53"/>
    </row>
    <row r="65" spans="1:8" x14ac:dyDescent="0.25">
      <c r="A65" s="200"/>
      <c r="H65" s="53"/>
    </row>
    <row r="67" spans="1:8" ht="12.75" customHeight="1" x14ac:dyDescent="0.25"/>
    <row r="68" spans="1:8" ht="12.75" customHeight="1" x14ac:dyDescent="0.25"/>
  </sheetData>
  <mergeCells count="4">
    <mergeCell ref="G5:H5"/>
    <mergeCell ref="A7:A8"/>
    <mergeCell ref="A64:A65"/>
    <mergeCell ref="H61:H62"/>
  </mergeCells>
  <phoneticPr fontId="0" type="noConversion"/>
  <hyperlinks>
    <hyperlink ref="A2" location="Innhold!A23" display="Tilbake til innholdsfortegnelsen" xr:uid="{00000000-0004-0000-0400-000000000000}"/>
  </hyperlinks>
  <pageMargins left="0.78740157480314965" right="0.78740157480314965" top="0.98425196850393704" bottom="0.19685039370078741" header="3.937007874015748E-2" footer="3.937007874015748E-2"/>
  <pageSetup paperSize="9" scale="95" orientation="portrait" horizontalDpi="300" verticalDpi="300" r:id="rId1"/>
  <headerFooter alignWithMargins="0"/>
  <rowBreaks count="1" manualBreakCount="1">
    <brk id="6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68"/>
  <sheetViews>
    <sheetView showGridLines="0" showRowColHeaders="0" zoomScale="80" zoomScaleNormal="80" workbookViewId="0"/>
  </sheetViews>
  <sheetFormatPr defaultColWidth="11.5" defaultRowHeight="13.6" x14ac:dyDescent="0.25"/>
  <cols>
    <col min="1" max="1" width="26.375" style="1" customWidth="1"/>
    <col min="2" max="2" width="8.125" style="1" customWidth="1"/>
    <col min="3" max="4" width="10.5" style="1" customWidth="1"/>
    <col min="5" max="5" width="9.875" style="1" customWidth="1"/>
    <col min="6" max="6" width="1.625" style="1" customWidth="1"/>
    <col min="7" max="7" width="7.625" style="1" customWidth="1"/>
    <col min="8" max="8" width="8.875" style="1" customWidth="1"/>
    <col min="9" max="16384" width="11.5" style="1"/>
  </cols>
  <sheetData>
    <row r="1" spans="1:10" ht="5.3" customHeight="1" x14ac:dyDescent="0.25"/>
    <row r="2" spans="1:10" x14ac:dyDescent="0.25">
      <c r="A2" s="92" t="s">
        <v>0</v>
      </c>
      <c r="B2" s="2"/>
      <c r="C2" s="2"/>
      <c r="D2" s="2"/>
      <c r="E2" s="2"/>
      <c r="F2" s="2"/>
      <c r="G2" s="2"/>
    </row>
    <row r="3" spans="1:10" ht="5.95" customHeight="1" x14ac:dyDescent="0.25">
      <c r="A3" s="3"/>
      <c r="B3" s="2"/>
      <c r="C3" s="2"/>
      <c r="D3" s="2"/>
      <c r="E3" s="2"/>
      <c r="F3" s="2"/>
      <c r="G3" s="2"/>
    </row>
    <row r="4" spans="1:10" ht="16.3" thickBot="1" x14ac:dyDescent="0.3">
      <c r="A4" s="4" t="s">
        <v>15</v>
      </c>
      <c r="B4" s="5"/>
      <c r="C4" s="5"/>
      <c r="D4" s="5"/>
      <c r="E4" s="5"/>
      <c r="F4" s="5"/>
      <c r="G4" s="5"/>
      <c r="H4" s="6"/>
    </row>
    <row r="5" spans="1:10" x14ac:dyDescent="0.25">
      <c r="A5" s="7"/>
      <c r="B5" s="8"/>
      <c r="C5" s="202" t="s">
        <v>16</v>
      </c>
      <c r="D5" s="196"/>
      <c r="E5" s="196"/>
      <c r="F5" s="203"/>
      <c r="G5" s="196" t="s">
        <v>1</v>
      </c>
      <c r="H5" s="197"/>
    </row>
    <row r="6" spans="1:10" x14ac:dyDescent="0.25">
      <c r="A6" s="12"/>
      <c r="B6" s="13"/>
      <c r="C6" s="14" t="s">
        <v>231</v>
      </c>
      <c r="D6" s="15" t="s">
        <v>232</v>
      </c>
      <c r="E6" s="15" t="s">
        <v>233</v>
      </c>
      <c r="F6" s="16"/>
      <c r="G6" s="17" t="s">
        <v>234</v>
      </c>
      <c r="H6" s="18" t="s">
        <v>235</v>
      </c>
    </row>
    <row r="7" spans="1:10" x14ac:dyDescent="0.25">
      <c r="A7" s="198" t="s">
        <v>2</v>
      </c>
      <c r="B7" s="19" t="s">
        <v>3</v>
      </c>
      <c r="C7" s="80">
        <v>36539.078417285069</v>
      </c>
      <c r="D7" s="80">
        <v>37568.018908917373</v>
      </c>
      <c r="E7" s="81">
        <v>42767.464381262369</v>
      </c>
      <c r="F7" s="22" t="s">
        <v>236</v>
      </c>
      <c r="G7" s="23">
        <v>17.045821169454882</v>
      </c>
      <c r="H7" s="24">
        <v>13.840084261432324</v>
      </c>
    </row>
    <row r="8" spans="1:10" x14ac:dyDescent="0.25">
      <c r="A8" s="199"/>
      <c r="B8" s="25" t="s">
        <v>237</v>
      </c>
      <c r="C8" s="82">
        <v>27957.317738714293</v>
      </c>
      <c r="D8" s="82">
        <v>27974.599717260979</v>
      </c>
      <c r="E8" s="82">
        <v>32133.230962033125</v>
      </c>
      <c r="F8" s="27"/>
      <c r="G8" s="28">
        <v>14.936744870686127</v>
      </c>
      <c r="H8" s="29">
        <v>14.865739945534145</v>
      </c>
      <c r="J8" s="95"/>
    </row>
    <row r="9" spans="1:10" x14ac:dyDescent="0.25">
      <c r="A9" s="30" t="s">
        <v>4</v>
      </c>
      <c r="B9" s="31" t="s">
        <v>3</v>
      </c>
      <c r="C9" s="80">
        <v>9443.6952770815715</v>
      </c>
      <c r="D9" s="80">
        <v>9856.860787358215</v>
      </c>
      <c r="E9" s="80">
        <v>10280.994780546256</v>
      </c>
      <c r="F9" s="22" t="s">
        <v>236</v>
      </c>
      <c r="G9" s="32">
        <v>8.8662274554398834</v>
      </c>
      <c r="H9" s="33">
        <v>4.3029317582734734</v>
      </c>
    </row>
    <row r="10" spans="1:10" x14ac:dyDescent="0.25">
      <c r="A10" s="34"/>
      <c r="B10" s="25" t="s">
        <v>237</v>
      </c>
      <c r="C10" s="82">
        <v>7092.2127222282943</v>
      </c>
      <c r="D10" s="82">
        <v>7550.131907694481</v>
      </c>
      <c r="E10" s="82">
        <v>7823.0028290349646</v>
      </c>
      <c r="F10" s="27"/>
      <c r="G10" s="35">
        <v>10.304119961267389</v>
      </c>
      <c r="H10" s="29">
        <v>3.6141212455161877</v>
      </c>
      <c r="J10" s="95"/>
    </row>
    <row r="11" spans="1:10" x14ac:dyDescent="0.25">
      <c r="A11" s="30" t="s">
        <v>5</v>
      </c>
      <c r="B11" s="31" t="s">
        <v>3</v>
      </c>
      <c r="C11" s="80">
        <v>3312.0591593368317</v>
      </c>
      <c r="D11" s="80">
        <v>4022.0593413364004</v>
      </c>
      <c r="E11" s="80">
        <v>4750.0207010956583</v>
      </c>
      <c r="F11" s="22" t="s">
        <v>236</v>
      </c>
      <c r="G11" s="37">
        <v>43.415937716726859</v>
      </c>
      <c r="H11" s="33">
        <v>18.099219777234325</v>
      </c>
    </row>
    <row r="12" spans="1:10" x14ac:dyDescent="0.25">
      <c r="A12" s="34"/>
      <c r="B12" s="25" t="s">
        <v>237</v>
      </c>
      <c r="C12" s="82">
        <v>2636.1571216704579</v>
      </c>
      <c r="D12" s="82">
        <v>2851.1922056999674</v>
      </c>
      <c r="E12" s="82">
        <v>3494.620042249554</v>
      </c>
      <c r="F12" s="27"/>
      <c r="G12" s="28">
        <v>32.564937557102553</v>
      </c>
      <c r="H12" s="29">
        <v>22.566975150369601</v>
      </c>
    </row>
    <row r="13" spans="1:10" x14ac:dyDescent="0.25">
      <c r="A13" s="30" t="s">
        <v>6</v>
      </c>
      <c r="B13" s="31" t="s">
        <v>3</v>
      </c>
      <c r="C13" s="80">
        <v>7461.0390863119937</v>
      </c>
      <c r="D13" s="80">
        <v>7171.790369567203</v>
      </c>
      <c r="E13" s="80">
        <v>9173.7349622066522</v>
      </c>
      <c r="F13" s="22" t="s">
        <v>236</v>
      </c>
      <c r="G13" s="23">
        <v>22.955192381135859</v>
      </c>
      <c r="H13" s="24">
        <v>27.914153781383618</v>
      </c>
    </row>
    <row r="14" spans="1:10" x14ac:dyDescent="0.25">
      <c r="A14" s="34"/>
      <c r="B14" s="25" t="s">
        <v>237</v>
      </c>
      <c r="C14" s="82">
        <v>5586.4400612353575</v>
      </c>
      <c r="D14" s="82">
        <v>5230.8983176788379</v>
      </c>
      <c r="E14" s="82">
        <v>6749.2810834624852</v>
      </c>
      <c r="F14" s="27"/>
      <c r="G14" s="38">
        <v>20.815421081775341</v>
      </c>
      <c r="H14" s="24">
        <v>29.027189472446395</v>
      </c>
    </row>
    <row r="15" spans="1:10" x14ac:dyDescent="0.25">
      <c r="A15" s="30" t="s">
        <v>168</v>
      </c>
      <c r="B15" s="31" t="s">
        <v>3</v>
      </c>
      <c r="C15" s="80">
        <v>5391.9695681264966</v>
      </c>
      <c r="D15" s="80">
        <v>5239.1371201696156</v>
      </c>
      <c r="E15" s="80">
        <v>7089.469551614201</v>
      </c>
      <c r="F15" s="22" t="s">
        <v>236</v>
      </c>
      <c r="G15" s="37">
        <v>31.482002300645803</v>
      </c>
      <c r="H15" s="33">
        <v>35.317503417140585</v>
      </c>
    </row>
    <row r="16" spans="1:10" x14ac:dyDescent="0.25">
      <c r="A16" s="34"/>
      <c r="B16" s="25" t="s">
        <v>237</v>
      </c>
      <c r="C16" s="82">
        <v>4034.6048600896183</v>
      </c>
      <c r="D16" s="82">
        <v>3900.5517770320093</v>
      </c>
      <c r="E16" s="82">
        <v>5286.9828060371356</v>
      </c>
      <c r="F16" s="27"/>
      <c r="G16" s="28">
        <v>31.040907086987914</v>
      </c>
      <c r="H16" s="29">
        <v>35.544484684679247</v>
      </c>
    </row>
    <row r="17" spans="1:8" x14ac:dyDescent="0.25">
      <c r="A17" s="30" t="s">
        <v>7</v>
      </c>
      <c r="B17" s="31" t="s">
        <v>3</v>
      </c>
      <c r="C17" s="80">
        <v>1966.9772293059962</v>
      </c>
      <c r="D17" s="80">
        <v>1881.4521582849889</v>
      </c>
      <c r="E17" s="80">
        <v>1807.4221269789252</v>
      </c>
      <c r="F17" s="22" t="s">
        <v>236</v>
      </c>
      <c r="G17" s="23">
        <v>-8.1116903617316609</v>
      </c>
      <c r="H17" s="24">
        <v>-3.9347283416201577</v>
      </c>
    </row>
    <row r="18" spans="1:8" x14ac:dyDescent="0.25">
      <c r="A18" s="30"/>
      <c r="B18" s="25" t="s">
        <v>237</v>
      </c>
      <c r="C18" s="82">
        <v>1493.2386639074216</v>
      </c>
      <c r="D18" s="82">
        <v>1415.3484573075712</v>
      </c>
      <c r="E18" s="82">
        <v>1363.7842889789267</v>
      </c>
      <c r="F18" s="27"/>
      <c r="G18" s="38">
        <v>-8.6693693417866768</v>
      </c>
      <c r="H18" s="24">
        <v>-3.6432136596761069</v>
      </c>
    </row>
    <row r="19" spans="1:8" x14ac:dyDescent="0.25">
      <c r="A19" s="39" t="s">
        <v>8</v>
      </c>
      <c r="B19" s="31" t="s">
        <v>3</v>
      </c>
      <c r="C19" s="80">
        <v>1986.7947992968452</v>
      </c>
      <c r="D19" s="80">
        <v>1779.0988161448022</v>
      </c>
      <c r="E19" s="80">
        <v>1671.6384927250817</v>
      </c>
      <c r="F19" s="22" t="s">
        <v>236</v>
      </c>
      <c r="G19" s="37">
        <v>-15.862549402852366</v>
      </c>
      <c r="H19" s="33">
        <v>-6.0401548494411657</v>
      </c>
    </row>
    <row r="20" spans="1:8" x14ac:dyDescent="0.25">
      <c r="A20" s="34"/>
      <c r="B20" s="25" t="s">
        <v>237</v>
      </c>
      <c r="C20" s="82">
        <v>1556.1120566629634</v>
      </c>
      <c r="D20" s="82">
        <v>1387.3754178750219</v>
      </c>
      <c r="E20" s="82">
        <v>1305.4693500324836</v>
      </c>
      <c r="F20" s="27"/>
      <c r="G20" s="28">
        <v>-16.106983141559596</v>
      </c>
      <c r="H20" s="29">
        <v>-5.903670108844068</v>
      </c>
    </row>
    <row r="21" spans="1:8" x14ac:dyDescent="0.25">
      <c r="A21" s="39" t="s">
        <v>9</v>
      </c>
      <c r="B21" s="31" t="s">
        <v>3</v>
      </c>
      <c r="C21" s="80">
        <v>507.42304330194474</v>
      </c>
      <c r="D21" s="80">
        <v>531.9762485737474</v>
      </c>
      <c r="E21" s="80">
        <v>544.92382743569362</v>
      </c>
      <c r="F21" s="22" t="s">
        <v>236</v>
      </c>
      <c r="G21" s="37">
        <v>7.3904377479037322</v>
      </c>
      <c r="H21" s="33">
        <v>2.4338640863495868</v>
      </c>
    </row>
    <row r="22" spans="1:8" x14ac:dyDescent="0.25">
      <c r="A22" s="34"/>
      <c r="B22" s="25" t="s">
        <v>237</v>
      </c>
      <c r="C22" s="82">
        <v>397.93455426671096</v>
      </c>
      <c r="D22" s="82">
        <v>401.15314912061172</v>
      </c>
      <c r="E22" s="82">
        <v>416.25019085927642</v>
      </c>
      <c r="F22" s="27"/>
      <c r="G22" s="28">
        <v>4.6026755897879781</v>
      </c>
      <c r="H22" s="29">
        <v>3.7634109994548766</v>
      </c>
    </row>
    <row r="23" spans="1:8" x14ac:dyDescent="0.25">
      <c r="A23" s="39" t="s">
        <v>190</v>
      </c>
      <c r="B23" s="31" t="s">
        <v>3</v>
      </c>
      <c r="C23" s="80">
        <v>831.72795936495027</v>
      </c>
      <c r="D23" s="80">
        <v>991.88485422989686</v>
      </c>
      <c r="E23" s="80">
        <v>1035.4413266357183</v>
      </c>
      <c r="F23" s="22" t="s">
        <v>236</v>
      </c>
      <c r="G23" s="23">
        <v>24.492788173949265</v>
      </c>
      <c r="H23" s="24">
        <v>4.3912831434087138</v>
      </c>
    </row>
    <row r="24" spans="1:8" x14ac:dyDescent="0.25">
      <c r="A24" s="34"/>
      <c r="B24" s="25" t="s">
        <v>237</v>
      </c>
      <c r="C24" s="82">
        <v>654.47906621228992</v>
      </c>
      <c r="D24" s="82">
        <v>761.3100641303929</v>
      </c>
      <c r="E24" s="82">
        <v>788.59425140615417</v>
      </c>
      <c r="F24" s="27"/>
      <c r="G24" s="38">
        <v>20.49189838416649</v>
      </c>
      <c r="H24" s="24">
        <v>3.5838469187881685</v>
      </c>
    </row>
    <row r="25" spans="1:8" x14ac:dyDescent="0.25">
      <c r="A25" s="39" t="s">
        <v>191</v>
      </c>
      <c r="B25" s="31" t="s">
        <v>3</v>
      </c>
      <c r="C25" s="80">
        <v>330.10029545906707</v>
      </c>
      <c r="D25" s="80">
        <v>415.12542028118128</v>
      </c>
      <c r="E25" s="80">
        <v>521.47099401971946</v>
      </c>
      <c r="F25" s="22" t="s">
        <v>236</v>
      </c>
      <c r="G25" s="37">
        <v>57.973501142892076</v>
      </c>
      <c r="H25" s="33">
        <v>25.617697337471171</v>
      </c>
    </row>
    <row r="26" spans="1:8" x14ac:dyDescent="0.25">
      <c r="A26" s="34"/>
      <c r="B26" s="25" t="s">
        <v>237</v>
      </c>
      <c r="C26" s="82">
        <v>246.9577773893939</v>
      </c>
      <c r="D26" s="82">
        <v>286.799662747215</v>
      </c>
      <c r="E26" s="82">
        <v>369.99379130361183</v>
      </c>
      <c r="F26" s="27"/>
      <c r="G26" s="38">
        <v>49.820667814085198</v>
      </c>
      <c r="H26" s="24">
        <v>29.007749785858039</v>
      </c>
    </row>
    <row r="27" spans="1:8" x14ac:dyDescent="0.25">
      <c r="A27" s="39" t="s">
        <v>192</v>
      </c>
      <c r="B27" s="31" t="s">
        <v>3</v>
      </c>
      <c r="C27" s="80">
        <v>889.62084010833587</v>
      </c>
      <c r="D27" s="80">
        <v>982.35582708179095</v>
      </c>
      <c r="E27" s="80">
        <v>1085.2120111676229</v>
      </c>
      <c r="F27" s="22" t="s">
        <v>236</v>
      </c>
      <c r="G27" s="37">
        <v>21.985902559956713</v>
      </c>
      <c r="H27" s="33">
        <v>10.470359237485155</v>
      </c>
    </row>
    <row r="28" spans="1:8" x14ac:dyDescent="0.25">
      <c r="A28" s="34"/>
      <c r="B28" s="25" t="s">
        <v>237</v>
      </c>
      <c r="C28" s="82">
        <v>630.32073313995556</v>
      </c>
      <c r="D28" s="82">
        <v>708.14075528587603</v>
      </c>
      <c r="E28" s="82">
        <v>792.55013661210501</v>
      </c>
      <c r="F28" s="27"/>
      <c r="G28" s="38">
        <v>25.737595948018452</v>
      </c>
      <c r="H28" s="24">
        <v>11.919859250602372</v>
      </c>
    </row>
    <row r="29" spans="1:8" x14ac:dyDescent="0.25">
      <c r="A29" s="30" t="s">
        <v>10</v>
      </c>
      <c r="B29" s="31" t="s">
        <v>3</v>
      </c>
      <c r="C29" s="80">
        <v>2043.5081056764257</v>
      </c>
      <c r="D29" s="80">
        <v>2078.8919979673683</v>
      </c>
      <c r="E29" s="80">
        <v>2158.1615459154546</v>
      </c>
      <c r="F29" s="22" t="s">
        <v>236</v>
      </c>
      <c r="G29" s="37">
        <v>5.6106183244659604</v>
      </c>
      <c r="H29" s="33">
        <v>3.8130671543106445</v>
      </c>
    </row>
    <row r="30" spans="1:8" x14ac:dyDescent="0.25">
      <c r="A30" s="30"/>
      <c r="B30" s="25" t="s">
        <v>237</v>
      </c>
      <c r="C30" s="82">
        <v>1725.9445114489031</v>
      </c>
      <c r="D30" s="82">
        <v>1637.6368887491637</v>
      </c>
      <c r="E30" s="82">
        <v>1739.1033802745555</v>
      </c>
      <c r="F30" s="27"/>
      <c r="G30" s="28">
        <v>0.76241552021889447</v>
      </c>
      <c r="H30" s="29">
        <v>6.1959090090412161</v>
      </c>
    </row>
    <row r="31" spans="1:8" x14ac:dyDescent="0.25">
      <c r="A31" s="39" t="s">
        <v>11</v>
      </c>
      <c r="B31" s="31" t="s">
        <v>3</v>
      </c>
      <c r="C31" s="80">
        <v>453.98179332223094</v>
      </c>
      <c r="D31" s="80">
        <v>468.76565664708272</v>
      </c>
      <c r="E31" s="80">
        <v>574.57459583886236</v>
      </c>
      <c r="F31" s="22" t="s">
        <v>236</v>
      </c>
      <c r="G31" s="23">
        <v>26.563356568582932</v>
      </c>
      <c r="H31" s="24">
        <v>22.571819776344995</v>
      </c>
    </row>
    <row r="32" spans="1:8" x14ac:dyDescent="0.25">
      <c r="A32" s="34"/>
      <c r="B32" s="25" t="s">
        <v>237</v>
      </c>
      <c r="C32" s="82">
        <v>368.91039147919628</v>
      </c>
      <c r="D32" s="82">
        <v>372.4964278198899</v>
      </c>
      <c r="E32" s="82">
        <v>459.96772914450486</v>
      </c>
      <c r="F32" s="27"/>
      <c r="G32" s="38">
        <v>24.682779278784153</v>
      </c>
      <c r="H32" s="24">
        <v>23.482453734270223</v>
      </c>
    </row>
    <row r="33" spans="1:8" x14ac:dyDescent="0.25">
      <c r="A33" s="30" t="s">
        <v>12</v>
      </c>
      <c r="B33" s="31" t="s">
        <v>3</v>
      </c>
      <c r="C33" s="80">
        <v>1026.4393155565767</v>
      </c>
      <c r="D33" s="80">
        <v>963.64843128868392</v>
      </c>
      <c r="E33" s="80">
        <v>1015.2858152536065</v>
      </c>
      <c r="F33" s="22" t="s">
        <v>236</v>
      </c>
      <c r="G33" s="37">
        <v>-1.0866205272858593</v>
      </c>
      <c r="H33" s="33">
        <v>5.3585293441372812</v>
      </c>
    </row>
    <row r="34" spans="1:8" x14ac:dyDescent="0.25">
      <c r="A34" s="30"/>
      <c r="B34" s="25" t="s">
        <v>237</v>
      </c>
      <c r="C34" s="82">
        <v>866.96305299337291</v>
      </c>
      <c r="D34" s="82">
        <v>679.31885226898271</v>
      </c>
      <c r="E34" s="82">
        <v>757.47810499964385</v>
      </c>
      <c r="F34" s="27"/>
      <c r="G34" s="28">
        <v>-12.628559846432807</v>
      </c>
      <c r="H34" s="29">
        <v>11.505532706710937</v>
      </c>
    </row>
    <row r="35" spans="1:8" x14ac:dyDescent="0.25">
      <c r="A35" s="39" t="s">
        <v>13</v>
      </c>
      <c r="B35" s="31" t="s">
        <v>3</v>
      </c>
      <c r="C35" s="80">
        <v>144.28091435942434</v>
      </c>
      <c r="D35" s="80">
        <v>211.04554373478513</v>
      </c>
      <c r="E35" s="80">
        <v>301.88207288611659</v>
      </c>
      <c r="F35" s="22" t="s">
        <v>236</v>
      </c>
      <c r="G35" s="23">
        <v>109.23215951770672</v>
      </c>
      <c r="H35" s="24">
        <v>43.041197432476054</v>
      </c>
    </row>
    <row r="36" spans="1:8" x14ac:dyDescent="0.25">
      <c r="A36" s="34"/>
      <c r="B36" s="25" t="s">
        <v>237</v>
      </c>
      <c r="C36" s="82">
        <v>107.1265294507206</v>
      </c>
      <c r="D36" s="82">
        <v>89.789844258129705</v>
      </c>
      <c r="E36" s="82">
        <v>149.75039763065843</v>
      </c>
      <c r="F36" s="27"/>
      <c r="G36" s="28">
        <v>39.78834038448457</v>
      </c>
      <c r="H36" s="29">
        <v>66.778769768385928</v>
      </c>
    </row>
    <row r="37" spans="1:8" x14ac:dyDescent="0.25">
      <c r="A37" s="30" t="s">
        <v>14</v>
      </c>
      <c r="B37" s="31" t="s">
        <v>3</v>
      </c>
      <c r="C37" s="85">
        <v>749.46103067636318</v>
      </c>
      <c r="D37" s="85">
        <v>973.92633625162387</v>
      </c>
      <c r="E37" s="83">
        <v>872.17757060638246</v>
      </c>
      <c r="F37" s="22" t="s">
        <v>236</v>
      </c>
      <c r="G37" s="23">
        <v>16.373972082213754</v>
      </c>
      <c r="H37" s="24">
        <v>-10.447275307991418</v>
      </c>
    </row>
    <row r="38" spans="1:8" ht="14.3" thickBot="1" x14ac:dyDescent="0.3">
      <c r="A38" s="41"/>
      <c r="B38" s="42" t="s">
        <v>237</v>
      </c>
      <c r="C38" s="86">
        <v>559.91563653964533</v>
      </c>
      <c r="D38" s="86">
        <v>702.4559895928378</v>
      </c>
      <c r="E38" s="86">
        <v>636.40258000706467</v>
      </c>
      <c r="F38" s="44"/>
      <c r="G38" s="45">
        <v>13.660440694265844</v>
      </c>
      <c r="H38" s="46">
        <v>-9.4032096763897499</v>
      </c>
    </row>
    <row r="39" spans="1:8" x14ac:dyDescent="0.25">
      <c r="A39" s="47"/>
      <c r="B39" s="48"/>
      <c r="C39" s="49"/>
      <c r="D39" s="49"/>
      <c r="E39" s="49"/>
      <c r="F39" s="49"/>
      <c r="G39" s="50"/>
      <c r="H39" s="51"/>
    </row>
    <row r="40" spans="1:8" x14ac:dyDescent="0.25">
      <c r="A40" s="47"/>
      <c r="B40" s="48"/>
      <c r="C40" s="49"/>
      <c r="D40" s="49"/>
      <c r="E40" s="49"/>
      <c r="F40" s="49"/>
      <c r="G40" s="50"/>
      <c r="H40" s="51"/>
    </row>
    <row r="41" spans="1:8" x14ac:dyDescent="0.25">
      <c r="A41" s="47"/>
      <c r="B41" s="48"/>
      <c r="C41" s="49"/>
      <c r="D41" s="49"/>
      <c r="E41" s="49"/>
      <c r="F41" s="49"/>
      <c r="G41" s="50"/>
      <c r="H41" s="51"/>
    </row>
    <row r="42" spans="1:8" x14ac:dyDescent="0.25">
      <c r="A42" s="47"/>
      <c r="B42" s="48"/>
      <c r="C42" s="49"/>
      <c r="D42" s="49"/>
      <c r="E42" s="49"/>
      <c r="F42" s="49"/>
      <c r="G42" s="50"/>
      <c r="H42" s="51"/>
    </row>
    <row r="43" spans="1:8" x14ac:dyDescent="0.25">
      <c r="A43" s="47"/>
      <c r="B43" s="48"/>
      <c r="C43" s="49"/>
      <c r="D43" s="49"/>
      <c r="E43" s="49"/>
      <c r="F43" s="49"/>
      <c r="G43" s="50"/>
      <c r="H43" s="51"/>
    </row>
    <row r="44" spans="1:8" x14ac:dyDescent="0.25">
      <c r="A44" s="47"/>
      <c r="B44" s="48"/>
      <c r="C44" s="49"/>
      <c r="D44" s="49"/>
      <c r="E44" s="49"/>
      <c r="F44" s="49"/>
      <c r="G44" s="50"/>
      <c r="H44" s="51"/>
    </row>
    <row r="45" spans="1:8" x14ac:dyDescent="0.25">
      <c r="A45" s="47"/>
      <c r="B45" s="48"/>
      <c r="C45" s="49"/>
      <c r="D45" s="49"/>
      <c r="E45" s="49"/>
      <c r="F45" s="49"/>
      <c r="G45" s="50"/>
      <c r="H45" s="51"/>
    </row>
    <row r="46" spans="1:8" x14ac:dyDescent="0.25">
      <c r="A46" s="47"/>
      <c r="B46" s="48"/>
      <c r="C46" s="49"/>
      <c r="D46" s="49"/>
      <c r="E46" s="49"/>
      <c r="F46" s="49"/>
      <c r="G46" s="50"/>
      <c r="H46" s="51"/>
    </row>
    <row r="47" spans="1:8" x14ac:dyDescent="0.25">
      <c r="A47" s="47"/>
      <c r="B47" s="48"/>
      <c r="C47" s="49"/>
      <c r="D47" s="49"/>
      <c r="E47" s="49"/>
      <c r="F47" s="49"/>
      <c r="G47" s="50"/>
      <c r="H47" s="51"/>
    </row>
    <row r="48" spans="1:8" x14ac:dyDescent="0.25">
      <c r="A48" s="47"/>
      <c r="B48" s="48"/>
      <c r="C48" s="49"/>
      <c r="D48" s="49"/>
      <c r="E48" s="49"/>
      <c r="F48" s="49"/>
      <c r="G48" s="50"/>
      <c r="H48" s="51"/>
    </row>
    <row r="49" spans="1:8" x14ac:dyDescent="0.25">
      <c r="A49" s="47"/>
      <c r="B49" s="48"/>
      <c r="C49" s="49"/>
      <c r="D49" s="49"/>
      <c r="E49" s="98"/>
      <c r="F49" s="49"/>
      <c r="G49" s="50"/>
      <c r="H49" s="51"/>
    </row>
    <row r="50" spans="1:8" x14ac:dyDescent="0.25">
      <c r="A50" s="47"/>
      <c r="B50" s="48"/>
      <c r="C50" s="49"/>
      <c r="D50" s="49"/>
      <c r="E50" s="49"/>
      <c r="F50" s="49"/>
      <c r="G50" s="50"/>
      <c r="H50" s="51"/>
    </row>
    <row r="51" spans="1:8" x14ac:dyDescent="0.25">
      <c r="A51" s="47"/>
      <c r="B51" s="48"/>
      <c r="C51" s="49"/>
      <c r="D51" s="49"/>
      <c r="E51" s="49"/>
      <c r="F51" s="49"/>
      <c r="G51" s="50"/>
      <c r="H51" s="51"/>
    </row>
    <row r="52" spans="1:8" x14ac:dyDescent="0.25">
      <c r="A52" s="47"/>
      <c r="B52" s="48"/>
      <c r="C52" s="49"/>
      <c r="D52" s="49"/>
      <c r="E52" s="49"/>
      <c r="F52" s="49"/>
      <c r="G52" s="50"/>
      <c r="H52" s="51"/>
    </row>
    <row r="53" spans="1:8" x14ac:dyDescent="0.25">
      <c r="A53" s="47"/>
      <c r="B53" s="48"/>
      <c r="C53" s="49"/>
      <c r="D53" s="49"/>
      <c r="E53" s="49"/>
      <c r="F53" s="49"/>
      <c r="G53" s="50"/>
      <c r="H53" s="51"/>
    </row>
    <row r="54" spans="1:8" x14ac:dyDescent="0.25">
      <c r="A54" s="47"/>
      <c r="B54" s="48"/>
      <c r="C54" s="49"/>
      <c r="D54" s="49"/>
      <c r="E54" s="49"/>
      <c r="F54" s="49"/>
      <c r="G54" s="50"/>
      <c r="H54" s="51"/>
    </row>
    <row r="55" spans="1:8" x14ac:dyDescent="0.25">
      <c r="A55" s="47"/>
      <c r="B55" s="48"/>
      <c r="C55" s="49"/>
      <c r="D55" s="49"/>
      <c r="E55" s="49"/>
      <c r="F55" s="49"/>
      <c r="G55" s="50"/>
      <c r="H55" s="51"/>
    </row>
    <row r="56" spans="1:8" x14ac:dyDescent="0.25">
      <c r="A56" s="47"/>
      <c r="B56" s="48"/>
      <c r="C56" s="49"/>
      <c r="D56" s="49"/>
      <c r="E56" s="49"/>
      <c r="F56" s="49"/>
      <c r="G56" s="50"/>
      <c r="H56" s="51"/>
    </row>
    <row r="57" spans="1:8" x14ac:dyDescent="0.25">
      <c r="A57" s="47"/>
      <c r="B57" s="48"/>
      <c r="C57" s="49"/>
      <c r="D57" s="49"/>
      <c r="E57" s="49"/>
      <c r="F57" s="49"/>
      <c r="G57" s="50"/>
      <c r="H57" s="51"/>
    </row>
    <row r="58" spans="1:8" x14ac:dyDescent="0.25">
      <c r="A58" s="47"/>
      <c r="B58" s="48"/>
      <c r="C58" s="49"/>
      <c r="D58" s="49"/>
      <c r="E58" s="49"/>
      <c r="F58" s="49"/>
      <c r="G58" s="50"/>
      <c r="H58" s="51"/>
    </row>
    <row r="59" spans="1:8" x14ac:dyDescent="0.25">
      <c r="A59" s="47"/>
      <c r="B59" s="48"/>
      <c r="C59" s="49"/>
      <c r="D59" s="49"/>
      <c r="E59" s="49"/>
      <c r="F59" s="49"/>
      <c r="G59" s="50"/>
      <c r="H59" s="51"/>
    </row>
    <row r="60" spans="1:8" x14ac:dyDescent="0.25">
      <c r="A60" s="52"/>
      <c r="B60" s="52"/>
      <c r="C60" s="52"/>
      <c r="D60" s="52"/>
      <c r="E60" s="52"/>
      <c r="F60" s="52"/>
      <c r="G60" s="52"/>
      <c r="H60" s="52"/>
    </row>
    <row r="61" spans="1:8" ht="12.75" customHeight="1" x14ac:dyDescent="0.25">
      <c r="A61" s="54" t="s">
        <v>238</v>
      </c>
      <c r="H61" s="193">
        <v>10</v>
      </c>
    </row>
    <row r="62" spans="1:8" ht="12.75" customHeight="1" x14ac:dyDescent="0.25">
      <c r="A62" s="54" t="s">
        <v>239</v>
      </c>
      <c r="H62" s="194"/>
    </row>
    <row r="67" ht="12.75" customHeight="1" x14ac:dyDescent="0.25"/>
    <row r="68" ht="12.75" customHeight="1" x14ac:dyDescent="0.25"/>
  </sheetData>
  <mergeCells count="4">
    <mergeCell ref="G5:H5"/>
    <mergeCell ref="A7:A8"/>
    <mergeCell ref="C5:F5"/>
    <mergeCell ref="H61:H62"/>
  </mergeCells>
  <phoneticPr fontId="0" type="noConversion"/>
  <hyperlinks>
    <hyperlink ref="A2" location="Innhold!A24" display="Tilbake til innholdsfortegnelsen" xr:uid="{00000000-0004-0000-0500-000000000000}"/>
  </hyperlinks>
  <pageMargins left="0.78740157480314965" right="0.78740157480314965" top="0.98425196850393704" bottom="0.19685039370078741" header="3.937007874015748E-2" footer="3.937007874015748E-2"/>
  <pageSetup paperSize="9" scale="95"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68"/>
  <sheetViews>
    <sheetView showGridLines="0" showRowColHeaders="0" zoomScale="80" zoomScaleNormal="80" workbookViewId="0"/>
  </sheetViews>
  <sheetFormatPr defaultColWidth="11.5" defaultRowHeight="13.6" x14ac:dyDescent="0.25"/>
  <cols>
    <col min="1" max="1" width="26.375" style="1" customWidth="1"/>
    <col min="2" max="2" width="8.125" style="1" customWidth="1"/>
    <col min="3" max="4" width="10.5" style="1" customWidth="1"/>
    <col min="5" max="5" width="9.875" style="1" customWidth="1"/>
    <col min="6" max="6" width="1.625" style="1" customWidth="1"/>
    <col min="7" max="7" width="7.625" style="1" customWidth="1"/>
    <col min="8" max="8" width="8.875" style="1" customWidth="1"/>
    <col min="9" max="16384" width="11.5" style="1"/>
  </cols>
  <sheetData>
    <row r="1" spans="1:8" ht="5.3" customHeight="1" x14ac:dyDescent="0.25"/>
    <row r="2" spans="1:8" x14ac:dyDescent="0.25">
      <c r="A2" s="92" t="s">
        <v>0</v>
      </c>
      <c r="B2" s="2"/>
      <c r="C2" s="2"/>
      <c r="D2" s="2"/>
      <c r="E2" s="2"/>
      <c r="F2" s="2"/>
      <c r="G2" s="2"/>
    </row>
    <row r="3" spans="1:8" ht="5.95" customHeight="1" x14ac:dyDescent="0.25">
      <c r="A3" s="3"/>
      <c r="B3" s="2"/>
      <c r="C3" s="2"/>
      <c r="D3" s="2"/>
      <c r="E3" s="2"/>
      <c r="F3" s="2"/>
      <c r="G3" s="2"/>
    </row>
    <row r="4" spans="1:8" ht="16.3" thickBot="1" x14ac:dyDescent="0.3">
      <c r="A4" s="4" t="s">
        <v>145</v>
      </c>
      <c r="B4" s="5"/>
      <c r="C4" s="5"/>
      <c r="D4" s="5"/>
      <c r="E4" s="5"/>
      <c r="F4" s="5"/>
      <c r="G4" s="5"/>
      <c r="H4" s="6"/>
    </row>
    <row r="5" spans="1:8" x14ac:dyDescent="0.25">
      <c r="A5" s="7"/>
      <c r="B5" s="8"/>
      <c r="C5" s="9"/>
      <c r="D5" s="8"/>
      <c r="E5" s="10"/>
      <c r="F5" s="11"/>
      <c r="G5" s="196" t="s">
        <v>1</v>
      </c>
      <c r="H5" s="197"/>
    </row>
    <row r="6" spans="1:8" x14ac:dyDescent="0.25">
      <c r="A6" s="12"/>
      <c r="B6" s="13"/>
      <c r="C6" s="14" t="s">
        <v>231</v>
      </c>
      <c r="D6" s="15" t="s">
        <v>232</v>
      </c>
      <c r="E6" s="15" t="s">
        <v>233</v>
      </c>
      <c r="F6" s="16"/>
      <c r="G6" s="17" t="s">
        <v>234</v>
      </c>
      <c r="H6" s="18" t="s">
        <v>235</v>
      </c>
    </row>
    <row r="7" spans="1:8" x14ac:dyDescent="0.25">
      <c r="A7" s="198" t="s">
        <v>26</v>
      </c>
      <c r="B7" s="19" t="s">
        <v>3</v>
      </c>
      <c r="C7" s="20">
        <v>816557.142204843</v>
      </c>
      <c r="D7" s="20">
        <v>848267.68337105052</v>
      </c>
      <c r="E7" s="21">
        <v>939685.23342487274</v>
      </c>
      <c r="F7" s="22" t="s">
        <v>236</v>
      </c>
      <c r="G7" s="23">
        <v>15.078931388385499</v>
      </c>
      <c r="H7" s="24">
        <v>10.776969563490283</v>
      </c>
    </row>
    <row r="8" spans="1:8" x14ac:dyDescent="0.25">
      <c r="A8" s="199"/>
      <c r="B8" s="25" t="s">
        <v>237</v>
      </c>
      <c r="C8" s="26">
        <v>621894.16543834819</v>
      </c>
      <c r="D8" s="26">
        <v>622864.88048789231</v>
      </c>
      <c r="E8" s="26">
        <v>698343.05829596415</v>
      </c>
      <c r="F8" s="27"/>
      <c r="G8" s="28">
        <v>12.292910451045998</v>
      </c>
      <c r="H8" s="29">
        <v>12.117905531766297</v>
      </c>
    </row>
    <row r="9" spans="1:8" x14ac:dyDescent="0.25">
      <c r="A9" s="30" t="s">
        <v>28</v>
      </c>
      <c r="B9" s="31" t="s">
        <v>3</v>
      </c>
      <c r="C9" s="20">
        <v>748186.31376387447</v>
      </c>
      <c r="D9" s="20">
        <v>779419.45431275456</v>
      </c>
      <c r="E9" s="21">
        <v>860866.51451191271</v>
      </c>
      <c r="F9" s="22" t="s">
        <v>236</v>
      </c>
      <c r="G9" s="32">
        <v>15.060446666176233</v>
      </c>
      <c r="H9" s="33">
        <v>10.449708401360496</v>
      </c>
    </row>
    <row r="10" spans="1:8" x14ac:dyDescent="0.25">
      <c r="A10" s="34"/>
      <c r="B10" s="25" t="s">
        <v>237</v>
      </c>
      <c r="C10" s="26">
        <v>569731.76440585312</v>
      </c>
      <c r="D10" s="26">
        <v>571220.30439031392</v>
      </c>
      <c r="E10" s="26">
        <v>638911.24663677136</v>
      </c>
      <c r="F10" s="27"/>
      <c r="G10" s="35">
        <v>12.14246537632711</v>
      </c>
      <c r="H10" s="29">
        <v>11.850233916090673</v>
      </c>
    </row>
    <row r="11" spans="1:8" x14ac:dyDescent="0.25">
      <c r="A11" s="30" t="s">
        <v>29</v>
      </c>
      <c r="B11" s="31" t="s">
        <v>3</v>
      </c>
      <c r="C11" s="20">
        <v>34519.914220484308</v>
      </c>
      <c r="D11" s="20">
        <v>34984.614529147977</v>
      </c>
      <c r="E11" s="21">
        <v>36471.371509214659</v>
      </c>
      <c r="F11" s="22" t="s">
        <v>236</v>
      </c>
      <c r="G11" s="37">
        <v>5.653134814490187</v>
      </c>
      <c r="H11" s="33">
        <v>4.2497452096491344</v>
      </c>
    </row>
    <row r="12" spans="1:8" x14ac:dyDescent="0.25">
      <c r="A12" s="34"/>
      <c r="B12" s="25" t="s">
        <v>237</v>
      </c>
      <c r="C12" s="26">
        <v>25887.200516247533</v>
      </c>
      <c r="D12" s="26">
        <v>25537.288048789236</v>
      </c>
      <c r="E12" s="26">
        <v>26860.905829596413</v>
      </c>
      <c r="F12" s="27"/>
      <c r="G12" s="28">
        <v>3.7613387849248454</v>
      </c>
      <c r="H12" s="29">
        <v>5.1830788699191288</v>
      </c>
    </row>
    <row r="13" spans="1:8" x14ac:dyDescent="0.25">
      <c r="A13" s="30" t="s">
        <v>27</v>
      </c>
      <c r="B13" s="31" t="s">
        <v>3</v>
      </c>
      <c r="C13" s="20">
        <v>9364.5742661452914</v>
      </c>
      <c r="D13" s="20">
        <v>9150.1843587443946</v>
      </c>
      <c r="E13" s="21">
        <v>9899.5150180046894</v>
      </c>
      <c r="F13" s="22" t="s">
        <v>236</v>
      </c>
      <c r="G13" s="23">
        <v>5.7123873083404249</v>
      </c>
      <c r="H13" s="24">
        <v>8.189241111237223</v>
      </c>
    </row>
    <row r="14" spans="1:8" x14ac:dyDescent="0.25">
      <c r="A14" s="34"/>
      <c r="B14" s="25" t="s">
        <v>237</v>
      </c>
      <c r="C14" s="26">
        <v>7362.1601548742601</v>
      </c>
      <c r="D14" s="26">
        <v>7342.0864146367712</v>
      </c>
      <c r="E14" s="26">
        <v>7889.0717488789242</v>
      </c>
      <c r="F14" s="27"/>
      <c r="G14" s="38">
        <v>7.1570243368831399</v>
      </c>
      <c r="H14" s="24">
        <v>7.4499985882992945</v>
      </c>
    </row>
    <row r="15" spans="1:8" x14ac:dyDescent="0.25">
      <c r="A15" s="30" t="s">
        <v>30</v>
      </c>
      <c r="B15" s="31" t="s">
        <v>3</v>
      </c>
      <c r="C15" s="20">
        <v>12045.765688193722</v>
      </c>
      <c r="D15" s="20">
        <v>11925.245811659193</v>
      </c>
      <c r="E15" s="21">
        <v>14948.614960587476</v>
      </c>
      <c r="F15" s="22" t="s">
        <v>236</v>
      </c>
      <c r="G15" s="37">
        <v>24.098503553318238</v>
      </c>
      <c r="H15" s="33">
        <v>25.352677812078014</v>
      </c>
    </row>
    <row r="16" spans="1:8" x14ac:dyDescent="0.25">
      <c r="A16" s="34"/>
      <c r="B16" s="25" t="s">
        <v>237</v>
      </c>
      <c r="C16" s="26">
        <v>9203.8802064990141</v>
      </c>
      <c r="D16" s="26">
        <v>8879.1152195156956</v>
      </c>
      <c r="E16" s="26">
        <v>11225.762331838565</v>
      </c>
      <c r="F16" s="27"/>
      <c r="G16" s="28">
        <v>21.967714485373961</v>
      </c>
      <c r="H16" s="29">
        <v>26.428839521815163</v>
      </c>
    </row>
    <row r="17" spans="1:9" x14ac:dyDescent="0.25">
      <c r="A17" s="30" t="s">
        <v>31</v>
      </c>
      <c r="B17" s="31" t="s">
        <v>3</v>
      </c>
      <c r="C17" s="20">
        <v>12440.574266145291</v>
      </c>
      <c r="D17" s="20">
        <v>12788.184358744395</v>
      </c>
      <c r="E17" s="21">
        <v>17351.294843737276</v>
      </c>
      <c r="F17" s="22" t="s">
        <v>236</v>
      </c>
      <c r="G17" s="37">
        <v>39.473423593922007</v>
      </c>
      <c r="H17" s="33">
        <v>35.682238830664716</v>
      </c>
    </row>
    <row r="18" spans="1:9" ht="14.3" thickBot="1" x14ac:dyDescent="0.3">
      <c r="A18" s="56"/>
      <c r="B18" s="42" t="s">
        <v>237</v>
      </c>
      <c r="C18" s="43">
        <v>9709.1601548742601</v>
      </c>
      <c r="D18" s="43">
        <v>9886.0864146367712</v>
      </c>
      <c r="E18" s="43">
        <v>13456.071748878923</v>
      </c>
      <c r="F18" s="44"/>
      <c r="G18" s="57">
        <v>38.591510843742896</v>
      </c>
      <c r="H18" s="46">
        <v>36.111209072142401</v>
      </c>
    </row>
    <row r="19" spans="1:9" x14ac:dyDescent="0.25">
      <c r="A19" s="58"/>
      <c r="B19" s="58"/>
      <c r="C19" s="21"/>
      <c r="D19" s="21"/>
      <c r="E19" s="21"/>
      <c r="F19" s="59"/>
      <c r="G19" s="38"/>
      <c r="H19" s="60"/>
      <c r="I19" s="61"/>
    </row>
    <row r="20" spans="1:9" x14ac:dyDescent="0.25">
      <c r="A20" s="58"/>
      <c r="B20" s="62"/>
      <c r="C20" s="21"/>
      <c r="D20" s="21"/>
      <c r="E20" s="21"/>
      <c r="F20" s="63"/>
      <c r="G20" s="38"/>
      <c r="H20" s="60"/>
      <c r="I20" s="61"/>
    </row>
    <row r="21" spans="1:9" x14ac:dyDescent="0.25">
      <c r="A21" s="58"/>
      <c r="B21" s="58"/>
      <c r="C21" s="21"/>
      <c r="D21" s="21"/>
      <c r="E21" s="21"/>
      <c r="F21" s="59"/>
      <c r="G21" s="38"/>
      <c r="H21" s="60"/>
      <c r="I21" s="61"/>
    </row>
    <row r="22" spans="1:9" x14ac:dyDescent="0.25">
      <c r="A22" s="58"/>
      <c r="B22" s="62"/>
      <c r="C22" s="21"/>
      <c r="D22" s="21"/>
      <c r="E22" s="21"/>
      <c r="F22" s="63"/>
      <c r="G22" s="38"/>
      <c r="H22" s="60"/>
      <c r="I22" s="61"/>
    </row>
    <row r="23" spans="1:9" x14ac:dyDescent="0.25">
      <c r="A23" s="58"/>
      <c r="B23" s="58"/>
      <c r="C23" s="21"/>
      <c r="D23" s="21"/>
      <c r="E23" s="21"/>
      <c r="F23" s="59"/>
      <c r="G23" s="38"/>
      <c r="H23" s="60"/>
      <c r="I23" s="61"/>
    </row>
    <row r="24" spans="1:9" x14ac:dyDescent="0.25">
      <c r="A24" s="58"/>
      <c r="B24" s="62"/>
      <c r="C24" s="21"/>
      <c r="D24" s="21"/>
      <c r="E24" s="21"/>
      <c r="F24" s="63"/>
      <c r="G24" s="38"/>
      <c r="H24" s="60"/>
      <c r="I24" s="61"/>
    </row>
    <row r="25" spans="1:9" x14ac:dyDescent="0.25">
      <c r="A25" s="58"/>
      <c r="B25" s="58"/>
      <c r="C25" s="21"/>
      <c r="D25" s="21"/>
      <c r="E25" s="21"/>
      <c r="F25" s="59"/>
      <c r="G25" s="38"/>
      <c r="H25" s="60"/>
      <c r="I25" s="61"/>
    </row>
    <row r="26" spans="1:9" x14ac:dyDescent="0.25">
      <c r="A26" s="58"/>
      <c r="B26" s="62"/>
      <c r="C26" s="21"/>
      <c r="D26" s="21"/>
      <c r="E26" s="21"/>
      <c r="F26" s="63"/>
      <c r="G26" s="38"/>
      <c r="H26" s="60"/>
      <c r="I26" s="61"/>
    </row>
    <row r="27" spans="1:9" x14ac:dyDescent="0.25">
      <c r="A27" s="58"/>
      <c r="B27" s="58"/>
      <c r="C27" s="21"/>
      <c r="D27" s="21"/>
      <c r="E27" s="21"/>
      <c r="F27" s="59"/>
      <c r="G27" s="38"/>
      <c r="H27" s="60"/>
      <c r="I27" s="61"/>
    </row>
    <row r="28" spans="1:9" x14ac:dyDescent="0.25">
      <c r="A28" s="58"/>
      <c r="B28" s="62"/>
      <c r="C28" s="21"/>
      <c r="D28" s="21"/>
      <c r="E28" s="21"/>
      <c r="F28" s="63"/>
      <c r="G28" s="38"/>
      <c r="H28" s="60"/>
      <c r="I28" s="61"/>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3" thickBot="1" x14ac:dyDescent="0.3">
      <c r="A32" s="4" t="s">
        <v>32</v>
      </c>
      <c r="B32" s="5"/>
      <c r="C32" s="5"/>
      <c r="D32" s="5"/>
      <c r="E32" s="5"/>
      <c r="F32" s="5"/>
      <c r="G32" s="5"/>
      <c r="H32" s="6"/>
    </row>
    <row r="33" spans="1:9" x14ac:dyDescent="0.25">
      <c r="A33" s="7"/>
      <c r="B33" s="8"/>
      <c r="C33" s="202" t="s">
        <v>16</v>
      </c>
      <c r="D33" s="196"/>
      <c r="E33" s="196"/>
      <c r="F33" s="203"/>
      <c r="G33" s="196" t="s">
        <v>1</v>
      </c>
      <c r="H33" s="197"/>
    </row>
    <row r="34" spans="1:9" x14ac:dyDescent="0.25">
      <c r="A34" s="12"/>
      <c r="B34" s="13"/>
      <c r="C34" s="14" t="s">
        <v>231</v>
      </c>
      <c r="D34" s="15" t="s">
        <v>232</v>
      </c>
      <c r="E34" s="15" t="s">
        <v>233</v>
      </c>
      <c r="F34" s="16"/>
      <c r="G34" s="17" t="s">
        <v>234</v>
      </c>
      <c r="H34" s="18" t="s">
        <v>235</v>
      </c>
    </row>
    <row r="35" spans="1:9" ht="12.75" customHeight="1" x14ac:dyDescent="0.25">
      <c r="A35" s="198" t="s">
        <v>26</v>
      </c>
      <c r="B35" s="19" t="s">
        <v>3</v>
      </c>
      <c r="C35" s="80">
        <v>12755.754436418403</v>
      </c>
      <c r="D35" s="80">
        <v>13878.920128694615</v>
      </c>
      <c r="E35" s="83">
        <v>15014.240247762731</v>
      </c>
      <c r="F35" s="22" t="s">
        <v>236</v>
      </c>
      <c r="G35" s="23">
        <v>17.705623156998243</v>
      </c>
      <c r="H35" s="24">
        <v>8.1801761847511756</v>
      </c>
    </row>
    <row r="36" spans="1:9" ht="12.75" customHeight="1" x14ac:dyDescent="0.25">
      <c r="A36" s="199"/>
      <c r="B36" s="25" t="s">
        <v>237</v>
      </c>
      <c r="C36" s="82">
        <v>9728.3698438987449</v>
      </c>
      <c r="D36" s="82">
        <v>10401.324113394447</v>
      </c>
      <c r="E36" s="82">
        <v>11317.622871284517</v>
      </c>
      <c r="F36" s="27"/>
      <c r="G36" s="28">
        <v>16.336272704336892</v>
      </c>
      <c r="H36" s="29">
        <v>8.8094433737536662</v>
      </c>
    </row>
    <row r="37" spans="1:9" x14ac:dyDescent="0.25">
      <c r="A37" s="30" t="s">
        <v>28</v>
      </c>
      <c r="B37" s="31" t="s">
        <v>3</v>
      </c>
      <c r="C37" s="80">
        <v>10754.52092913333</v>
      </c>
      <c r="D37" s="80">
        <v>11593.812590679699</v>
      </c>
      <c r="E37" s="83">
        <v>12552.587109034628</v>
      </c>
      <c r="F37" s="22" t="s">
        <v>236</v>
      </c>
      <c r="G37" s="32">
        <v>16.719165751311607</v>
      </c>
      <c r="H37" s="33">
        <v>8.269708612727527</v>
      </c>
    </row>
    <row r="38" spans="1:9" x14ac:dyDescent="0.25">
      <c r="A38" s="34"/>
      <c r="B38" s="25" t="s">
        <v>237</v>
      </c>
      <c r="C38" s="82">
        <v>8150.3652956739652</v>
      </c>
      <c r="D38" s="82">
        <v>8714.9845765935024</v>
      </c>
      <c r="E38" s="82">
        <v>9461.3315890943995</v>
      </c>
      <c r="F38" s="27"/>
      <c r="G38" s="35">
        <v>16.084755049154253</v>
      </c>
      <c r="H38" s="29">
        <v>8.5639510425000509</v>
      </c>
    </row>
    <row r="39" spans="1:9" x14ac:dyDescent="0.25">
      <c r="A39" s="30" t="s">
        <v>29</v>
      </c>
      <c r="B39" s="31" t="s">
        <v>3</v>
      </c>
      <c r="C39" s="80">
        <v>892.27423894990204</v>
      </c>
      <c r="D39" s="80">
        <v>1063.270105493687</v>
      </c>
      <c r="E39" s="83">
        <v>1024.6126771561339</v>
      </c>
      <c r="F39" s="22" t="s">
        <v>236</v>
      </c>
      <c r="G39" s="37">
        <v>14.831587916510756</v>
      </c>
      <c r="H39" s="33">
        <v>-3.635711014333836</v>
      </c>
    </row>
    <row r="40" spans="1:9" x14ac:dyDescent="0.25">
      <c r="A40" s="34"/>
      <c r="B40" s="25" t="s">
        <v>237</v>
      </c>
      <c r="C40" s="82">
        <v>718.35942318340756</v>
      </c>
      <c r="D40" s="82">
        <v>761.73465493254798</v>
      </c>
      <c r="E40" s="82">
        <v>762.01905280298251</v>
      </c>
      <c r="F40" s="27"/>
      <c r="G40" s="28">
        <v>6.0776859341661265</v>
      </c>
      <c r="H40" s="29">
        <v>3.7335556232463318E-2</v>
      </c>
    </row>
    <row r="41" spans="1:9" x14ac:dyDescent="0.25">
      <c r="A41" s="30" t="s">
        <v>27</v>
      </c>
      <c r="B41" s="31" t="s">
        <v>3</v>
      </c>
      <c r="C41" s="80">
        <v>244.73397585845288</v>
      </c>
      <c r="D41" s="80">
        <v>269.44769335165711</v>
      </c>
      <c r="E41" s="83">
        <v>276.9371213682507</v>
      </c>
      <c r="F41" s="22" t="s">
        <v>236</v>
      </c>
      <c r="G41" s="23">
        <v>13.158428614923181</v>
      </c>
      <c r="H41" s="24">
        <v>2.7795480166976603</v>
      </c>
    </row>
    <row r="42" spans="1:9" x14ac:dyDescent="0.25">
      <c r="A42" s="34"/>
      <c r="B42" s="25" t="s">
        <v>237</v>
      </c>
      <c r="C42" s="82">
        <v>203.41579355296244</v>
      </c>
      <c r="D42" s="82">
        <v>223.54148390948671</v>
      </c>
      <c r="E42" s="82">
        <v>229.89714675241419</v>
      </c>
      <c r="F42" s="27"/>
      <c r="G42" s="38">
        <v>13.018336844408736</v>
      </c>
      <c r="H42" s="24">
        <v>2.8431692998427565</v>
      </c>
    </row>
    <row r="43" spans="1:9" x14ac:dyDescent="0.25">
      <c r="A43" s="30" t="s">
        <v>30</v>
      </c>
      <c r="B43" s="31" t="s">
        <v>3</v>
      </c>
      <c r="C43" s="80">
        <v>547.12021664034557</v>
      </c>
      <c r="D43" s="80">
        <v>587.55197540449103</v>
      </c>
      <c r="E43" s="83">
        <v>714.12436811814553</v>
      </c>
      <c r="F43" s="22" t="s">
        <v>236</v>
      </c>
      <c r="G43" s="37">
        <v>30.524215044238019</v>
      </c>
      <c r="H43" s="33">
        <v>21.542331234018519</v>
      </c>
    </row>
    <row r="44" spans="1:9" x14ac:dyDescent="0.25">
      <c r="A44" s="34"/>
      <c r="B44" s="25" t="s">
        <v>237</v>
      </c>
      <c r="C44" s="82">
        <v>411.82233272014702</v>
      </c>
      <c r="D44" s="82">
        <v>443.78555994620632</v>
      </c>
      <c r="E44" s="82">
        <v>538.76607145589605</v>
      </c>
      <c r="F44" s="27"/>
      <c r="G44" s="28">
        <v>30.824879723561111</v>
      </c>
      <c r="H44" s="29">
        <v>21.402343853009299</v>
      </c>
    </row>
    <row r="45" spans="1:9" x14ac:dyDescent="0.25">
      <c r="A45" s="30" t="s">
        <v>31</v>
      </c>
      <c r="B45" s="31" t="s">
        <v>3</v>
      </c>
      <c r="C45" s="80">
        <v>317.10507583637701</v>
      </c>
      <c r="D45" s="80">
        <v>364.83776376508098</v>
      </c>
      <c r="E45" s="83">
        <v>448.6441834213818</v>
      </c>
      <c r="F45" s="22" t="s">
        <v>236</v>
      </c>
      <c r="G45" s="37">
        <v>41.48123685439765</v>
      </c>
      <c r="H45" s="33">
        <v>22.970873078331806</v>
      </c>
    </row>
    <row r="46" spans="1:9" ht="14.3" thickBot="1" x14ac:dyDescent="0.3">
      <c r="A46" s="56"/>
      <c r="B46" s="42" t="s">
        <v>237</v>
      </c>
      <c r="C46" s="86">
        <v>244.40699876826474</v>
      </c>
      <c r="D46" s="86">
        <v>257.27783801270277</v>
      </c>
      <c r="E46" s="86">
        <v>325.60901117882861</v>
      </c>
      <c r="F46" s="44"/>
      <c r="G46" s="57">
        <v>33.224094571676233</v>
      </c>
      <c r="H46" s="46">
        <v>26.559292356441546</v>
      </c>
    </row>
    <row r="47" spans="1:9" x14ac:dyDescent="0.25">
      <c r="A47" s="58"/>
      <c r="B47" s="58"/>
      <c r="C47" s="21"/>
      <c r="D47" s="21"/>
      <c r="E47" s="21"/>
      <c r="F47" s="59"/>
      <c r="G47" s="38"/>
      <c r="H47" s="60"/>
      <c r="I47" s="61"/>
    </row>
    <row r="48" spans="1:9" x14ac:dyDescent="0.25">
      <c r="A48" s="58"/>
      <c r="B48" s="62"/>
      <c r="C48" s="21"/>
      <c r="D48" s="21"/>
      <c r="E48" s="21"/>
      <c r="F48" s="63"/>
      <c r="G48" s="38"/>
      <c r="H48" s="60"/>
      <c r="I48" s="61"/>
    </row>
    <row r="49" spans="1:9" x14ac:dyDescent="0.25">
      <c r="A49" s="58"/>
      <c r="B49" s="58"/>
      <c r="C49" s="21"/>
      <c r="D49" s="21"/>
      <c r="E49" s="97"/>
      <c r="F49" s="59"/>
      <c r="G49" s="38"/>
      <c r="H49" s="60"/>
      <c r="I49" s="61"/>
    </row>
    <row r="50" spans="1:9" x14ac:dyDescent="0.25">
      <c r="A50" s="58"/>
      <c r="B50" s="62"/>
      <c r="C50" s="21"/>
      <c r="D50" s="21"/>
      <c r="E50" s="21"/>
      <c r="F50" s="63"/>
      <c r="G50" s="38"/>
      <c r="H50" s="60"/>
      <c r="I50" s="61"/>
    </row>
    <row r="51" spans="1:9" x14ac:dyDescent="0.25">
      <c r="A51" s="58"/>
      <c r="B51" s="58"/>
      <c r="C51" s="21"/>
      <c r="D51" s="21"/>
      <c r="E51" s="21"/>
      <c r="F51" s="59"/>
      <c r="G51" s="38"/>
      <c r="H51" s="60"/>
      <c r="I51" s="61"/>
    </row>
    <row r="52" spans="1:9" x14ac:dyDescent="0.25">
      <c r="A52" s="58"/>
      <c r="B52" s="62"/>
      <c r="C52" s="21"/>
      <c r="D52" s="21"/>
      <c r="E52" s="21"/>
      <c r="F52" s="63"/>
      <c r="G52" s="38"/>
      <c r="H52" s="60"/>
      <c r="I52" s="61"/>
    </row>
    <row r="53" spans="1:9" x14ac:dyDescent="0.25">
      <c r="A53" s="58"/>
      <c r="B53" s="58"/>
      <c r="C53" s="21"/>
      <c r="D53" s="21"/>
      <c r="E53" s="21"/>
      <c r="F53" s="59"/>
      <c r="G53" s="38"/>
      <c r="H53" s="60"/>
      <c r="I53" s="61"/>
    </row>
    <row r="54" spans="1:9" x14ac:dyDescent="0.25">
      <c r="A54" s="58"/>
      <c r="B54" s="62"/>
      <c r="C54" s="21"/>
      <c r="D54" s="21"/>
      <c r="E54" s="21"/>
      <c r="F54" s="63"/>
      <c r="G54" s="38"/>
      <c r="H54" s="60"/>
      <c r="I54" s="61"/>
    </row>
    <row r="55" spans="1:9" x14ac:dyDescent="0.25">
      <c r="A55" s="58"/>
      <c r="B55" s="58"/>
      <c r="C55" s="21"/>
      <c r="D55" s="21"/>
      <c r="E55" s="21"/>
      <c r="F55" s="59"/>
      <c r="G55" s="38"/>
      <c r="H55" s="60"/>
      <c r="I55" s="61"/>
    </row>
    <row r="56" spans="1:9" x14ac:dyDescent="0.25">
      <c r="A56" s="58"/>
      <c r="B56" s="62"/>
      <c r="C56" s="21"/>
      <c r="D56" s="21"/>
      <c r="E56" s="21"/>
      <c r="F56" s="63"/>
      <c r="G56" s="38"/>
      <c r="H56" s="60"/>
      <c r="I56" s="61"/>
    </row>
    <row r="57" spans="1:9" x14ac:dyDescent="0.25">
      <c r="A57" s="58"/>
      <c r="B57" s="58"/>
      <c r="C57" s="64"/>
      <c r="D57" s="64"/>
      <c r="E57" s="21"/>
      <c r="F57" s="59"/>
      <c r="G57" s="38"/>
      <c r="H57" s="60"/>
      <c r="I57" s="61"/>
    </row>
    <row r="58" spans="1:9" x14ac:dyDescent="0.25">
      <c r="A58" s="58"/>
      <c r="B58" s="58"/>
      <c r="C58" s="64"/>
      <c r="D58" s="64"/>
      <c r="E58" s="21"/>
      <c r="F58" s="59"/>
      <c r="G58" s="38"/>
      <c r="H58" s="60"/>
      <c r="I58" s="61"/>
    </row>
    <row r="59" spans="1:9" x14ac:dyDescent="0.25">
      <c r="A59" s="65"/>
      <c r="B59" s="62"/>
      <c r="C59" s="21"/>
      <c r="D59" s="21"/>
      <c r="E59" s="21"/>
      <c r="F59" s="63"/>
      <c r="G59" s="38"/>
      <c r="H59" s="60"/>
      <c r="I59" s="61"/>
    </row>
    <row r="60" spans="1:9" x14ac:dyDescent="0.25">
      <c r="A60" s="52"/>
      <c r="B60" s="52"/>
      <c r="C60" s="52"/>
      <c r="D60" s="52"/>
      <c r="E60" s="52"/>
      <c r="F60" s="52"/>
      <c r="G60" s="52"/>
      <c r="H60" s="52"/>
    </row>
    <row r="61" spans="1:9" ht="12.75" customHeight="1" x14ac:dyDescent="0.25">
      <c r="A61" s="54" t="s">
        <v>238</v>
      </c>
      <c r="G61" s="53"/>
      <c r="H61" s="201">
        <v>11</v>
      </c>
    </row>
    <row r="62" spans="1:9" ht="12.75" customHeight="1" x14ac:dyDescent="0.25">
      <c r="A62" s="54" t="s">
        <v>239</v>
      </c>
      <c r="G62" s="53"/>
      <c r="H62" s="194"/>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26" display="Tilbake til innholdsfortegnelsen" xr:uid="{00000000-0004-0000-0600-000000000000}"/>
  </hyperlinks>
  <pageMargins left="0.78740157480314965" right="0.78740157480314965" top="0.98425196850393704" bottom="0.19685039370078741" header="3.937007874015748E-2" footer="3.937007874015748E-2"/>
  <pageSetup paperSize="9" scale="95"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68"/>
  <sheetViews>
    <sheetView showGridLines="0" showRowColHeaders="0" zoomScale="80" zoomScaleNormal="80" workbookViewId="0"/>
  </sheetViews>
  <sheetFormatPr defaultColWidth="11.5" defaultRowHeight="13.6" x14ac:dyDescent="0.25"/>
  <cols>
    <col min="1" max="1" width="26.375" style="1" customWidth="1"/>
    <col min="2" max="2" width="8.125" style="1" customWidth="1"/>
    <col min="3" max="4" width="10.5" style="1" customWidth="1"/>
    <col min="5" max="5" width="9.875" style="1" customWidth="1"/>
    <col min="6" max="6" width="1.625" style="1" customWidth="1"/>
    <col min="7" max="7" width="7.625" style="1" customWidth="1"/>
    <col min="8" max="8" width="8.875" style="1" customWidth="1"/>
    <col min="9" max="16384" width="11.5" style="1"/>
  </cols>
  <sheetData>
    <row r="1" spans="1:8" ht="5.3" customHeight="1" x14ac:dyDescent="0.25"/>
    <row r="2" spans="1:8" x14ac:dyDescent="0.25">
      <c r="A2" s="92" t="s">
        <v>0</v>
      </c>
      <c r="B2" s="2"/>
      <c r="C2" s="2"/>
      <c r="D2" s="2"/>
      <c r="E2" s="2"/>
      <c r="F2" s="2"/>
      <c r="G2" s="2"/>
    </row>
    <row r="3" spans="1:8" ht="5.95" customHeight="1" x14ac:dyDescent="0.25">
      <c r="A3" s="3"/>
      <c r="B3" s="2"/>
      <c r="C3" s="2"/>
      <c r="D3" s="2"/>
      <c r="E3" s="2"/>
      <c r="F3" s="2"/>
      <c r="G3" s="2"/>
    </row>
    <row r="4" spans="1:8" ht="16.3" thickBot="1" x14ac:dyDescent="0.3">
      <c r="A4" s="4" t="s">
        <v>146</v>
      </c>
      <c r="B4" s="5"/>
      <c r="C4" s="5"/>
      <c r="D4" s="5"/>
      <c r="E4" s="5"/>
      <c r="F4" s="5"/>
      <c r="G4" s="5"/>
      <c r="H4" s="6"/>
    </row>
    <row r="5" spans="1:8" x14ac:dyDescent="0.25">
      <c r="A5" s="7"/>
      <c r="B5" s="8"/>
      <c r="C5" s="9"/>
      <c r="D5" s="8"/>
      <c r="E5" s="10"/>
      <c r="F5" s="11"/>
      <c r="G5" s="196" t="s">
        <v>1</v>
      </c>
      <c r="H5" s="197"/>
    </row>
    <row r="6" spans="1:8" x14ac:dyDescent="0.25">
      <c r="A6" s="12"/>
      <c r="B6" s="13"/>
      <c r="C6" s="14" t="s">
        <v>231</v>
      </c>
      <c r="D6" s="15" t="s">
        <v>232</v>
      </c>
      <c r="E6" s="15" t="s">
        <v>233</v>
      </c>
      <c r="F6" s="16"/>
      <c r="G6" s="17" t="s">
        <v>234</v>
      </c>
      <c r="H6" s="18" t="s">
        <v>235</v>
      </c>
    </row>
    <row r="7" spans="1:8" ht="12.75" customHeight="1" x14ac:dyDescent="0.25">
      <c r="A7" s="198" t="s">
        <v>26</v>
      </c>
      <c r="B7" s="19" t="s">
        <v>3</v>
      </c>
      <c r="C7" s="20">
        <v>816557.142204843</v>
      </c>
      <c r="D7" s="20">
        <v>848267.68337105052</v>
      </c>
      <c r="E7" s="21">
        <v>939685.23342487274</v>
      </c>
      <c r="F7" s="22" t="s">
        <v>236</v>
      </c>
      <c r="G7" s="23">
        <v>15.078931388385499</v>
      </c>
      <c r="H7" s="24">
        <v>10.776969563490283</v>
      </c>
    </row>
    <row r="8" spans="1:8" ht="12.75" customHeight="1" x14ac:dyDescent="0.25">
      <c r="A8" s="199"/>
      <c r="B8" s="25" t="s">
        <v>237</v>
      </c>
      <c r="C8" s="26">
        <v>621894.16543834819</v>
      </c>
      <c r="D8" s="26">
        <v>622864.88048789231</v>
      </c>
      <c r="E8" s="26">
        <v>698343.05829596415</v>
      </c>
      <c r="F8" s="27"/>
      <c r="G8" s="28">
        <v>12.292910451045998</v>
      </c>
      <c r="H8" s="29">
        <v>12.117905531766297</v>
      </c>
    </row>
    <row r="9" spans="1:8" x14ac:dyDescent="0.25">
      <c r="A9" s="30" t="s">
        <v>34</v>
      </c>
      <c r="B9" s="31" t="s">
        <v>3</v>
      </c>
      <c r="C9" s="20">
        <v>11095.500766879999</v>
      </c>
      <c r="D9" s="20">
        <v>9972.7764000000006</v>
      </c>
      <c r="E9" s="21">
        <v>10293.23930714294</v>
      </c>
      <c r="F9" s="22" t="s">
        <v>236</v>
      </c>
      <c r="G9" s="32">
        <v>-7.2305115072571056</v>
      </c>
      <c r="H9" s="33">
        <v>3.2133770405494886</v>
      </c>
    </row>
    <row r="10" spans="1:8" x14ac:dyDescent="0.25">
      <c r="A10" s="34"/>
      <c r="B10" s="25" t="s">
        <v>237</v>
      </c>
      <c r="C10" s="26">
        <v>8203.8339317120008</v>
      </c>
      <c r="D10" s="26">
        <v>7360.1408807999996</v>
      </c>
      <c r="E10" s="26">
        <v>7601.3125</v>
      </c>
      <c r="F10" s="27"/>
      <c r="G10" s="35">
        <v>-7.34438844968507</v>
      </c>
      <c r="H10" s="29">
        <v>3.2767255831900144</v>
      </c>
    </row>
    <row r="11" spans="1:8" x14ac:dyDescent="0.25">
      <c r="A11" s="30" t="s">
        <v>35</v>
      </c>
      <c r="B11" s="31" t="s">
        <v>3</v>
      </c>
      <c r="C11" s="20">
        <v>3859.4800613503999</v>
      </c>
      <c r="D11" s="20">
        <v>3488.0621120000001</v>
      </c>
      <c r="E11" s="21">
        <v>3691.5858728937292</v>
      </c>
      <c r="F11" s="22" t="s">
        <v>236</v>
      </c>
      <c r="G11" s="37">
        <v>-4.3501763395022266</v>
      </c>
      <c r="H11" s="33">
        <v>5.8348663056642494</v>
      </c>
    </row>
    <row r="12" spans="1:8" x14ac:dyDescent="0.25">
      <c r="A12" s="34"/>
      <c r="B12" s="25" t="s">
        <v>237</v>
      </c>
      <c r="C12" s="26">
        <v>2789.82671453696</v>
      </c>
      <c r="D12" s="26">
        <v>2662.3712704640002</v>
      </c>
      <c r="E12" s="26">
        <v>2766.145</v>
      </c>
      <c r="F12" s="27"/>
      <c r="G12" s="28">
        <v>-0.84885969488934165</v>
      </c>
      <c r="H12" s="29">
        <v>3.8977933200846877</v>
      </c>
    </row>
    <row r="13" spans="1:8" x14ac:dyDescent="0.25">
      <c r="A13" s="30" t="s">
        <v>36</v>
      </c>
      <c r="B13" s="31" t="s">
        <v>3</v>
      </c>
      <c r="C13" s="20">
        <v>162594.069018432</v>
      </c>
      <c r="D13" s="20">
        <v>165320.38095999998</v>
      </c>
      <c r="E13" s="21">
        <v>174558.26127229835</v>
      </c>
      <c r="F13" s="22" t="s">
        <v>236</v>
      </c>
      <c r="G13" s="23">
        <v>7.3583202180087284</v>
      </c>
      <c r="H13" s="24">
        <v>5.5878653670254437</v>
      </c>
    </row>
    <row r="14" spans="1:8" x14ac:dyDescent="0.25">
      <c r="A14" s="34"/>
      <c r="B14" s="25" t="s">
        <v>237</v>
      </c>
      <c r="C14" s="26">
        <v>120532.69072391681</v>
      </c>
      <c r="D14" s="26">
        <v>117916.89870112001</v>
      </c>
      <c r="E14" s="26">
        <v>126096.22500000001</v>
      </c>
      <c r="F14" s="27"/>
      <c r="G14" s="38">
        <v>4.6157886650241693</v>
      </c>
      <c r="H14" s="24">
        <v>6.9365174872957311</v>
      </c>
    </row>
    <row r="15" spans="1:8" x14ac:dyDescent="0.25">
      <c r="A15" s="30" t="s">
        <v>18</v>
      </c>
      <c r="B15" s="31" t="s">
        <v>3</v>
      </c>
      <c r="C15" s="20">
        <v>3290.914329536</v>
      </c>
      <c r="D15" s="20">
        <v>3320.3300800000002</v>
      </c>
      <c r="E15" s="21">
        <v>3562.5373452897334</v>
      </c>
      <c r="F15" s="22" t="s">
        <v>236</v>
      </c>
      <c r="G15" s="37">
        <v>8.2537249090902662</v>
      </c>
      <c r="H15" s="33">
        <v>7.2946743080956935</v>
      </c>
    </row>
    <row r="16" spans="1:8" x14ac:dyDescent="0.25">
      <c r="A16" s="34"/>
      <c r="B16" s="25" t="s">
        <v>237</v>
      </c>
      <c r="C16" s="26">
        <v>2562.7333675263999</v>
      </c>
      <c r="D16" s="26">
        <v>2534.8366217599996</v>
      </c>
      <c r="E16" s="26">
        <v>2737.6750000000002</v>
      </c>
      <c r="F16" s="27"/>
      <c r="G16" s="28">
        <v>6.8263688564080809</v>
      </c>
      <c r="H16" s="29">
        <v>8.0020296574050889</v>
      </c>
    </row>
    <row r="17" spans="1:9" x14ac:dyDescent="0.25">
      <c r="A17" s="30" t="s">
        <v>37</v>
      </c>
      <c r="B17" s="31" t="s">
        <v>3</v>
      </c>
      <c r="C17" s="20">
        <v>3854.2200920256</v>
      </c>
      <c r="D17" s="20">
        <v>3147.0931679999999</v>
      </c>
      <c r="E17" s="21">
        <v>2928.5660868832092</v>
      </c>
      <c r="F17" s="22" t="s">
        <v>236</v>
      </c>
      <c r="G17" s="37">
        <v>-24.016635870317145</v>
      </c>
      <c r="H17" s="33">
        <v>-6.9437753968900182</v>
      </c>
    </row>
    <row r="18" spans="1:9" x14ac:dyDescent="0.25">
      <c r="A18" s="34"/>
      <c r="B18" s="25" t="s">
        <v>237</v>
      </c>
      <c r="C18" s="26">
        <v>2868.74007180544</v>
      </c>
      <c r="D18" s="26">
        <v>2307.0569056960003</v>
      </c>
      <c r="E18" s="26">
        <v>2157.7174999999997</v>
      </c>
      <c r="F18" s="27"/>
      <c r="G18" s="28">
        <v>-24.785186319022586</v>
      </c>
      <c r="H18" s="29">
        <v>-6.4731565713567676</v>
      </c>
    </row>
    <row r="19" spans="1:9" x14ac:dyDescent="0.25">
      <c r="A19" s="30" t="s">
        <v>38</v>
      </c>
      <c r="B19" s="31" t="s">
        <v>3</v>
      </c>
      <c r="C19" s="20">
        <v>5040.1334355839999</v>
      </c>
      <c r="D19" s="20">
        <v>4884.1035200000006</v>
      </c>
      <c r="E19" s="21">
        <v>4900.1903458337629</v>
      </c>
      <c r="F19" s="22" t="s">
        <v>236</v>
      </c>
      <c r="G19" s="23">
        <v>-2.7765750954572184</v>
      </c>
      <c r="H19" s="24">
        <v>0.32937110705964301</v>
      </c>
    </row>
    <row r="20" spans="1:9" x14ac:dyDescent="0.25">
      <c r="A20" s="30"/>
      <c r="B20" s="25" t="s">
        <v>237</v>
      </c>
      <c r="C20" s="26">
        <v>3609.3778575616002</v>
      </c>
      <c r="D20" s="26">
        <v>3562.9521174399997</v>
      </c>
      <c r="E20" s="26">
        <v>3552.5749999999998</v>
      </c>
      <c r="F20" s="27"/>
      <c r="G20" s="38">
        <v>-1.5737575782651589</v>
      </c>
      <c r="H20" s="24">
        <v>-0.2912505444349307</v>
      </c>
    </row>
    <row r="21" spans="1:9" x14ac:dyDescent="0.25">
      <c r="A21" s="39" t="s">
        <v>39</v>
      </c>
      <c r="B21" s="31" t="s">
        <v>3</v>
      </c>
      <c r="C21" s="20">
        <v>249681.80214726401</v>
      </c>
      <c r="D21" s="20">
        <v>256979.17392</v>
      </c>
      <c r="E21" s="21">
        <v>258568.46917662836</v>
      </c>
      <c r="F21" s="22" t="s">
        <v>236</v>
      </c>
      <c r="G21" s="37">
        <v>3.5591969270243169</v>
      </c>
      <c r="H21" s="33">
        <v>0.6184529401293446</v>
      </c>
    </row>
    <row r="22" spans="1:9" x14ac:dyDescent="0.25">
      <c r="A22" s="34"/>
      <c r="B22" s="25" t="s">
        <v>237</v>
      </c>
      <c r="C22" s="26">
        <v>192335.9350087936</v>
      </c>
      <c r="D22" s="26">
        <v>198051.99446623999</v>
      </c>
      <c r="E22" s="26">
        <v>199245.07500000001</v>
      </c>
      <c r="F22" s="27"/>
      <c r="G22" s="28">
        <v>3.5922252338807681</v>
      </c>
      <c r="H22" s="29">
        <v>0.60240773488568777</v>
      </c>
    </row>
    <row r="23" spans="1:9" x14ac:dyDescent="0.25">
      <c r="A23" s="39" t="s">
        <v>40</v>
      </c>
      <c r="B23" s="31" t="s">
        <v>3</v>
      </c>
      <c r="C23" s="20">
        <v>187068.5373476028</v>
      </c>
      <c r="D23" s="20">
        <v>182046.6436795707</v>
      </c>
      <c r="E23" s="21">
        <v>207551.43635938523</v>
      </c>
      <c r="F23" s="22" t="s">
        <v>236</v>
      </c>
      <c r="G23" s="23">
        <v>10.949408864902807</v>
      </c>
      <c r="H23" s="24">
        <v>14.01003180520415</v>
      </c>
    </row>
    <row r="24" spans="1:9" x14ac:dyDescent="0.25">
      <c r="A24" s="34"/>
      <c r="B24" s="25" t="s">
        <v>237</v>
      </c>
      <c r="C24" s="26">
        <v>138987.85627859365</v>
      </c>
      <c r="D24" s="26">
        <v>131988.8420610691</v>
      </c>
      <c r="E24" s="26">
        <v>151702.25</v>
      </c>
      <c r="F24" s="27"/>
      <c r="G24" s="38">
        <v>9.1478450433259724</v>
      </c>
      <c r="H24" s="24">
        <v>14.935662462899572</v>
      </c>
    </row>
    <row r="25" spans="1:9" x14ac:dyDescent="0.25">
      <c r="A25" s="30" t="s">
        <v>41</v>
      </c>
      <c r="B25" s="31" t="s">
        <v>3</v>
      </c>
      <c r="C25" s="20">
        <v>266816.75268407998</v>
      </c>
      <c r="D25" s="20">
        <v>276481.21739999996</v>
      </c>
      <c r="E25" s="21">
        <v>331616.96230855345</v>
      </c>
      <c r="F25" s="22" t="s">
        <v>236</v>
      </c>
      <c r="G25" s="37">
        <v>24.286409669785286</v>
      </c>
      <c r="H25" s="33">
        <v>19.941949557023861</v>
      </c>
    </row>
    <row r="26" spans="1:9" x14ac:dyDescent="0.25">
      <c r="A26" s="34"/>
      <c r="B26" s="25" t="s">
        <v>237</v>
      </c>
      <c r="C26" s="26">
        <v>197912.418760992</v>
      </c>
      <c r="D26" s="26">
        <v>201315.99308280001</v>
      </c>
      <c r="E26" s="26">
        <v>242949.09375</v>
      </c>
      <c r="F26" s="27"/>
      <c r="G26" s="28">
        <v>22.755861037399754</v>
      </c>
      <c r="H26" s="29">
        <v>20.680473533007657</v>
      </c>
    </row>
    <row r="27" spans="1:9" x14ac:dyDescent="0.25">
      <c r="A27" s="30" t="s">
        <v>24</v>
      </c>
      <c r="B27" s="31" t="s">
        <v>3</v>
      </c>
      <c r="C27" s="20">
        <v>182927.66871167999</v>
      </c>
      <c r="D27" s="20">
        <v>160991.0704</v>
      </c>
      <c r="E27" s="21">
        <v>181938.68762340426</v>
      </c>
      <c r="F27" s="22" t="s">
        <v>236</v>
      </c>
      <c r="G27" s="23">
        <v>-0.54064051394789203</v>
      </c>
      <c r="H27" s="24">
        <v>13.011664045314816</v>
      </c>
    </row>
    <row r="28" spans="1:9" ht="14.3" thickBot="1" x14ac:dyDescent="0.3">
      <c r="A28" s="56"/>
      <c r="B28" s="42" t="s">
        <v>237</v>
      </c>
      <c r="C28" s="43">
        <v>135476.557151232</v>
      </c>
      <c r="D28" s="43">
        <v>122013.04234879999</v>
      </c>
      <c r="E28" s="43">
        <v>136824.5</v>
      </c>
      <c r="F28" s="44"/>
      <c r="G28" s="57">
        <v>0.99496390896860021</v>
      </c>
      <c r="H28" s="46">
        <v>12.139241318857003</v>
      </c>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3" thickBot="1" x14ac:dyDescent="0.3">
      <c r="A32" s="4" t="s">
        <v>33</v>
      </c>
      <c r="B32" s="5"/>
      <c r="C32" s="5"/>
      <c r="D32" s="5"/>
      <c r="E32" s="5"/>
      <c r="F32" s="5"/>
      <c r="G32" s="5"/>
      <c r="H32" s="6"/>
    </row>
    <row r="33" spans="1:8" x14ac:dyDescent="0.25">
      <c r="A33" s="7"/>
      <c r="B33" s="8"/>
      <c r="C33" s="202" t="s">
        <v>16</v>
      </c>
      <c r="D33" s="196"/>
      <c r="E33" s="196"/>
      <c r="F33" s="203"/>
      <c r="G33" s="196" t="s">
        <v>1</v>
      </c>
      <c r="H33" s="197"/>
    </row>
    <row r="34" spans="1:8" x14ac:dyDescent="0.25">
      <c r="A34" s="12"/>
      <c r="B34" s="13"/>
      <c r="C34" s="14" t="s">
        <v>231</v>
      </c>
      <c r="D34" s="15" t="s">
        <v>232</v>
      </c>
      <c r="E34" s="15" t="s">
        <v>233</v>
      </c>
      <c r="F34" s="16"/>
      <c r="G34" s="17" t="s">
        <v>234</v>
      </c>
      <c r="H34" s="18" t="s">
        <v>235</v>
      </c>
    </row>
    <row r="35" spans="1:8" ht="12.75" customHeight="1" x14ac:dyDescent="0.25">
      <c r="A35" s="198" t="s">
        <v>26</v>
      </c>
      <c r="B35" s="19" t="s">
        <v>3</v>
      </c>
      <c r="C35" s="80">
        <v>12755.754436418403</v>
      </c>
      <c r="D35" s="80">
        <v>13878.920128694612</v>
      </c>
      <c r="E35" s="83">
        <v>15014.240247762726</v>
      </c>
      <c r="F35" s="22" t="s">
        <v>236</v>
      </c>
      <c r="G35" s="23">
        <v>17.7056231569982</v>
      </c>
      <c r="H35" s="24">
        <v>8.1801761847511756</v>
      </c>
    </row>
    <row r="36" spans="1:8" ht="12.75" customHeight="1" x14ac:dyDescent="0.25">
      <c r="A36" s="199"/>
      <c r="B36" s="25" t="s">
        <v>237</v>
      </c>
      <c r="C36" s="82">
        <v>9728.3698438987503</v>
      </c>
      <c r="D36" s="82">
        <v>10401.324113394447</v>
      </c>
      <c r="E36" s="82">
        <v>11317.622871284517</v>
      </c>
      <c r="F36" s="27"/>
      <c r="G36" s="28">
        <v>16.336272704336821</v>
      </c>
      <c r="H36" s="29">
        <v>8.8094433737536662</v>
      </c>
    </row>
    <row r="37" spans="1:8" x14ac:dyDescent="0.25">
      <c r="A37" s="30" t="s">
        <v>34</v>
      </c>
      <c r="B37" s="31" t="s">
        <v>3</v>
      </c>
      <c r="C37" s="84">
        <v>1136.0989040627933</v>
      </c>
      <c r="D37" s="84">
        <v>1227.2357933286009</v>
      </c>
      <c r="E37" s="83">
        <v>1019.0419136259007</v>
      </c>
      <c r="F37" s="22" t="s">
        <v>236</v>
      </c>
      <c r="G37" s="32">
        <v>-10.303415487708506</v>
      </c>
      <c r="H37" s="33">
        <v>-16.96445628741165</v>
      </c>
    </row>
    <row r="38" spans="1:8" x14ac:dyDescent="0.25">
      <c r="A38" s="34"/>
      <c r="B38" s="25" t="s">
        <v>237</v>
      </c>
      <c r="C38" s="82">
        <v>1009.2450114812327</v>
      </c>
      <c r="D38" s="82">
        <v>1032.3383878316163</v>
      </c>
      <c r="E38" s="82">
        <v>872.64764636351856</v>
      </c>
      <c r="F38" s="27"/>
      <c r="G38" s="35">
        <v>-13.534608897123519</v>
      </c>
      <c r="H38" s="29">
        <v>-15.468836899838763</v>
      </c>
    </row>
    <row r="39" spans="1:8" x14ac:dyDescent="0.25">
      <c r="A39" s="30" t="s">
        <v>35</v>
      </c>
      <c r="B39" s="31" t="s">
        <v>3</v>
      </c>
      <c r="C39" s="84">
        <v>42.049639632358279</v>
      </c>
      <c r="D39" s="84">
        <v>38.949811254098549</v>
      </c>
      <c r="E39" s="83">
        <v>42.86909785676967</v>
      </c>
      <c r="F39" s="22" t="s">
        <v>236</v>
      </c>
      <c r="G39" s="37">
        <v>1.9487877460447862</v>
      </c>
      <c r="H39" s="33">
        <v>10.062402041187582</v>
      </c>
    </row>
    <row r="40" spans="1:8" x14ac:dyDescent="0.25">
      <c r="A40" s="34"/>
      <c r="B40" s="25" t="s">
        <v>237</v>
      </c>
      <c r="C40" s="82">
        <v>40.59982126020379</v>
      </c>
      <c r="D40" s="82">
        <v>34.535737903056138</v>
      </c>
      <c r="E40" s="82">
        <v>39.074525324793669</v>
      </c>
      <c r="F40" s="27"/>
      <c r="G40" s="28">
        <v>-3.7569030800271577</v>
      </c>
      <c r="H40" s="29">
        <v>13.14229171670857</v>
      </c>
    </row>
    <row r="41" spans="1:8" x14ac:dyDescent="0.25">
      <c r="A41" s="30" t="s">
        <v>36</v>
      </c>
      <c r="B41" s="31" t="s">
        <v>3</v>
      </c>
      <c r="C41" s="84">
        <v>2640.3074502237955</v>
      </c>
      <c r="D41" s="84">
        <v>2731.9712473838736</v>
      </c>
      <c r="E41" s="83">
        <v>2967.7188320057676</v>
      </c>
      <c r="F41" s="22" t="s">
        <v>236</v>
      </c>
      <c r="G41" s="23">
        <v>12.400502136757609</v>
      </c>
      <c r="H41" s="24">
        <v>8.6292117769411192</v>
      </c>
    </row>
    <row r="42" spans="1:8" x14ac:dyDescent="0.25">
      <c r="A42" s="34"/>
      <c r="B42" s="25" t="s">
        <v>237</v>
      </c>
      <c r="C42" s="82">
        <v>1958.7549765055317</v>
      </c>
      <c r="D42" s="82">
        <v>1969.9046287089254</v>
      </c>
      <c r="E42" s="82">
        <v>2160.0894476003573</v>
      </c>
      <c r="F42" s="27"/>
      <c r="G42" s="38">
        <v>10.278696085510973</v>
      </c>
      <c r="H42" s="24">
        <v>9.6545191132465504</v>
      </c>
    </row>
    <row r="43" spans="1:8" x14ac:dyDescent="0.25">
      <c r="A43" s="30" t="s">
        <v>18</v>
      </c>
      <c r="B43" s="31" t="s">
        <v>3</v>
      </c>
      <c r="C43" s="84">
        <v>196.17641437935978</v>
      </c>
      <c r="D43" s="84">
        <v>225.16202558953503</v>
      </c>
      <c r="E43" s="83">
        <v>276.44118149014588</v>
      </c>
      <c r="F43" s="22" t="s">
        <v>236</v>
      </c>
      <c r="G43" s="37">
        <v>40.914585662460212</v>
      </c>
      <c r="H43" s="33">
        <v>22.774335843865387</v>
      </c>
    </row>
    <row r="44" spans="1:8" x14ac:dyDescent="0.25">
      <c r="A44" s="34"/>
      <c r="B44" s="25" t="s">
        <v>237</v>
      </c>
      <c r="C44" s="82">
        <v>150.51544340537467</v>
      </c>
      <c r="D44" s="82">
        <v>175.34470816054517</v>
      </c>
      <c r="E44" s="82">
        <v>214.20772874950049</v>
      </c>
      <c r="F44" s="27"/>
      <c r="G44" s="28">
        <v>42.316113152978602</v>
      </c>
      <c r="H44" s="29">
        <v>22.163782983044129</v>
      </c>
    </row>
    <row r="45" spans="1:8" x14ac:dyDescent="0.25">
      <c r="A45" s="30" t="s">
        <v>37</v>
      </c>
      <c r="B45" s="31" t="s">
        <v>3</v>
      </c>
      <c r="C45" s="84">
        <v>141.65397763010603</v>
      </c>
      <c r="D45" s="84">
        <v>128.70785007181718</v>
      </c>
      <c r="E45" s="83">
        <v>115.6473138642688</v>
      </c>
      <c r="F45" s="22" t="s">
        <v>236</v>
      </c>
      <c r="G45" s="37">
        <v>-18.359289446673458</v>
      </c>
      <c r="H45" s="33">
        <v>-10.147427837743223</v>
      </c>
    </row>
    <row r="46" spans="1:8" x14ac:dyDescent="0.25">
      <c r="A46" s="34"/>
      <c r="B46" s="25" t="s">
        <v>237</v>
      </c>
      <c r="C46" s="82">
        <v>108.34590383476862</v>
      </c>
      <c r="D46" s="82">
        <v>89.570686080153564</v>
      </c>
      <c r="E46" s="82">
        <v>82.974524343865752</v>
      </c>
      <c r="F46" s="27"/>
      <c r="G46" s="28">
        <v>-23.417017711712589</v>
      </c>
      <c r="H46" s="29">
        <v>-7.3641969543307368</v>
      </c>
    </row>
    <row r="47" spans="1:8" x14ac:dyDescent="0.25">
      <c r="A47" s="30" t="s">
        <v>38</v>
      </c>
      <c r="B47" s="31" t="s">
        <v>3</v>
      </c>
      <c r="C47" s="84">
        <v>81.554477373717546</v>
      </c>
      <c r="D47" s="84">
        <v>88.781088354513926</v>
      </c>
      <c r="E47" s="83">
        <v>101.13678828511951</v>
      </c>
      <c r="F47" s="22" t="s">
        <v>236</v>
      </c>
      <c r="G47" s="23">
        <v>24.011325364354221</v>
      </c>
      <c r="H47" s="24">
        <v>13.917040396337256</v>
      </c>
    </row>
    <row r="48" spans="1:8" x14ac:dyDescent="0.25">
      <c r="A48" s="30"/>
      <c r="B48" s="25" t="s">
        <v>237</v>
      </c>
      <c r="C48" s="82">
        <v>55.932085238208934</v>
      </c>
      <c r="D48" s="82">
        <v>62.664274366666383</v>
      </c>
      <c r="E48" s="82">
        <v>70.697910377870542</v>
      </c>
      <c r="F48" s="27"/>
      <c r="G48" s="38">
        <v>26.399561319367052</v>
      </c>
      <c r="H48" s="24">
        <v>12.820121340904848</v>
      </c>
    </row>
    <row r="49" spans="1:9" x14ac:dyDescent="0.25">
      <c r="A49" s="39" t="s">
        <v>39</v>
      </c>
      <c r="B49" s="31" t="s">
        <v>3</v>
      </c>
      <c r="C49" s="84">
        <v>1471.1466948414441</v>
      </c>
      <c r="D49" s="84">
        <v>1584.2496189421051</v>
      </c>
      <c r="E49" s="83">
        <v>1609.0280005617567</v>
      </c>
      <c r="F49" s="22" t="s">
        <v>236</v>
      </c>
      <c r="G49" s="37">
        <v>9.3723696082648615</v>
      </c>
      <c r="H49" s="33">
        <v>1.564045294591736</v>
      </c>
    </row>
    <row r="50" spans="1:9" x14ac:dyDescent="0.25">
      <c r="A50" s="34"/>
      <c r="B50" s="25" t="s">
        <v>237</v>
      </c>
      <c r="C50" s="82">
        <v>1136.3128563429691</v>
      </c>
      <c r="D50" s="82">
        <v>1216.172340334608</v>
      </c>
      <c r="E50" s="82">
        <v>1237.7229174386357</v>
      </c>
      <c r="F50" s="27"/>
      <c r="G50" s="28">
        <v>8.9244841796508183</v>
      </c>
      <c r="H50" s="29">
        <v>1.7720002658585798</v>
      </c>
    </row>
    <row r="51" spans="1:9" x14ac:dyDescent="0.25">
      <c r="A51" s="39" t="s">
        <v>40</v>
      </c>
      <c r="B51" s="31" t="s">
        <v>3</v>
      </c>
      <c r="C51" s="84">
        <v>679.94174092724461</v>
      </c>
      <c r="D51" s="84">
        <v>713.86243103917968</v>
      </c>
      <c r="E51" s="83">
        <v>809.2617049700267</v>
      </c>
      <c r="F51" s="22" t="s">
        <v>236</v>
      </c>
      <c r="G51" s="23">
        <v>19.019271249096576</v>
      </c>
      <c r="H51" s="24">
        <v>13.363817702519086</v>
      </c>
    </row>
    <row r="52" spans="1:9" x14ac:dyDescent="0.25">
      <c r="A52" s="34"/>
      <c r="B52" s="25" t="s">
        <v>237</v>
      </c>
      <c r="C52" s="82">
        <v>493.13607389882162</v>
      </c>
      <c r="D52" s="82">
        <v>540.68077239903926</v>
      </c>
      <c r="E52" s="82">
        <v>604.01416008782508</v>
      </c>
      <c r="F52" s="27"/>
      <c r="G52" s="38">
        <v>22.484278084217507</v>
      </c>
      <c r="H52" s="24">
        <v>11.713637865791142</v>
      </c>
    </row>
    <row r="53" spans="1:9" x14ac:dyDescent="0.25">
      <c r="A53" s="30" t="s">
        <v>41</v>
      </c>
      <c r="B53" s="31" t="s">
        <v>3</v>
      </c>
      <c r="C53" s="84">
        <v>5704.8063058059452</v>
      </c>
      <c r="D53" s="84">
        <v>6408.954040429473</v>
      </c>
      <c r="E53" s="83">
        <v>7270.3423236758508</v>
      </c>
      <c r="F53" s="22" t="s">
        <v>236</v>
      </c>
      <c r="G53" s="37">
        <v>27.442404420928625</v>
      </c>
      <c r="H53" s="33">
        <v>13.440387898126588</v>
      </c>
    </row>
    <row r="54" spans="1:9" x14ac:dyDescent="0.25">
      <c r="A54" s="34"/>
      <c r="B54" s="25" t="s">
        <v>237</v>
      </c>
      <c r="C54" s="82">
        <v>4287.7116101363317</v>
      </c>
      <c r="D54" s="82">
        <v>4730.3899165541761</v>
      </c>
      <c r="E54" s="82">
        <v>5398.5082533339983</v>
      </c>
      <c r="F54" s="27"/>
      <c r="G54" s="28">
        <v>25.906514807845198</v>
      </c>
      <c r="H54" s="29">
        <v>14.123959093556266</v>
      </c>
    </row>
    <row r="55" spans="1:9" x14ac:dyDescent="0.25">
      <c r="A55" s="30" t="s">
        <v>24</v>
      </c>
      <c r="B55" s="31" t="s">
        <v>3</v>
      </c>
      <c r="C55" s="84">
        <v>662.01883154164057</v>
      </c>
      <c r="D55" s="84">
        <v>731.04622230141717</v>
      </c>
      <c r="E55" s="83">
        <v>853.81840809910295</v>
      </c>
      <c r="F55" s="22" t="s">
        <v>236</v>
      </c>
      <c r="G55" s="23">
        <v>28.971921555587699</v>
      </c>
      <c r="H55" s="24">
        <v>16.794038742336269</v>
      </c>
    </row>
    <row r="56" spans="1:9" ht="14.3" thickBot="1" x14ac:dyDescent="0.3">
      <c r="A56" s="56"/>
      <c r="B56" s="42" t="s">
        <v>237</v>
      </c>
      <c r="C56" s="86">
        <v>487.81606179530434</v>
      </c>
      <c r="D56" s="86">
        <v>549.72266105566018</v>
      </c>
      <c r="E56" s="86">
        <v>637.68575766415381</v>
      </c>
      <c r="F56" s="44"/>
      <c r="G56" s="57">
        <v>30.722583286266882</v>
      </c>
      <c r="H56" s="46">
        <v>16.001359019759832</v>
      </c>
    </row>
    <row r="57" spans="1:9" x14ac:dyDescent="0.25">
      <c r="A57" s="58"/>
      <c r="B57" s="58"/>
      <c r="C57" s="64"/>
      <c r="D57" s="64"/>
      <c r="E57" s="21"/>
      <c r="F57" s="59"/>
      <c r="G57" s="38"/>
      <c r="H57" s="60"/>
      <c r="I57" s="61"/>
    </row>
    <row r="58" spans="1:9" x14ac:dyDescent="0.25">
      <c r="A58" s="65"/>
      <c r="B58" s="62"/>
      <c r="C58" s="21"/>
      <c r="D58" s="21"/>
      <c r="E58" s="21"/>
      <c r="F58" s="63"/>
      <c r="G58" s="38"/>
      <c r="H58" s="60"/>
      <c r="I58" s="61"/>
    </row>
    <row r="59" spans="1:9" x14ac:dyDescent="0.25">
      <c r="A59" s="47"/>
      <c r="B59" s="48"/>
      <c r="C59" s="49"/>
      <c r="D59" s="49"/>
      <c r="E59" s="49"/>
      <c r="F59" s="49"/>
      <c r="G59" s="50"/>
      <c r="H59" s="51"/>
      <c r="I59" s="61"/>
    </row>
    <row r="60" spans="1:9" x14ac:dyDescent="0.25">
      <c r="A60" s="52"/>
      <c r="B60" s="52"/>
      <c r="C60" s="52"/>
      <c r="D60" s="52"/>
      <c r="E60" s="52"/>
      <c r="F60" s="52"/>
      <c r="G60" s="52"/>
      <c r="H60" s="52"/>
    </row>
    <row r="61" spans="1:9" ht="12.75" customHeight="1" x14ac:dyDescent="0.25">
      <c r="A61" s="54" t="s">
        <v>238</v>
      </c>
      <c r="H61" s="193">
        <v>12</v>
      </c>
    </row>
    <row r="62" spans="1:9" ht="12.75" customHeight="1" x14ac:dyDescent="0.25">
      <c r="A62" s="54" t="s">
        <v>239</v>
      </c>
      <c r="H62" s="194"/>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28" display="Tilbake til innholdsfortegnelsen" xr:uid="{00000000-0004-0000-0700-000000000000}"/>
  </hyperlinks>
  <pageMargins left="0.78740157480314965" right="0.78740157480314965" top="0.98425196850393704" bottom="0.19685039370078741" header="3.937007874015748E-2" footer="3.937007874015748E-2"/>
  <pageSetup paperSize="9" scale="95"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68"/>
  <sheetViews>
    <sheetView showGridLines="0" showRowColHeaders="0" zoomScale="80" zoomScaleNormal="80" workbookViewId="0"/>
  </sheetViews>
  <sheetFormatPr defaultColWidth="11.5" defaultRowHeight="13.6" x14ac:dyDescent="0.25"/>
  <cols>
    <col min="1" max="1" width="26.375" style="1" customWidth="1"/>
    <col min="2" max="2" width="8.125" style="1" customWidth="1"/>
    <col min="3" max="4" width="10.5" style="1" customWidth="1"/>
    <col min="5" max="5" width="9.875" style="1" customWidth="1"/>
    <col min="6" max="6" width="1.625" style="1" customWidth="1"/>
    <col min="7" max="7" width="7.625" style="1" customWidth="1"/>
    <col min="8" max="8" width="8.875" style="1" customWidth="1"/>
    <col min="9" max="16384" width="11.5" style="1"/>
  </cols>
  <sheetData>
    <row r="1" spans="1:8" ht="5.3" customHeight="1" x14ac:dyDescent="0.25"/>
    <row r="2" spans="1:8" x14ac:dyDescent="0.25">
      <c r="A2" s="92" t="s">
        <v>0</v>
      </c>
      <c r="B2" s="2"/>
      <c r="C2" s="2"/>
      <c r="D2" s="2"/>
      <c r="E2" s="2"/>
      <c r="F2" s="2"/>
      <c r="G2" s="2"/>
    </row>
    <row r="3" spans="1:8" ht="5.95" customHeight="1" x14ac:dyDescent="0.25">
      <c r="A3" s="3"/>
      <c r="B3" s="2"/>
      <c r="C3" s="2"/>
      <c r="D3" s="2"/>
      <c r="E3" s="2"/>
      <c r="F3" s="2"/>
      <c r="G3" s="2"/>
    </row>
    <row r="4" spans="1:8" ht="16.3" thickBot="1" x14ac:dyDescent="0.3">
      <c r="A4" s="4" t="s">
        <v>147</v>
      </c>
      <c r="B4" s="5"/>
      <c r="C4" s="5"/>
      <c r="D4" s="5"/>
      <c r="E4" s="5"/>
      <c r="F4" s="5"/>
      <c r="G4" s="5"/>
      <c r="H4" s="6"/>
    </row>
    <row r="5" spans="1:8" x14ac:dyDescent="0.25">
      <c r="A5" s="7"/>
      <c r="B5" s="8"/>
      <c r="C5" s="9"/>
      <c r="D5" s="8"/>
      <c r="E5" s="10"/>
      <c r="F5" s="11"/>
      <c r="G5" s="196" t="s">
        <v>1</v>
      </c>
      <c r="H5" s="197"/>
    </row>
    <row r="6" spans="1:8" x14ac:dyDescent="0.25">
      <c r="A6" s="12"/>
      <c r="B6" s="13"/>
      <c r="C6" s="14" t="s">
        <v>231</v>
      </c>
      <c r="D6" s="15" t="s">
        <v>232</v>
      </c>
      <c r="E6" s="15" t="s">
        <v>233</v>
      </c>
      <c r="F6" s="16"/>
      <c r="G6" s="17" t="s">
        <v>234</v>
      </c>
      <c r="H6" s="18" t="s">
        <v>235</v>
      </c>
    </row>
    <row r="7" spans="1:8" x14ac:dyDescent="0.25">
      <c r="A7" s="198" t="s">
        <v>17</v>
      </c>
      <c r="B7" s="19" t="s">
        <v>3</v>
      </c>
      <c r="C7" s="20">
        <v>334517.38835614501</v>
      </c>
      <c r="D7" s="20">
        <v>312410.11965267966</v>
      </c>
      <c r="E7" s="21">
        <v>399732.28567914164</v>
      </c>
      <c r="F7" s="22" t="s">
        <v>236</v>
      </c>
      <c r="G7" s="23">
        <v>19.495218961103859</v>
      </c>
      <c r="H7" s="24">
        <v>27.95113235241611</v>
      </c>
    </row>
    <row r="8" spans="1:8" x14ac:dyDescent="0.25">
      <c r="A8" s="199"/>
      <c r="B8" s="25" t="s">
        <v>237</v>
      </c>
      <c r="C8" s="26">
        <v>254171.0919828389</v>
      </c>
      <c r="D8" s="26">
        <v>234783.33973950977</v>
      </c>
      <c r="E8" s="26">
        <v>301504.66216711141</v>
      </c>
      <c r="F8" s="27"/>
      <c r="G8" s="28">
        <v>18.622719765262843</v>
      </c>
      <c r="H8" s="29">
        <v>28.418252547914335</v>
      </c>
    </row>
    <row r="9" spans="1:8" x14ac:dyDescent="0.25">
      <c r="A9" s="30" t="s">
        <v>18</v>
      </c>
      <c r="B9" s="31" t="s">
        <v>3</v>
      </c>
      <c r="C9" s="20">
        <v>23536.523630187305</v>
      </c>
      <c r="D9" s="20">
        <v>22734.102206588694</v>
      </c>
      <c r="E9" s="21">
        <v>24563.922423368185</v>
      </c>
      <c r="F9" s="22" t="s">
        <v>236</v>
      </c>
      <c r="G9" s="32">
        <v>4.3651254931427843</v>
      </c>
      <c r="H9" s="33">
        <v>8.0487903157626448</v>
      </c>
    </row>
    <row r="10" spans="1:8" x14ac:dyDescent="0.25">
      <c r="A10" s="34"/>
      <c r="B10" s="25" t="s">
        <v>237</v>
      </c>
      <c r="C10" s="26">
        <v>17933.970971275827</v>
      </c>
      <c r="D10" s="26">
        <v>17508.32665494152</v>
      </c>
      <c r="E10" s="26">
        <v>18850.150552173913</v>
      </c>
      <c r="F10" s="27"/>
      <c r="G10" s="35">
        <v>5.1086264295035164</v>
      </c>
      <c r="H10" s="29">
        <v>7.6639185667333862</v>
      </c>
    </row>
    <row r="11" spans="1:8" x14ac:dyDescent="0.25">
      <c r="A11" s="30" t="s">
        <v>19</v>
      </c>
      <c r="B11" s="31" t="s">
        <v>3</v>
      </c>
      <c r="C11" s="20">
        <v>65001.412100624351</v>
      </c>
      <c r="D11" s="20">
        <v>60163.007355295653</v>
      </c>
      <c r="E11" s="21">
        <v>72842.159763385818</v>
      </c>
      <c r="F11" s="22" t="s">
        <v>236</v>
      </c>
      <c r="G11" s="37">
        <v>12.062426660245066</v>
      </c>
      <c r="H11" s="33">
        <v>21.074665256031494</v>
      </c>
    </row>
    <row r="12" spans="1:8" x14ac:dyDescent="0.25">
      <c r="A12" s="34"/>
      <c r="B12" s="25" t="s">
        <v>237</v>
      </c>
      <c r="C12" s="26">
        <v>50444.903237586084</v>
      </c>
      <c r="D12" s="26">
        <v>42544.755516471741</v>
      </c>
      <c r="E12" s="26">
        <v>53081.835173913045</v>
      </c>
      <c r="F12" s="27"/>
      <c r="G12" s="28">
        <v>5.2273505688126676</v>
      </c>
      <c r="H12" s="29">
        <v>24.767047147237079</v>
      </c>
    </row>
    <row r="13" spans="1:8" x14ac:dyDescent="0.25">
      <c r="A13" s="30" t="s">
        <v>20</v>
      </c>
      <c r="B13" s="31" t="s">
        <v>3</v>
      </c>
      <c r="C13" s="20">
        <v>31805.624809821118</v>
      </c>
      <c r="D13" s="20">
        <v>26862.717788236027</v>
      </c>
      <c r="E13" s="21">
        <v>29659.219315566843</v>
      </c>
      <c r="F13" s="22" t="s">
        <v>236</v>
      </c>
      <c r="G13" s="23">
        <v>-6.7485091303457097</v>
      </c>
      <c r="H13" s="24">
        <v>10.410344736434254</v>
      </c>
    </row>
    <row r="14" spans="1:8" x14ac:dyDescent="0.25">
      <c r="A14" s="34"/>
      <c r="B14" s="25" t="s">
        <v>237</v>
      </c>
      <c r="C14" s="26">
        <v>24563.049160755279</v>
      </c>
      <c r="D14" s="26">
        <v>19995.78834117702</v>
      </c>
      <c r="E14" s="26">
        <v>22346.68341614907</v>
      </c>
      <c r="F14" s="27"/>
      <c r="G14" s="38">
        <v>-9.0231702509773442</v>
      </c>
      <c r="H14" s="24">
        <v>11.756951188220398</v>
      </c>
    </row>
    <row r="15" spans="1:8" x14ac:dyDescent="0.25">
      <c r="A15" s="30" t="s">
        <v>21</v>
      </c>
      <c r="B15" s="31" t="s">
        <v>3</v>
      </c>
      <c r="C15" s="20">
        <v>7423.0572361978257</v>
      </c>
      <c r="D15" s="20">
        <v>4938.2510215688408</v>
      </c>
      <c r="E15" s="21">
        <v>4874.1731590021227</v>
      </c>
      <c r="F15" s="22" t="s">
        <v>236</v>
      </c>
      <c r="G15" s="37">
        <v>-34.337389516092031</v>
      </c>
      <c r="H15" s="33">
        <v>-1.2975821254700151</v>
      </c>
    </row>
    <row r="16" spans="1:8" x14ac:dyDescent="0.25">
      <c r="A16" s="34"/>
      <c r="B16" s="25" t="s">
        <v>237</v>
      </c>
      <c r="C16" s="26">
        <v>4961.097671886957</v>
      </c>
      <c r="D16" s="26">
        <v>3985.1882661766303</v>
      </c>
      <c r="E16" s="26">
        <v>3679.0326630434784</v>
      </c>
      <c r="F16" s="27"/>
      <c r="G16" s="28">
        <v>-25.842365815705548</v>
      </c>
      <c r="H16" s="29">
        <v>-7.6823372619953147</v>
      </c>
    </row>
    <row r="17" spans="1:8" x14ac:dyDescent="0.25">
      <c r="A17" s="30" t="s">
        <v>22</v>
      </c>
      <c r="B17" s="31" t="s">
        <v>3</v>
      </c>
      <c r="C17" s="20">
        <v>6049.0572361978266</v>
      </c>
      <c r="D17" s="20">
        <v>6123.2510215688408</v>
      </c>
      <c r="E17" s="21">
        <v>8256.2858861525056</v>
      </c>
      <c r="F17" s="22" t="s">
        <v>236</v>
      </c>
      <c r="G17" s="37">
        <v>36.488804184998031</v>
      </c>
      <c r="H17" s="33">
        <v>34.835006062468409</v>
      </c>
    </row>
    <row r="18" spans="1:8" x14ac:dyDescent="0.25">
      <c r="A18" s="34"/>
      <c r="B18" s="25" t="s">
        <v>237</v>
      </c>
      <c r="C18" s="26">
        <v>4654.097671886957</v>
      </c>
      <c r="D18" s="26">
        <v>4704.1882661766303</v>
      </c>
      <c r="E18" s="26">
        <v>6346.0326630434784</v>
      </c>
      <c r="F18" s="27"/>
      <c r="G18" s="28">
        <v>36.353663168193521</v>
      </c>
      <c r="H18" s="29">
        <v>34.90175783719792</v>
      </c>
    </row>
    <row r="19" spans="1:8" x14ac:dyDescent="0.25">
      <c r="A19" s="30" t="s">
        <v>189</v>
      </c>
      <c r="B19" s="31" t="s">
        <v>3</v>
      </c>
      <c r="C19" s="20">
        <v>141955.06202455278</v>
      </c>
      <c r="D19" s="20">
        <v>123601.29447059006</v>
      </c>
      <c r="E19" s="21">
        <v>182554.48646405412</v>
      </c>
      <c r="F19" s="22" t="s">
        <v>236</v>
      </c>
      <c r="G19" s="23">
        <v>28.600194921178087</v>
      </c>
      <c r="H19" s="24">
        <v>47.69625775035189</v>
      </c>
    </row>
    <row r="20" spans="1:8" x14ac:dyDescent="0.25">
      <c r="A20" s="30"/>
      <c r="B20" s="25" t="s">
        <v>237</v>
      </c>
      <c r="C20" s="26">
        <v>106079.1229018882</v>
      </c>
      <c r="D20" s="26">
        <v>92419.470852942555</v>
      </c>
      <c r="E20" s="26">
        <v>136472.70854037267</v>
      </c>
      <c r="F20" s="27"/>
      <c r="G20" s="38">
        <v>28.651807072910344</v>
      </c>
      <c r="H20" s="24">
        <v>47.666619686156196</v>
      </c>
    </row>
    <row r="21" spans="1:8" x14ac:dyDescent="0.25">
      <c r="A21" s="39" t="s">
        <v>12</v>
      </c>
      <c r="B21" s="31" t="s">
        <v>3</v>
      </c>
      <c r="C21" s="20">
        <v>1743.0343417186957</v>
      </c>
      <c r="D21" s="20">
        <v>1834.7506129413043</v>
      </c>
      <c r="E21" s="21">
        <v>2007.2880423906461</v>
      </c>
      <c r="F21" s="22" t="s">
        <v>236</v>
      </c>
      <c r="G21" s="37">
        <v>15.160556183384571</v>
      </c>
      <c r="H21" s="33">
        <v>9.4038627501939089</v>
      </c>
    </row>
    <row r="22" spans="1:8" x14ac:dyDescent="0.25">
      <c r="A22" s="34"/>
      <c r="B22" s="25" t="s">
        <v>237</v>
      </c>
      <c r="C22" s="26">
        <v>1349.658603132174</v>
      </c>
      <c r="D22" s="26">
        <v>1417.3129597059783</v>
      </c>
      <c r="E22" s="26">
        <v>1551.8195978260869</v>
      </c>
      <c r="F22" s="27"/>
      <c r="G22" s="28">
        <v>14.978676401925256</v>
      </c>
      <c r="H22" s="29">
        <v>9.4902567001159781</v>
      </c>
    </row>
    <row r="23" spans="1:8" x14ac:dyDescent="0.25">
      <c r="A23" s="39" t="s">
        <v>23</v>
      </c>
      <c r="B23" s="31" t="s">
        <v>3</v>
      </c>
      <c r="C23" s="20">
        <v>12473.057236197827</v>
      </c>
      <c r="D23" s="20">
        <v>12935.251021568842</v>
      </c>
      <c r="E23" s="21">
        <v>13419.23622082769</v>
      </c>
      <c r="F23" s="22" t="s">
        <v>236</v>
      </c>
      <c r="G23" s="23">
        <v>7.5857824325857592</v>
      </c>
      <c r="H23" s="24">
        <v>3.7415988174626733</v>
      </c>
    </row>
    <row r="24" spans="1:8" x14ac:dyDescent="0.25">
      <c r="A24" s="34"/>
      <c r="B24" s="25" t="s">
        <v>237</v>
      </c>
      <c r="C24" s="26">
        <v>8962.097671886957</v>
      </c>
      <c r="D24" s="26">
        <v>9403.1882661766303</v>
      </c>
      <c r="E24" s="26">
        <v>9717.0326630434793</v>
      </c>
      <c r="F24" s="27"/>
      <c r="G24" s="28">
        <v>8.4236416383260746</v>
      </c>
      <c r="H24" s="29">
        <v>3.3376381285031869</v>
      </c>
    </row>
    <row r="25" spans="1:8" x14ac:dyDescent="0.25">
      <c r="A25" s="30" t="s">
        <v>24</v>
      </c>
      <c r="B25" s="31" t="s">
        <v>3</v>
      </c>
      <c r="C25" s="20">
        <v>51892.114472395653</v>
      </c>
      <c r="D25" s="20">
        <v>59331.502043137683</v>
      </c>
      <c r="E25" s="21">
        <v>73438.076434817616</v>
      </c>
      <c r="F25" s="22" t="s">
        <v>236</v>
      </c>
      <c r="G25" s="23">
        <v>41.520686103248835</v>
      </c>
      <c r="H25" s="24">
        <v>23.775859207851454</v>
      </c>
    </row>
    <row r="26" spans="1:8" ht="14.3" thickBot="1" x14ac:dyDescent="0.3">
      <c r="A26" s="41"/>
      <c r="B26" s="42" t="s">
        <v>237</v>
      </c>
      <c r="C26" s="43">
        <v>39540.195343773914</v>
      </c>
      <c r="D26" s="43">
        <v>47366.376532353264</v>
      </c>
      <c r="E26" s="43">
        <v>57710.065326086959</v>
      </c>
      <c r="F26" s="44"/>
      <c r="G26" s="45">
        <v>45.952908993845199</v>
      </c>
      <c r="H26" s="46">
        <v>21.83761889970306</v>
      </c>
    </row>
    <row r="31" spans="1:8" x14ac:dyDescent="0.25">
      <c r="A31" s="47"/>
      <c r="B31" s="48"/>
      <c r="C31" s="49"/>
      <c r="D31" s="55"/>
      <c r="E31" s="49"/>
      <c r="F31" s="49"/>
      <c r="G31" s="50"/>
      <c r="H31" s="51"/>
    </row>
    <row r="32" spans="1:8" ht="16.3" thickBot="1" x14ac:dyDescent="0.3">
      <c r="A32" s="4" t="s">
        <v>25</v>
      </c>
      <c r="B32" s="5"/>
      <c r="C32" s="5"/>
      <c r="D32" s="5"/>
      <c r="E32" s="5"/>
      <c r="F32" s="5"/>
      <c r="G32" s="5"/>
      <c r="H32" s="6"/>
    </row>
    <row r="33" spans="1:8" x14ac:dyDescent="0.25">
      <c r="A33" s="7"/>
      <c r="B33" s="8"/>
      <c r="C33" s="202" t="s">
        <v>16</v>
      </c>
      <c r="D33" s="196"/>
      <c r="E33" s="196"/>
      <c r="F33" s="203"/>
      <c r="G33" s="196" t="s">
        <v>1</v>
      </c>
      <c r="H33" s="197"/>
    </row>
    <row r="34" spans="1:8" x14ac:dyDescent="0.25">
      <c r="A34" s="12"/>
      <c r="B34" s="13"/>
      <c r="C34" s="14" t="s">
        <v>231</v>
      </c>
      <c r="D34" s="15" t="s">
        <v>232</v>
      </c>
      <c r="E34" s="15" t="s">
        <v>233</v>
      </c>
      <c r="F34" s="16"/>
      <c r="G34" s="17" t="s">
        <v>234</v>
      </c>
      <c r="H34" s="18" t="s">
        <v>235</v>
      </c>
    </row>
    <row r="35" spans="1:8" x14ac:dyDescent="0.25">
      <c r="A35" s="198" t="s">
        <v>17</v>
      </c>
      <c r="B35" s="19" t="s">
        <v>3</v>
      </c>
      <c r="C35" s="80">
        <v>7461.0390863119956</v>
      </c>
      <c r="D35" s="80">
        <v>7171.790369567203</v>
      </c>
      <c r="E35" s="83">
        <v>9173.7349622066504</v>
      </c>
      <c r="F35" s="22" t="s">
        <v>236</v>
      </c>
      <c r="G35" s="23">
        <v>22.955192381135788</v>
      </c>
      <c r="H35" s="24">
        <v>27.914153781383575</v>
      </c>
    </row>
    <row r="36" spans="1:8" x14ac:dyDescent="0.25">
      <c r="A36" s="199"/>
      <c r="B36" s="25" t="s">
        <v>237</v>
      </c>
      <c r="C36" s="82">
        <v>5586.4400612353566</v>
      </c>
      <c r="D36" s="82">
        <v>5230.8983176788379</v>
      </c>
      <c r="E36" s="82">
        <v>6749.2810834624843</v>
      </c>
      <c r="F36" s="27"/>
      <c r="G36" s="28">
        <v>20.815421081775341</v>
      </c>
      <c r="H36" s="29">
        <v>29.027189472446366</v>
      </c>
    </row>
    <row r="37" spans="1:8" x14ac:dyDescent="0.25">
      <c r="A37" s="30" t="s">
        <v>18</v>
      </c>
      <c r="B37" s="31" t="s">
        <v>3</v>
      </c>
      <c r="C37" s="80">
        <v>2583.8458609515296</v>
      </c>
      <c r="D37" s="80">
        <v>2543.9606140869664</v>
      </c>
      <c r="E37" s="83">
        <v>3064.9023362158359</v>
      </c>
      <c r="F37" s="22" t="s">
        <v>236</v>
      </c>
      <c r="G37" s="32">
        <v>18.617847238269533</v>
      </c>
      <c r="H37" s="33">
        <v>20.477585983218404</v>
      </c>
    </row>
    <row r="38" spans="1:8" x14ac:dyDescent="0.25">
      <c r="A38" s="34"/>
      <c r="B38" s="25" t="s">
        <v>237</v>
      </c>
      <c r="C38" s="82">
        <v>1916.5078600222307</v>
      </c>
      <c r="D38" s="82">
        <v>1896.9820132692039</v>
      </c>
      <c r="E38" s="82">
        <v>2281.3845507994029</v>
      </c>
      <c r="F38" s="27"/>
      <c r="G38" s="35">
        <v>19.038622193437789</v>
      </c>
      <c r="H38" s="29">
        <v>20.263899965383999</v>
      </c>
    </row>
    <row r="39" spans="1:8" x14ac:dyDescent="0.25">
      <c r="A39" s="30" t="s">
        <v>19</v>
      </c>
      <c r="B39" s="31" t="s">
        <v>3</v>
      </c>
      <c r="C39" s="80">
        <v>2736.5334327549722</v>
      </c>
      <c r="D39" s="80">
        <v>2463.2625002424429</v>
      </c>
      <c r="E39" s="83">
        <v>3083.492771831839</v>
      </c>
      <c r="F39" s="22" t="s">
        <v>236</v>
      </c>
      <c r="G39" s="37">
        <v>12.678790433324608</v>
      </c>
      <c r="H39" s="33">
        <v>25.179219491562549</v>
      </c>
    </row>
    <row r="40" spans="1:8" x14ac:dyDescent="0.25">
      <c r="A40" s="34"/>
      <c r="B40" s="25" t="s">
        <v>237</v>
      </c>
      <c r="C40" s="82">
        <v>2061.1185212130249</v>
      </c>
      <c r="D40" s="82">
        <v>1730.2036789055601</v>
      </c>
      <c r="E40" s="82">
        <v>2215.6513376685102</v>
      </c>
      <c r="F40" s="27"/>
      <c r="G40" s="28">
        <v>7.497522091283642</v>
      </c>
      <c r="H40" s="29">
        <v>28.057255031963621</v>
      </c>
    </row>
    <row r="41" spans="1:8" x14ac:dyDescent="0.25">
      <c r="A41" s="30" t="s">
        <v>20</v>
      </c>
      <c r="B41" s="31" t="s">
        <v>3</v>
      </c>
      <c r="C41" s="80">
        <v>423.23251028523339</v>
      </c>
      <c r="D41" s="80">
        <v>364.95528732458081</v>
      </c>
      <c r="E41" s="83">
        <v>377.40220385244413</v>
      </c>
      <c r="F41" s="22" t="s">
        <v>236</v>
      </c>
      <c r="G41" s="23">
        <v>-10.82863563621386</v>
      </c>
      <c r="H41" s="24">
        <v>3.41053190902079</v>
      </c>
    </row>
    <row r="42" spans="1:8" x14ac:dyDescent="0.25">
      <c r="A42" s="34"/>
      <c r="B42" s="25" t="s">
        <v>237</v>
      </c>
      <c r="C42" s="82">
        <v>321.58625620925062</v>
      </c>
      <c r="D42" s="82">
        <v>275.26589163133877</v>
      </c>
      <c r="E42" s="82">
        <v>285.35344416995832</v>
      </c>
      <c r="F42" s="27"/>
      <c r="G42" s="38">
        <v>-11.266903152638548</v>
      </c>
      <c r="H42" s="24">
        <v>3.6646576438644729</v>
      </c>
    </row>
    <row r="43" spans="1:8" x14ac:dyDescent="0.25">
      <c r="A43" s="30" t="s">
        <v>21</v>
      </c>
      <c r="B43" s="31" t="s">
        <v>3</v>
      </c>
      <c r="C43" s="80">
        <v>44.045885796575199</v>
      </c>
      <c r="D43" s="80">
        <v>41.787927755822388</v>
      </c>
      <c r="E43" s="83">
        <v>46.118271400211079</v>
      </c>
      <c r="F43" s="22" t="s">
        <v>236</v>
      </c>
      <c r="G43" s="37">
        <v>4.7050605661721505</v>
      </c>
      <c r="H43" s="33">
        <v>10.36266662872589</v>
      </c>
    </row>
    <row r="44" spans="1:8" x14ac:dyDescent="0.25">
      <c r="A44" s="34"/>
      <c r="B44" s="25" t="s">
        <v>237</v>
      </c>
      <c r="C44" s="82">
        <v>33.692511855370263</v>
      </c>
      <c r="D44" s="82">
        <v>31.336081969237238</v>
      </c>
      <c r="E44" s="82">
        <v>34.811754353732034</v>
      </c>
      <c r="F44" s="27"/>
      <c r="G44" s="28">
        <v>3.3219324910124755</v>
      </c>
      <c r="H44" s="29">
        <v>11.091598457991253</v>
      </c>
    </row>
    <row r="45" spans="1:8" x14ac:dyDescent="0.25">
      <c r="A45" s="30" t="s">
        <v>22</v>
      </c>
      <c r="B45" s="31" t="s">
        <v>3</v>
      </c>
      <c r="C45" s="80">
        <v>29.401197695459174</v>
      </c>
      <c r="D45" s="80">
        <v>29.436083674779383</v>
      </c>
      <c r="E45" s="83">
        <v>41.315123135862265</v>
      </c>
      <c r="F45" s="22" t="s">
        <v>236</v>
      </c>
      <c r="G45" s="37">
        <v>40.521905140766137</v>
      </c>
      <c r="H45" s="33">
        <v>40.355366536958002</v>
      </c>
    </row>
    <row r="46" spans="1:8" x14ac:dyDescent="0.25">
      <c r="A46" s="34"/>
      <c r="B46" s="25" t="s">
        <v>237</v>
      </c>
      <c r="C46" s="82">
        <v>23.738754746978319</v>
      </c>
      <c r="D46" s="82">
        <v>23.373769194213367</v>
      </c>
      <c r="E46" s="82">
        <v>32.988236720468983</v>
      </c>
      <c r="F46" s="27"/>
      <c r="G46" s="28">
        <v>38.963635928156776</v>
      </c>
      <c r="H46" s="29">
        <v>41.133577757051967</v>
      </c>
    </row>
    <row r="47" spans="1:8" x14ac:dyDescent="0.25">
      <c r="A47" s="30" t="s">
        <v>189</v>
      </c>
      <c r="B47" s="31" t="s">
        <v>3</v>
      </c>
      <c r="C47" s="80">
        <v>862.625715075926</v>
      </c>
      <c r="D47" s="80">
        <v>820.15248308190041</v>
      </c>
      <c r="E47" s="83">
        <v>1379.131746225795</v>
      </c>
      <c r="F47" s="22" t="s">
        <v>236</v>
      </c>
      <c r="G47" s="23">
        <v>59.876029907641652</v>
      </c>
      <c r="H47" s="24">
        <v>68.15552896254232</v>
      </c>
    </row>
    <row r="48" spans="1:8" x14ac:dyDescent="0.25">
      <c r="A48" s="30"/>
      <c r="B48" s="25" t="s">
        <v>237</v>
      </c>
      <c r="C48" s="82">
        <v>650.35387407420228</v>
      </c>
      <c r="D48" s="82">
        <v>612.9710034061311</v>
      </c>
      <c r="E48" s="82">
        <v>1033.7323191540584</v>
      </c>
      <c r="F48" s="27"/>
      <c r="G48" s="38">
        <v>58.949206018893392</v>
      </c>
      <c r="H48" s="24">
        <v>68.642939618653855</v>
      </c>
    </row>
    <row r="49" spans="1:8" x14ac:dyDescent="0.25">
      <c r="A49" s="39" t="s">
        <v>12</v>
      </c>
      <c r="B49" s="31" t="s">
        <v>3</v>
      </c>
      <c r="C49" s="80">
        <v>19.688462147813876</v>
      </c>
      <c r="D49" s="80">
        <v>20.946257253498221</v>
      </c>
      <c r="E49" s="83">
        <v>23.271245123200053</v>
      </c>
      <c r="F49" s="22" t="s">
        <v>236</v>
      </c>
      <c r="G49" s="37">
        <v>18.197373408283156</v>
      </c>
      <c r="H49" s="33">
        <v>11.099777118002962</v>
      </c>
    </row>
    <row r="50" spans="1:8" x14ac:dyDescent="0.25">
      <c r="A50" s="34"/>
      <c r="B50" s="25" t="s">
        <v>237</v>
      </c>
      <c r="C50" s="82">
        <v>14.691047174472267</v>
      </c>
      <c r="D50" s="82">
        <v>20.324476514658336</v>
      </c>
      <c r="E50" s="82">
        <v>20.525284998356092</v>
      </c>
      <c r="F50" s="27"/>
      <c r="G50" s="28">
        <v>39.712879242683414</v>
      </c>
      <c r="H50" s="29">
        <v>0.98801306667321853</v>
      </c>
    </row>
    <row r="51" spans="1:8" x14ac:dyDescent="0.25">
      <c r="A51" s="39" t="s">
        <v>23</v>
      </c>
      <c r="B51" s="31" t="s">
        <v>3</v>
      </c>
      <c r="C51" s="80">
        <v>284.09974608049771</v>
      </c>
      <c r="D51" s="80">
        <v>307.54379769015583</v>
      </c>
      <c r="E51" s="83">
        <v>329.98892102204837</v>
      </c>
      <c r="F51" s="22" t="s">
        <v>236</v>
      </c>
      <c r="G51" s="23">
        <v>16.152487136876317</v>
      </c>
      <c r="H51" s="24">
        <v>7.2981876079014825</v>
      </c>
    </row>
    <row r="52" spans="1:8" x14ac:dyDescent="0.25">
      <c r="A52" s="34"/>
      <c r="B52" s="25" t="s">
        <v>237</v>
      </c>
      <c r="C52" s="82">
        <v>196.13523030480962</v>
      </c>
      <c r="D52" s="82">
        <v>215.80204697759478</v>
      </c>
      <c r="E52" s="82">
        <v>230.29290047352637</v>
      </c>
      <c r="F52" s="27"/>
      <c r="G52" s="28">
        <v>17.415366997368608</v>
      </c>
      <c r="H52" s="29">
        <v>6.7148823187187361</v>
      </c>
    </row>
    <row r="53" spans="1:8" x14ac:dyDescent="0.25">
      <c r="A53" s="30" t="s">
        <v>24</v>
      </c>
      <c r="B53" s="31" t="s">
        <v>3</v>
      </c>
      <c r="C53" s="80">
        <v>477.56627552398908</v>
      </c>
      <c r="D53" s="80">
        <v>579.74541845705619</v>
      </c>
      <c r="E53" s="83">
        <v>817.79656438023926</v>
      </c>
      <c r="F53" s="22" t="s">
        <v>236</v>
      </c>
      <c r="G53" s="23">
        <v>71.242528271693203</v>
      </c>
      <c r="H53" s="24">
        <v>41.061324219988876</v>
      </c>
    </row>
    <row r="54" spans="1:8" ht="14.3" thickBot="1" x14ac:dyDescent="0.3">
      <c r="A54" s="41"/>
      <c r="B54" s="42" t="s">
        <v>237</v>
      </c>
      <c r="C54" s="86">
        <v>368.61600563501747</v>
      </c>
      <c r="D54" s="86">
        <v>429.97235581090041</v>
      </c>
      <c r="E54" s="86">
        <v>614.54125512447229</v>
      </c>
      <c r="F54" s="44"/>
      <c r="G54" s="45">
        <v>66.715835918681165</v>
      </c>
      <c r="H54" s="46">
        <v>42.925759486441109</v>
      </c>
    </row>
    <row r="59" spans="1:8" x14ac:dyDescent="0.25">
      <c r="A59" s="47"/>
      <c r="B59" s="48"/>
      <c r="C59" s="49"/>
      <c r="D59" s="49"/>
      <c r="E59" s="49"/>
      <c r="F59" s="49"/>
      <c r="G59" s="50"/>
      <c r="H59" s="51"/>
    </row>
    <row r="60" spans="1:8" x14ac:dyDescent="0.25">
      <c r="A60" s="52"/>
      <c r="B60" s="52"/>
      <c r="C60" s="52"/>
      <c r="D60" s="52"/>
      <c r="E60" s="52"/>
      <c r="F60" s="52"/>
      <c r="G60" s="52"/>
      <c r="H60" s="52"/>
    </row>
    <row r="61" spans="1:8" ht="12.75" customHeight="1" x14ac:dyDescent="0.25">
      <c r="A61" s="54" t="s">
        <v>238</v>
      </c>
      <c r="G61" s="53"/>
      <c r="H61" s="201">
        <v>13</v>
      </c>
    </row>
    <row r="62" spans="1:8" ht="12.75" customHeight="1" x14ac:dyDescent="0.25">
      <c r="A62" s="54" t="s">
        <v>239</v>
      </c>
      <c r="G62" s="53"/>
      <c r="H62" s="194"/>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31" display="Tilbake til innholdsfortegnelsen" xr:uid="{00000000-0004-0000-0800-000000000000}"/>
  </hyperlinks>
  <pageMargins left="0.78740157480314965" right="0.78740157480314965" top="0.98425196850393704" bottom="0.19685039370078741" header="3.937007874015748E-2" footer="3.937007874015748E-2"/>
  <pageSetup paperSize="9" scale="94"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12</vt:i4>
      </vt:variant>
    </vt:vector>
  </HeadingPairs>
  <TitlesOfParts>
    <vt:vector size="35" baseType="lpstr">
      <vt:lpstr>Forside</vt:lpstr>
      <vt:lpstr>Innhold</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Tab19</vt:lpstr>
      <vt:lpstr>Tab20</vt:lpstr>
      <vt:lpstr>Tab21</vt:lpstr>
      <vt:lpstr>aar</vt:lpstr>
      <vt:lpstr>aar_1</vt:lpstr>
      <vt:lpstr>aar_2</vt:lpstr>
      <vt:lpstr>aaret_i_alt</vt:lpstr>
      <vt:lpstr>hittil_i_aar</vt:lpstr>
      <vt:lpstr>'Tab1'!Print_Area</vt:lpstr>
      <vt:lpstr>'Tab2'!Print_Area</vt:lpstr>
      <vt:lpstr>'Tab21'!Print_Area</vt:lpstr>
      <vt:lpstr>'Tab3'!Print_Area</vt:lpstr>
      <vt:lpstr>Print_Area</vt:lpstr>
      <vt:lpstr>pros_1</vt:lpstr>
      <vt:lpstr>pros_2</vt:lpstr>
    </vt:vector>
  </TitlesOfParts>
  <Company>FNH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Harald Moseby (kontakt infoavd)</dc:creator>
  <cp:lastModifiedBy>Stein Erik Petersbakken</cp:lastModifiedBy>
  <cp:lastPrinted>2018-11-20T08:45:23Z</cp:lastPrinted>
  <dcterms:created xsi:type="dcterms:W3CDTF">2002-02-09T09:48:14Z</dcterms:created>
  <dcterms:modified xsi:type="dcterms:W3CDTF">2018-11-27T07:23:00Z</dcterms:modified>
</cp:coreProperties>
</file>