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sheetId="2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15" r:id="rId17"/>
    <sheet name="Tab16" sheetId="16" r:id="rId18"/>
    <sheet name="Tab17" sheetId="17" r:id="rId19"/>
    <sheet name="Tab18" sheetId="24" r:id="rId20"/>
  </sheet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hittil_i_aar">'Tab3'!$B$8</definedName>
    <definedName name="kvartal">#REF!</definedName>
    <definedName name="_xlnm.Print_Area" localSheetId="1">Innhold!$B$4:$H$124</definedName>
    <definedName name="_xlnm.Print_Area" localSheetId="2">'Tab1'!$A$3:$G$52</definedName>
    <definedName name="_xlnm.Print_Area" localSheetId="11">'Tab10'!$A$4:$H$62</definedName>
    <definedName name="_xlnm.Print_Area" localSheetId="12">'Tab11'!$A$4:$H$62</definedName>
    <definedName name="_xlnm.Print_Area" localSheetId="13">'Tab12'!$A$4:$H$62</definedName>
    <definedName name="_xlnm.Print_Area" localSheetId="14">'Tab13'!$A$4:$H$62</definedName>
    <definedName name="_xlnm.Print_Area" localSheetId="15">'Tab14'!$A$4:$H$62</definedName>
    <definedName name="_xlnm.Print_Area" localSheetId="16">'Tab15'!$A$4:$H$62</definedName>
    <definedName name="_xlnm.Print_Area" localSheetId="17">'Tab16'!$A$4:$H$62</definedName>
    <definedName name="_xlnm.Print_Area" localSheetId="18">'Tab17'!$A$4:$H$62</definedName>
    <definedName name="_xlnm.Print_Area" localSheetId="19">'Tab18'!$A$4:$N$53</definedName>
    <definedName name="_xlnm.Print_Area" localSheetId="3">'Tab2'!$A$4:$AJ$62</definedName>
    <definedName name="_xlnm.Print_Area" localSheetId="4">'Tab3'!$A$4:$H$62</definedName>
    <definedName name="_xlnm.Print_Area" localSheetId="5">'Tab4'!$A$4:$H$62</definedName>
    <definedName name="_xlnm.Print_Area" localSheetId="6">'Tab5'!$A$4:$H$62</definedName>
    <definedName name="_xlnm.Print_Area" localSheetId="7">'Tab6'!$A$4:$H$62</definedName>
    <definedName name="_xlnm.Print_Area" localSheetId="8">'Tab7'!$A$4:$H$62</definedName>
    <definedName name="_xlnm.Print_Area" localSheetId="9">'Tab8'!$A$4:$H$62</definedName>
    <definedName name="_xlnm.Print_Area" localSheetId="10">'Tab9'!$A$4:$H$62</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C193" i="19"/>
  <c r="D193"/>
  <c r="D192"/>
  <c r="C192"/>
  <c r="H123" i="21"/>
  <c r="D191" i="19"/>
  <c r="C191"/>
  <c r="I69"/>
  <c r="Q191" s="1"/>
  <c r="C190"/>
  <c r="D190"/>
  <c r="D189"/>
  <c r="C189"/>
  <c r="D188"/>
  <c r="C188"/>
  <c r="D187"/>
  <c r="C187"/>
  <c r="C186"/>
  <c r="D186"/>
  <c r="B15" i="21"/>
  <c r="AD32" i="19"/>
  <c r="B20" i="21" s="1"/>
  <c r="AD6" i="19"/>
  <c r="B19" i="21" s="1"/>
  <c r="T193" i="19" l="1"/>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H124" i="21"/>
  <c r="D178" i="19"/>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N185" i="19" l="1"/>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J61" i="19"/>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62" i="21"/>
  <c r="A52" i="23"/>
  <c r="W62" i="19"/>
  <c r="I62"/>
  <c r="A53" i="24"/>
  <c r="O196" i="19"/>
  <c r="O194" s="1"/>
  <c r="B61" i="21"/>
  <c r="V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196"/>
  <c r="R194" s="1"/>
  <c r="P196"/>
  <c r="P194" s="1"/>
  <c r="W6"/>
  <c r="B17" i="21" s="1"/>
  <c r="W32" i="19"/>
  <c r="B18" i="21" s="1"/>
  <c r="P32" i="19"/>
  <c r="B16" i="21" s="1"/>
  <c r="A6" i="19"/>
  <c r="B11" i="21" s="1"/>
  <c r="A32" i="19"/>
  <c r="B12" i="21" s="1"/>
  <c r="S196" i="19"/>
  <c r="S194" s="1"/>
  <c r="X77"/>
  <c r="X91"/>
  <c r="W83"/>
  <c r="W91"/>
  <c r="X89"/>
  <c r="W87"/>
  <c r="W112"/>
  <c r="X103"/>
  <c r="W106"/>
  <c r="X129"/>
  <c r="X114"/>
  <c r="W117"/>
  <c r="X106"/>
  <c r="X85"/>
  <c r="W90"/>
  <c r="X102"/>
  <c r="W85"/>
  <c r="W101"/>
  <c r="X75"/>
  <c r="W88"/>
  <c r="Z76"/>
  <c r="Y88"/>
  <c r="W122"/>
  <c r="X122"/>
  <c r="Y133"/>
  <c r="Y85"/>
  <c r="W103"/>
  <c r="X112"/>
  <c r="W102"/>
  <c r="W113"/>
  <c r="L196"/>
  <c r="L194" s="1"/>
  <c r="X117"/>
  <c r="X113"/>
  <c r="M196"/>
  <c r="M194" s="1"/>
  <c r="X74"/>
  <c r="X72"/>
  <c r="W89"/>
  <c r="X123"/>
  <c r="X130"/>
  <c r="Y123"/>
  <c r="E195"/>
  <c r="Y129"/>
  <c r="X76"/>
  <c r="Z74"/>
  <c r="X83"/>
  <c r="Y83"/>
  <c r="Y91"/>
  <c r="W92"/>
  <c r="Y92"/>
  <c r="X87"/>
  <c r="X90"/>
  <c r="X88"/>
  <c r="Y122"/>
  <c r="Y124"/>
  <c r="X82"/>
  <c r="X100" s="1"/>
  <c r="X111" s="1"/>
  <c r="W124"/>
  <c r="Y130"/>
  <c r="W130"/>
  <c r="Y72"/>
  <c r="Y74"/>
  <c r="Y76"/>
  <c r="Y77"/>
  <c r="Z72"/>
  <c r="Y75"/>
  <c r="W131"/>
  <c r="H41" i="21" l="1"/>
  <c r="Y131" i="19"/>
  <c r="Y106"/>
  <c r="Y112"/>
  <c r="Y117"/>
  <c r="Y125"/>
  <c r="Y103"/>
  <c r="Y87"/>
  <c r="G195"/>
  <c r="Z77"/>
  <c r="Y101"/>
  <c r="Z75"/>
  <c r="X104"/>
  <c r="R195"/>
  <c r="S195"/>
  <c r="P195"/>
  <c r="O195"/>
  <c r="L195"/>
  <c r="X78"/>
  <c r="Y89"/>
  <c r="M195"/>
  <c r="W93"/>
  <c r="W95" s="1"/>
  <c r="Y114"/>
  <c r="Y102"/>
  <c r="Y113"/>
  <c r="H45" i="21"/>
  <c r="H46" s="1"/>
  <c r="H44"/>
  <c r="X115" i="19"/>
  <c r="Y132"/>
  <c r="Y84"/>
  <c r="Y86"/>
  <c r="Y90"/>
  <c r="W104"/>
  <c r="W115"/>
  <c r="X93"/>
  <c r="X95" s="1"/>
  <c r="N179"/>
  <c r="Y78"/>
  <c r="Z78" l="1"/>
  <c r="H66" i="21"/>
  <c r="H67" s="1"/>
  <c r="H69" s="1"/>
  <c r="H70" s="1"/>
  <c r="H72" s="1"/>
  <c r="H73" s="1"/>
  <c r="H75" s="1"/>
  <c r="H76" s="1"/>
  <c r="H78" s="1"/>
  <c r="Y93" i="19"/>
  <c r="Y95" s="1"/>
  <c r="Y115"/>
  <c r="Y104"/>
  <c r="N182"/>
</calcChain>
</file>

<file path=xl/sharedStrings.xml><?xml version="1.0" encoding="utf-8"?>
<sst xmlns="http://schemas.openxmlformats.org/spreadsheetml/2006/main" count="1273" uniqueCount="211">
  <si>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</si>
  <si>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</si>
  <si>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</si>
  <si>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</si>
  <si>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</si>
  <si>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</si>
  <si>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</si>
  <si>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</si>
  <si>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</si>
  <si>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</si>
  <si>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</si>
  <si>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</si>
  <si>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</si>
  <si>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</si>
  <si>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</si>
  <si>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</si>
  <si>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</si>
  <si>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</si>
  <si>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</si>
  <si>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</si>
  <si>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</si>
  <si>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</si>
  <si>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</si>
  <si>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</si>
  <si>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</si>
  <si>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</si>
  <si>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</si>
  <si>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</si>
  <si>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</si>
  <si>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</si>
  <si>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</si>
  <si>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</si>
  <si>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</si>
  <si>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</si>
  <si>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</si>
  <si>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</si>
  <si>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</si>
  <si>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</si>
  <si>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</si>
  <si>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</si>
  <si>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</si>
  <si>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</si>
  <si>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</si>
  <si>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</si>
  <si>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</si>
  <si>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</si>
  <si>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</si>
  <si>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</si>
  <si>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</si>
  <si>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</si>
  <si>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</si>
  <si>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</si>
  <si>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</si>
  <si>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</si>
  <si>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</si>
  <si>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</si>
  <si>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</si>
  <si>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</si>
  <si>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</si>
  <si>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</si>
  <si>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</si>
  <si>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</si>
  <si>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</si>
  <si>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</si>
  <si>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</si>
  <si>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</si>
  <si>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</si>
  <si>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</si>
  <si>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</si>
  <si>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</si>
  <si>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</si>
  <si>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</si>
  <si>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</si>
  <si>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</si>
  <si>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</si>
  <si>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</si>
  <si>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</si>
  <si>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</si>
  <si>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</si>
  <si>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</si>
  <si>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</si>
  <si>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</si>
  <si>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</si>
  <si>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</si>
  <si>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</si>
  <si>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</si>
  <si>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</si>
  <si>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</si>
  <si>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landbasert forsikring</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</si>
  <si>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</si>
  <si>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</si>
  <si>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</si>
  <si>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</si>
  <si>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</si>
  <si>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</si>
  <si>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</si>
  <si>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</si>
  <si>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</si>
  <si>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</si>
  <si>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</si>
  <si>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</si>
  <si>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</si>
  <si>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</si>
  <si>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</si>
  <si>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</si>
  <si>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</si>
  <si>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</si>
  <si>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</si>
  <si>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</si>
  <si>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</si>
  <si>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</si>
  <si>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</si>
  <si>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</si>
  <si>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</si>
  <si>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</si>
  <si>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</si>
  <si>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</si>
  <si>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</si>
  <si>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</si>
  <si>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</si>
  <si>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</si>
  <si>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</si>
  <si>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</si>
  <si>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</si>
  <si>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</si>
  <si>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</si>
  <si>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</si>
  <si>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</si>
  <si>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</si>
  <si>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</si>
  <si>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</si>
  <si>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</si>
  <si>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</si>
  <si>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</si>
  <si>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</si>
  <si>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</si>
  <si>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</si>
  <si>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</si>
  <si>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</si>
  <si>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</si>
  <si>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</si>
  <si>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</si>
  <si>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</si>
  <si>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</si>
  <si>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</si>
  <si>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</si>
  <si>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</si>
  <si>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</si>
  <si>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</si>
  <si>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</si>
  <si>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</si>
  <si>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</si>
  <si>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</si>
  <si>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</si>
  <si>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</si>
  <si>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</si>
  <si>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</si>
  <si>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</si>
  <si>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SKADESTATISTIKK</t>
  </si>
  <si>
    <t>Statistikk over antall meldte skader</t>
  </si>
  <si>
    <t>og totalt anslåtte erstatninger</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</si>
  <si>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</si>
  <si>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</si>
  <si>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</si>
  <si>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</si>
  <si>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</si>
  <si>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</si>
  <si>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</si>
  <si>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</si>
  <si>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</si>
  <si>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</si>
  <si>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</si>
  <si>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</si>
  <si>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</si>
  <si>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</si>
  <si>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</si>
  <si>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</si>
  <si>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</si>
  <si>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</si>
  <si>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</si>
  <si>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</si>
  <si>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</si>
  <si>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</si>
  <si>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</si>
  <si>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</si>
  <si>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</si>
  <si>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</si>
  <si>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</si>
  <si>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</si>
  <si>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</si>
  <si>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</si>
  <si>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</si>
  <si>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</si>
  <si>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(2012)</t>
  </si>
  <si>
    <t>Kaskoskader</t>
  </si>
  <si>
    <t>3. kvartal 2013</t>
  </si>
  <si>
    <t>12. november  2013</t>
  </si>
  <si>
    <t>NB. Datagrunnlaget er levert fra Finans Norges medlemsselskaper. Enkelte tall</t>
  </si>
  <si>
    <t>kan bli justert i etterkant dersom et selskap oppdager feil eller mangler ved sine data.</t>
  </si>
  <si>
    <t>For mer detaljert beskrivelse av statistikkens innhold henviser vi til punkt 4,</t>
  </si>
  <si>
    <t>Prinsipper, begreper og definisjoner på side 24.</t>
  </si>
  <si>
    <t>2011</t>
  </si>
  <si>
    <t>2012</t>
  </si>
  <si>
    <t>2013</t>
  </si>
  <si>
    <t>11-13</t>
  </si>
  <si>
    <t>12-13</t>
  </si>
  <si>
    <t>*</t>
  </si>
  <si>
    <t>Hittil i år</t>
  </si>
  <si>
    <t>Finans Norge / Skadestatistikk</t>
  </si>
  <si>
    <t>Skadestatistikk for landbasert forsikring 3. kvartal 2013</t>
  </si>
  <si>
    <t/>
  </si>
</sst>
</file>

<file path=xl/styles.xml><?xml version="1.0" encoding="utf-8"?>
<styleSheet xmlns="http://schemas.openxmlformats.org/spreadsheetml/2006/main">
  <numFmts count="7">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37">
    <font>
      <sz val="10"/>
      <name val="Arial"/>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14"/>
      <color theme="0"/>
      <name val="Cambria"/>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sz val="10"/>
      <color theme="0"/>
      <name val="Times New Roman"/>
      <family val="1"/>
    </font>
    <font>
      <b/>
      <sz val="10"/>
      <color theme="0"/>
      <name val="Times New Roman"/>
      <family val="1"/>
    </font>
    <font>
      <b/>
      <sz val="10"/>
      <color theme="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B51E3A"/>
        <bgColor indexed="64"/>
      </patternFill>
    </fill>
    <fill>
      <patternFill patternType="solid">
        <fgColor rgb="FFC00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0">
    <xf numFmtId="0" fontId="0"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cellStyleXfs>
  <cellXfs count="156">
    <xf numFmtId="0" fontId="0" fillId="0" borderId="0" xfId="0"/>
    <xf numFmtId="0" fontId="4" fillId="0" borderId="0" xfId="0" applyFont="1"/>
    <xf numFmtId="0" fontId="4" fillId="0" borderId="0" xfId="0" applyFont="1" applyAlignment="1" applyProtection="1">
      <alignment horizontal="left"/>
    </xf>
    <xf numFmtId="0" fontId="5" fillId="0" borderId="0" xfId="3" applyFont="1" applyAlignment="1" applyProtection="1">
      <alignment horizontal="left"/>
    </xf>
    <xf numFmtId="0" fontId="6" fillId="2" borderId="0" xfId="0" applyFont="1" applyFill="1" applyBorder="1"/>
    <xf numFmtId="165" fontId="7" fillId="0" borderId="0" xfId="0" applyNumberFormat="1" applyFont="1" applyProtection="1"/>
    <xf numFmtId="0" fontId="7" fillId="0" borderId="0" xfId="0" applyFont="1"/>
    <xf numFmtId="0" fontId="8" fillId="2" borderId="1" xfId="0" applyFont="1" applyFill="1" applyBorder="1"/>
    <xf numFmtId="0" fontId="8" fillId="2" borderId="2" xfId="0" applyFont="1" applyFill="1" applyBorder="1" applyAlignment="1">
      <alignment horizontal="center"/>
    </xf>
    <xf numFmtId="0" fontId="8" fillId="2" borderId="3" xfId="0" applyFont="1" applyFill="1" applyBorder="1"/>
    <xf numFmtId="0" fontId="7" fillId="2" borderId="2" xfId="0" applyFont="1" applyFill="1" applyBorder="1"/>
    <xf numFmtId="0" fontId="7" fillId="2" borderId="4" xfId="0" applyFont="1" applyFill="1" applyBorder="1"/>
    <xf numFmtId="0" fontId="8" fillId="2" borderId="5" xfId="0" applyFont="1" applyFill="1" applyBorder="1" applyAlignment="1">
      <alignment horizontal="left"/>
    </xf>
    <xf numFmtId="14" fontId="8" fillId="2" borderId="6"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8" xfId="0" applyNumberFormat="1" applyFont="1" applyFill="1" applyBorder="1" applyAlignment="1">
      <alignment horizontal="right"/>
    </xf>
    <xf numFmtId="14" fontId="8" fillId="2" borderId="7" xfId="0" applyNumberFormat="1" applyFont="1" applyFill="1" applyBorder="1" applyAlignment="1">
      <alignment horizontal="right"/>
    </xf>
    <xf numFmtId="14" fontId="8" fillId="2" borderId="9" xfId="0" applyNumberFormat="1" applyFont="1" applyFill="1" applyBorder="1" applyAlignment="1">
      <alignment horizontal="right"/>
    </xf>
    <xf numFmtId="0" fontId="7" fillId="0" borderId="10" xfId="0" applyFont="1" applyBorder="1"/>
    <xf numFmtId="3" fontId="7" fillId="0" borderId="0" xfId="1" applyNumberFormat="1" applyFont="1" applyProtection="1"/>
    <xf numFmtId="3" fontId="7" fillId="0" borderId="0" xfId="1" applyNumberFormat="1" applyFont="1" applyBorder="1" applyProtection="1"/>
    <xf numFmtId="167" fontId="7" fillId="0" borderId="11" xfId="1" applyNumberFormat="1" applyFont="1" applyBorder="1" applyAlignment="1" applyProtection="1">
      <alignment horizontal="right"/>
    </xf>
    <xf numFmtId="165" fontId="7" fillId="0" borderId="0" xfId="0" applyNumberFormat="1" applyFont="1" applyAlignment="1" applyProtection="1">
      <alignment horizontal="right"/>
    </xf>
    <xf numFmtId="165" fontId="7" fillId="0" borderId="12" xfId="0" applyNumberFormat="1" applyFont="1" applyBorder="1" applyAlignment="1">
      <alignment horizontal="right"/>
    </xf>
    <xf numFmtId="0" fontId="10" fillId="0" borderId="13" xfId="0" applyFont="1" applyBorder="1"/>
    <xf numFmtId="3" fontId="7" fillId="0" borderId="14" xfId="1" applyNumberFormat="1" applyFont="1" applyBorder="1" applyProtection="1"/>
    <xf numFmtId="167" fontId="7" fillId="0" borderId="13" xfId="1" applyNumberFormat="1" applyFont="1" applyBorder="1" applyProtection="1"/>
    <xf numFmtId="165" fontId="7" fillId="0" borderId="14" xfId="0" applyNumberFormat="1" applyFont="1" applyBorder="1" applyAlignment="1" applyProtection="1">
      <alignment horizontal="right"/>
    </xf>
    <xf numFmtId="165" fontId="7" fillId="0" borderId="15" xfId="0" applyNumberFormat="1" applyFont="1" applyBorder="1" applyAlignment="1">
      <alignment horizontal="right"/>
    </xf>
    <xf numFmtId="0" fontId="7" fillId="0" borderId="16" xfId="0" applyFont="1" applyBorder="1"/>
    <xf numFmtId="0" fontId="7" fillId="0" borderId="11" xfId="0" applyFont="1" applyBorder="1"/>
    <xf numFmtId="165" fontId="7" fillId="0" borderId="17" xfId="0" applyNumberFormat="1" applyFont="1" applyBorder="1" applyAlignment="1" applyProtection="1">
      <alignment horizontal="right"/>
    </xf>
    <xf numFmtId="165" fontId="7" fillId="0" borderId="18" xfId="0" applyNumberFormat="1" applyFont="1" applyBorder="1" applyAlignment="1">
      <alignment horizontal="right"/>
    </xf>
    <xf numFmtId="0" fontId="7" fillId="0" borderId="19" xfId="0" applyFont="1" applyBorder="1"/>
    <xf numFmtId="165" fontId="7" fillId="0" borderId="20" xfId="0" applyNumberFormat="1" applyFont="1" applyBorder="1" applyAlignment="1" applyProtection="1">
      <alignment horizontal="right"/>
    </xf>
    <xf numFmtId="3" fontId="7" fillId="0" borderId="21" xfId="1" applyNumberFormat="1" applyFont="1" applyBorder="1" applyProtection="1"/>
    <xf numFmtId="165" fontId="7" fillId="0" borderId="21" xfId="0" applyNumberFormat="1" applyFont="1" applyBorder="1" applyAlignment="1" applyProtection="1">
      <alignment horizontal="right"/>
    </xf>
    <xf numFmtId="165" fontId="7" fillId="0" borderId="0" xfId="0" applyNumberFormat="1" applyFont="1" applyBorder="1" applyAlignment="1" applyProtection="1">
      <alignment horizontal="right"/>
    </xf>
    <xf numFmtId="0" fontId="7" fillId="0" borderId="22" xfId="0" applyFont="1" applyBorder="1"/>
    <xf numFmtId="3" fontId="7" fillId="0" borderId="0" xfId="1" applyNumberFormat="1" applyFont="1"/>
    <xf numFmtId="0" fontId="8" fillId="0" borderId="23" xfId="0" applyFont="1" applyBorder="1"/>
    <xf numFmtId="0" fontId="10" fillId="0" borderId="24" xfId="0" applyFont="1" applyBorder="1"/>
    <xf numFmtId="3" fontId="7" fillId="0" borderId="25" xfId="1" applyNumberFormat="1" applyFont="1" applyBorder="1" applyProtection="1"/>
    <xf numFmtId="167" fontId="7" fillId="0" borderId="24" xfId="1" applyNumberFormat="1" applyFont="1" applyBorder="1" applyProtection="1"/>
    <xf numFmtId="165" fontId="7" fillId="0" borderId="26" xfId="0" applyNumberFormat="1" applyFont="1" applyBorder="1" applyAlignment="1" applyProtection="1">
      <alignment horizontal="right"/>
    </xf>
    <xf numFmtId="165" fontId="7" fillId="0" borderId="27" xfId="0" applyNumberFormat="1" applyFont="1" applyBorder="1" applyAlignment="1">
      <alignment horizontal="right"/>
    </xf>
    <xf numFmtId="0" fontId="11" fillId="0" borderId="0" xfId="0" applyFont="1" applyBorder="1"/>
    <xf numFmtId="0" fontId="12" fillId="0" borderId="0" xfId="0" applyFont="1" applyBorder="1"/>
    <xf numFmtId="167" fontId="4" fillId="0" borderId="0" xfId="1" applyNumberFormat="1" applyFont="1" applyBorder="1" applyProtection="1"/>
    <xf numFmtId="165" fontId="4" fillId="0" borderId="0" xfId="0" applyNumberFormat="1" applyFont="1" applyBorder="1" applyAlignment="1" applyProtection="1">
      <alignment horizontal="right"/>
    </xf>
    <xf numFmtId="165" fontId="4" fillId="0" borderId="0" xfId="0" applyNumberFormat="1" applyFont="1" applyBorder="1" applyAlignment="1">
      <alignment horizontal="right"/>
    </xf>
    <xf numFmtId="0" fontId="4" fillId="0" borderId="6" xfId="0" applyFont="1" applyBorder="1"/>
    <xf numFmtId="0" fontId="14" fillId="0" borderId="0" xfId="0" applyFont="1" applyAlignment="1">
      <alignment horizontal="right"/>
    </xf>
    <xf numFmtId="0" fontId="14" fillId="0" borderId="0" xfId="0" applyFont="1" applyAlignment="1">
      <alignment horizontal="left"/>
    </xf>
    <xf numFmtId="167" fontId="4" fillId="0" borderId="0" xfId="1" applyNumberFormat="1" applyFont="1" applyBorder="1" applyAlignment="1" applyProtection="1">
      <alignment horizontal="center"/>
    </xf>
    <xf numFmtId="0" fontId="7" fillId="0" borderId="23" xfId="0" applyFont="1" applyBorder="1"/>
    <xf numFmtId="165" fontId="7" fillId="0" borderId="25" xfId="0" applyNumberFormat="1" applyFont="1" applyBorder="1" applyAlignment="1" applyProtection="1">
      <alignment horizontal="right"/>
    </xf>
    <xf numFmtId="0" fontId="7" fillId="0" borderId="0" xfId="0" applyFont="1" applyBorder="1"/>
    <xf numFmtId="167" fontId="7" fillId="0" borderId="0" xfId="1" applyNumberFormat="1" applyFont="1" applyBorder="1" applyAlignment="1" applyProtection="1">
      <alignment horizontal="right"/>
    </xf>
    <xf numFmtId="165" fontId="7" fillId="0" borderId="0" xfId="0" applyNumberFormat="1" applyFont="1" applyBorder="1" applyAlignment="1">
      <alignment horizontal="right"/>
    </xf>
    <xf numFmtId="0" fontId="4" fillId="0" borderId="0" xfId="0" applyFont="1" applyBorder="1"/>
    <xf numFmtId="0" fontId="10" fillId="0" borderId="0" xfId="0" applyFont="1" applyBorder="1"/>
    <xf numFmtId="167" fontId="7" fillId="0" borderId="0" xfId="1" applyNumberFormat="1" applyFont="1" applyBorder="1" applyProtection="1"/>
    <xf numFmtId="3" fontId="7" fillId="0" borderId="0" xfId="1" applyNumberFormat="1" applyFont="1" applyBorder="1"/>
    <xf numFmtId="0" fontId="8" fillId="0" borderId="0" xfId="0" applyFont="1" applyBorder="1"/>
    <xf numFmtId="0" fontId="6" fillId="2" borderId="0" xfId="0" applyFont="1" applyFill="1" applyBorder="1" applyAlignment="1"/>
    <xf numFmtId="0" fontId="4" fillId="0" borderId="0" xfId="0" applyFont="1" applyAlignment="1"/>
    <xf numFmtId="0" fontId="16" fillId="0" borderId="0" xfId="0" applyFont="1"/>
    <xf numFmtId="0" fontId="17" fillId="0" borderId="0" xfId="0" applyFont="1"/>
    <xf numFmtId="0" fontId="18" fillId="0" borderId="0" xfId="0" applyFont="1"/>
    <xf numFmtId="1" fontId="18" fillId="0" borderId="0" xfId="0" applyNumberFormat="1" applyFont="1"/>
    <xf numFmtId="1" fontId="0" fillId="0" borderId="0" xfId="0" applyNumberFormat="1"/>
    <xf numFmtId="0" fontId="20" fillId="0" borderId="0" xfId="0" applyFont="1"/>
    <xf numFmtId="0" fontId="20" fillId="0" borderId="0" xfId="0" applyFont="1" applyAlignment="1">
      <alignment horizontal="center"/>
    </xf>
    <xf numFmtId="0" fontId="6" fillId="0" borderId="0" xfId="0" applyFont="1" applyAlignment="1">
      <alignment horizontal="left"/>
    </xf>
    <xf numFmtId="0" fontId="20" fillId="0" borderId="0" xfId="0" applyFont="1" applyAlignment="1">
      <alignment horizontal="left"/>
    </xf>
    <xf numFmtId="0" fontId="4" fillId="0" borderId="0" xfId="0" quotePrefix="1" applyFont="1"/>
    <xf numFmtId="0" fontId="0" fillId="0" borderId="0" xfId="0" applyAlignment="1">
      <alignment horizontal="left"/>
    </xf>
    <xf numFmtId="3" fontId="7" fillId="0" borderId="28" xfId="1" applyNumberFormat="1" applyFont="1" applyBorder="1" applyProtection="1"/>
    <xf numFmtId="166" fontId="7" fillId="0" borderId="0" xfId="1" applyNumberFormat="1" applyFont="1" applyProtection="1"/>
    <xf numFmtId="166" fontId="7" fillId="0" borderId="28" xfId="1" applyNumberFormat="1" applyFont="1" applyBorder="1" applyProtection="1"/>
    <xf numFmtId="166" fontId="7" fillId="0" borderId="14" xfId="1" applyNumberFormat="1" applyFont="1" applyBorder="1" applyProtection="1"/>
    <xf numFmtId="166" fontId="7" fillId="0" borderId="0" xfId="1" applyNumberFormat="1" applyFont="1" applyBorder="1" applyProtection="1"/>
    <xf numFmtId="166" fontId="7" fillId="0" borderId="21" xfId="1" applyNumberFormat="1" applyFont="1" applyBorder="1" applyProtection="1"/>
    <xf numFmtId="166" fontId="7" fillId="0" borderId="0" xfId="1" applyNumberFormat="1" applyFont="1"/>
    <xf numFmtId="166" fontId="7" fillId="0" borderId="25" xfId="1" applyNumberFormat="1" applyFont="1" applyBorder="1" applyProtection="1"/>
    <xf numFmtId="0" fontId="22" fillId="0" borderId="0" xfId="0" applyFont="1"/>
    <xf numFmtId="0" fontId="6" fillId="0" borderId="0" xfId="0" applyFont="1"/>
    <xf numFmtId="0" fontId="21" fillId="0" borderId="0" xfId="0" applyFont="1"/>
    <xf numFmtId="0" fontId="24" fillId="0" borderId="0" xfId="3" applyFont="1" applyAlignment="1" applyProtection="1">
      <alignment horizontal="left"/>
    </xf>
    <xf numFmtId="0" fontId="3" fillId="0" borderId="0" xfId="4" applyAlignment="1" applyProtection="1">
      <alignment horizontal="left"/>
    </xf>
    <xf numFmtId="0" fontId="3" fillId="0" borderId="0" xfId="4" applyAlignment="1" applyProtection="1"/>
    <xf numFmtId="0" fontId="23" fillId="0" borderId="0" xfId="0" applyFont="1"/>
    <xf numFmtId="0" fontId="25" fillId="0" borderId="0" xfId="5" applyFont="1"/>
    <xf numFmtId="0" fontId="2" fillId="0" borderId="0" xfId="5"/>
    <xf numFmtId="0" fontId="26" fillId="0" borderId="0" xfId="5" applyFont="1" applyAlignment="1">
      <alignment horizontal="right"/>
    </xf>
    <xf numFmtId="0" fontId="25" fillId="3" borderId="0" xfId="5" applyFont="1" applyFill="1"/>
    <xf numFmtId="0" fontId="28" fillId="3" borderId="0" xfId="5" applyFont="1" applyFill="1" applyAlignment="1">
      <alignment horizontal="left"/>
    </xf>
    <xf numFmtId="0" fontId="29" fillId="0" borderId="0" xfId="5" applyFont="1" applyAlignment="1">
      <alignment horizontal="left"/>
    </xf>
    <xf numFmtId="0" fontId="20" fillId="0" borderId="0" xfId="5" applyFont="1"/>
    <xf numFmtId="0" fontId="9" fillId="0" borderId="0" xfId="5" applyFont="1" applyAlignment="1">
      <alignment horizontal="right"/>
    </xf>
    <xf numFmtId="0" fontId="2" fillId="0" borderId="0" xfId="5" applyAlignment="1">
      <alignment horizontal="right"/>
    </xf>
    <xf numFmtId="0" fontId="30" fillId="0" borderId="0" xfId="5" applyFont="1" applyAlignment="1">
      <alignment horizontal="left"/>
    </xf>
    <xf numFmtId="0" fontId="31" fillId="0" borderId="0" xfId="5" applyFont="1" applyAlignment="1">
      <alignment horizontal="left"/>
    </xf>
    <xf numFmtId="0" fontId="2" fillId="4" borderId="0" xfId="5" applyFill="1"/>
    <xf numFmtId="14" fontId="27" fillId="0" borderId="0" xfId="5" applyNumberFormat="1" applyFont="1"/>
    <xf numFmtId="0" fontId="32" fillId="0" borderId="0" xfId="5" applyFont="1" applyAlignment="1">
      <alignment horizontal="left"/>
    </xf>
    <xf numFmtId="166" fontId="4" fillId="0" borderId="0" xfId="0" applyNumberFormat="1" applyFont="1"/>
    <xf numFmtId="0" fontId="31" fillId="0" borderId="0" xfId="9" quotePrefix="1" applyNumberFormat="1" applyFont="1" applyAlignment="1">
      <alignment horizontal="left"/>
    </xf>
    <xf numFmtId="0" fontId="20" fillId="0" borderId="0" xfId="0" quotePrefix="1" applyFont="1"/>
    <xf numFmtId="3" fontId="7" fillId="0" borderId="0" xfId="1" quotePrefix="1" applyNumberFormat="1" applyFont="1" applyBorder="1" applyProtection="1"/>
    <xf numFmtId="167" fontId="4" fillId="0" borderId="0" xfId="1" quotePrefix="1" applyNumberFormat="1" applyFont="1" applyBorder="1" applyProtection="1"/>
    <xf numFmtId="0" fontId="33" fillId="0" borderId="0" xfId="0" applyFont="1"/>
    <xf numFmtId="0" fontId="34" fillId="0" borderId="0" xfId="0" applyFont="1" applyAlignment="1">
      <alignment horizontal="right"/>
    </xf>
    <xf numFmtId="0" fontId="35" fillId="0" borderId="0" xfId="0" applyFont="1"/>
    <xf numFmtId="0" fontId="36" fillId="0" borderId="0" xfId="0" applyFont="1"/>
    <xf numFmtId="0" fontId="34" fillId="0" borderId="0" xfId="0" applyFont="1"/>
    <xf numFmtId="0" fontId="34" fillId="0" borderId="0" xfId="0" quotePrefix="1" applyFont="1"/>
    <xf numFmtId="0" fontId="33" fillId="0" borderId="0" xfId="0" applyFont="1" applyAlignment="1">
      <alignment horizontal="right"/>
    </xf>
    <xf numFmtId="1" fontId="36" fillId="0" borderId="0" xfId="0" applyNumberFormat="1" applyFont="1"/>
    <xf numFmtId="166" fontId="33" fillId="0" borderId="0" xfId="0" applyNumberFormat="1" applyFont="1"/>
    <xf numFmtId="3" fontId="33" fillId="0" borderId="0" xfId="0" applyNumberFormat="1" applyFont="1"/>
    <xf numFmtId="168" fontId="36" fillId="0" borderId="0" xfId="0" applyNumberFormat="1" applyFont="1"/>
    <xf numFmtId="169" fontId="36" fillId="0" borderId="0" xfId="0" applyNumberFormat="1" applyFont="1"/>
    <xf numFmtId="166" fontId="36" fillId="0" borderId="0" xfId="0" applyNumberFormat="1" applyFont="1"/>
    <xf numFmtId="3" fontId="36" fillId="0" borderId="0" xfId="0" applyNumberFormat="1" applyFont="1"/>
    <xf numFmtId="167" fontId="36" fillId="0" borderId="0" xfId="1" applyNumberFormat="1" applyFont="1"/>
    <xf numFmtId="166" fontId="36" fillId="0" borderId="0" xfId="1" applyNumberFormat="1" applyFont="1"/>
    <xf numFmtId="169" fontId="33" fillId="0" borderId="0" xfId="0" applyNumberFormat="1" applyFont="1"/>
    <xf numFmtId="3" fontId="33" fillId="0" borderId="0" xfId="0" applyNumberFormat="1" applyFont="1" applyBorder="1"/>
    <xf numFmtId="166" fontId="33" fillId="0" borderId="0" xfId="0" applyNumberFormat="1" applyFont="1" applyBorder="1"/>
    <xf numFmtId="170" fontId="33" fillId="0" borderId="0" xfId="0" applyNumberFormat="1" applyFont="1"/>
    <xf numFmtId="1" fontId="33" fillId="0" borderId="0" xfId="0" applyNumberFormat="1" applyFont="1"/>
    <xf numFmtId="168" fontId="33" fillId="0" borderId="0" xfId="0" applyNumberFormat="1" applyFont="1"/>
    <xf numFmtId="0" fontId="33" fillId="0" borderId="28" xfId="0" applyFont="1" applyBorder="1"/>
    <xf numFmtId="0" fontId="34" fillId="0" borderId="28" xfId="0" applyFont="1" applyBorder="1" applyAlignment="1">
      <alignment horizontal="right"/>
    </xf>
    <xf numFmtId="3" fontId="33" fillId="0" borderId="28" xfId="0" applyNumberFormat="1" applyFont="1" applyBorder="1"/>
    <xf numFmtId="0" fontId="33" fillId="0" borderId="28" xfId="0" applyFont="1" applyBorder="1" applyAlignment="1">
      <alignment horizontal="left" indent="1"/>
    </xf>
    <xf numFmtId="166" fontId="33" fillId="0" borderId="28" xfId="0" applyNumberFormat="1" applyFont="1" applyBorder="1"/>
    <xf numFmtId="0" fontId="33" fillId="0" borderId="0" xfId="0" applyFont="1" applyAlignment="1">
      <alignment horizontal="left" indent="1"/>
    </xf>
    <xf numFmtId="14" fontId="19" fillId="0" borderId="0" xfId="5" applyNumberFormat="1" applyFont="1" applyAlignment="1">
      <alignment horizontal="center"/>
    </xf>
    <xf numFmtId="0" fontId="13" fillId="0" borderId="28" xfId="0" applyFont="1" applyBorder="1" applyAlignment="1">
      <alignment horizontal="right"/>
    </xf>
    <xf numFmtId="0" fontId="13" fillId="0" borderId="0" xfId="0" applyFont="1" applyAlignment="1">
      <alignment horizontal="right"/>
    </xf>
    <xf numFmtId="0" fontId="13" fillId="0" borderId="28" xfId="0" applyFont="1" applyBorder="1" applyAlignment="1">
      <alignment horizontal="left"/>
    </xf>
    <xf numFmtId="0" fontId="13" fillId="0" borderId="0" xfId="0" applyFont="1" applyAlignment="1">
      <alignment horizontal="left"/>
    </xf>
    <xf numFmtId="0" fontId="6" fillId="2" borderId="0" xfId="0" applyFont="1" applyFill="1" applyBorder="1" applyAlignment="1">
      <alignment horizontal="left" vertical="top"/>
    </xf>
    <xf numFmtId="0" fontId="8" fillId="2" borderId="2" xfId="0" applyFont="1" applyFill="1" applyBorder="1" applyAlignment="1">
      <alignment horizontal="center"/>
    </xf>
    <xf numFmtId="0" fontId="8" fillId="2" borderId="29" xfId="0" applyFont="1" applyFill="1" applyBorder="1" applyAlignment="1">
      <alignment horizontal="center"/>
    </xf>
    <xf numFmtId="0" fontId="6" fillId="0" borderId="30" xfId="0" applyFont="1" applyBorder="1" applyAlignment="1">
      <alignment vertical="top"/>
    </xf>
    <xf numFmtId="0" fontId="9" fillId="0" borderId="19" xfId="0" applyFont="1" applyBorder="1" applyAlignment="1">
      <alignment vertical="top"/>
    </xf>
    <xf numFmtId="0" fontId="13" fillId="0" borderId="0" xfId="0" applyFont="1" applyBorder="1" applyAlignment="1">
      <alignment horizontal="left"/>
    </xf>
    <xf numFmtId="0" fontId="13" fillId="0" borderId="0" xfId="0" applyFont="1" applyBorder="1" applyAlignment="1">
      <alignment horizontal="right"/>
    </xf>
    <xf numFmtId="0" fontId="8" fillId="2" borderId="3" xfId="0" applyFont="1" applyFill="1" applyBorder="1" applyAlignment="1">
      <alignment horizontal="center"/>
    </xf>
    <xf numFmtId="0" fontId="8" fillId="2" borderId="4" xfId="0" applyFont="1" applyFill="1" applyBorder="1" applyAlignment="1">
      <alignment horizontal="center"/>
    </xf>
    <xf numFmtId="0" fontId="9" fillId="0" borderId="23" xfId="0" applyFont="1" applyBorder="1" applyAlignment="1">
      <alignment vertical="top"/>
    </xf>
  </cellXfs>
  <cellStyles count="10">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3" xfId="9"/>
    <cellStyle name="Normal 8"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'Tab2'!$B$71:$B$193</c:f>
              <c:numCache>
                <c:formatCode>General</c:formatCode>
                <c:ptCount val="12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'Tab2'!$C$71:$C$193</c:f>
              <c:numCache>
                <c:formatCode>General</c:formatCode>
                <c:ptCount val="123"/>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'Tab2'!$B$71:$B$193</c:f>
              <c:numCache>
                <c:formatCode>General</c:formatCode>
                <c:ptCount val="12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'Tab2'!$D$71:$D$193</c:f>
              <c:numCache>
                <c:formatCode>General</c:formatCode>
                <c:ptCount val="123"/>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numCache>
            </c:numRef>
          </c:val>
        </c:ser>
        <c:marker val="1"/>
        <c:axId val="189698816"/>
        <c:axId val="189700352"/>
      </c:lineChart>
      <c:catAx>
        <c:axId val="189698816"/>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189700352"/>
        <c:crosses val="autoZero"/>
        <c:auto val="1"/>
        <c:lblAlgn val="ctr"/>
        <c:lblOffset val="100"/>
        <c:tickLblSkip val="1"/>
        <c:tickMarkSkip val="1"/>
      </c:catAx>
      <c:valAx>
        <c:axId val="189700352"/>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698816"/>
        <c:crosses val="autoZero"/>
        <c:crossBetween val="between"/>
      </c:valAx>
      <c:spPr>
        <a:noFill/>
        <a:ln w="12700">
          <a:solidFill>
            <a:srgbClr val="808080"/>
          </a:solidFill>
          <a:prstDash val="solid"/>
        </a:ln>
      </c:spPr>
    </c:plotArea>
    <c:legend>
      <c:legendPos val="r"/>
      <c:layout>
        <c:manualLayout>
          <c:xMode val="edge"/>
          <c:yMode val="edge"/>
          <c:x val="0.59154731503155411"/>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188"/>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'Tab2'!$K$103:$K$193</c:f>
              <c:numCache>
                <c:formatCode>General</c:formatCode>
                <c:ptCount val="9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'Tab2'!$T$103:$T$193</c:f>
              <c:numCache>
                <c:formatCode>#,##0.0</c:formatCode>
                <c:ptCount val="91"/>
                <c:pt idx="0">
                  <c:v>215.0042105263158</c:v>
                </c:pt>
                <c:pt idx="1">
                  <c:v>267.5036951501155</c:v>
                </c:pt>
                <c:pt idx="2">
                  <c:v>310.89907621247119</c:v>
                </c:pt>
                <c:pt idx="3">
                  <c:v>278.45360824742272</c:v>
                </c:pt>
                <c:pt idx="4">
                  <c:v>271.05942857142855</c:v>
                </c:pt>
                <c:pt idx="5">
                  <c:v>247.67268623024833</c:v>
                </c:pt>
                <c:pt idx="6">
                  <c:v>324.57429537767757</c:v>
                </c:pt>
                <c:pt idx="7">
                  <c:v>160.9760358342665</c:v>
                </c:pt>
                <c:pt idx="8">
                  <c:v>256.80066815144767</c:v>
                </c:pt>
                <c:pt idx="9">
                  <c:v>276.69251101321595</c:v>
                </c:pt>
                <c:pt idx="10">
                  <c:v>314.57682119205299</c:v>
                </c:pt>
                <c:pt idx="11">
                  <c:v>237.53076923076924</c:v>
                </c:pt>
                <c:pt idx="12">
                  <c:v>233.4876923076923</c:v>
                </c:pt>
                <c:pt idx="13">
                  <c:v>281.14154852780808</c:v>
                </c:pt>
                <c:pt idx="14">
                  <c:v>313.5908794788275</c:v>
                </c:pt>
                <c:pt idx="15">
                  <c:v>304.23498920086394</c:v>
                </c:pt>
                <c:pt idx="16">
                  <c:v>257.59464668094216</c:v>
                </c:pt>
                <c:pt idx="17">
                  <c:v>297.98894792773649</c:v>
                </c:pt>
                <c:pt idx="18">
                  <c:v>312.93028692879903</c:v>
                </c:pt>
                <c:pt idx="19">
                  <c:v>286.55200845665991</c:v>
                </c:pt>
                <c:pt idx="20">
                  <c:v>277.02802547770705</c:v>
                </c:pt>
                <c:pt idx="21">
                  <c:v>304.1129337539432</c:v>
                </c:pt>
                <c:pt idx="22">
                  <c:v>320.86366492146595</c:v>
                </c:pt>
                <c:pt idx="23">
                  <c:v>256.52336448598146</c:v>
                </c:pt>
                <c:pt idx="24">
                  <c:v>253.61685508735872</c:v>
                </c:pt>
                <c:pt idx="25">
                  <c:v>302.07205731832136</c:v>
                </c:pt>
                <c:pt idx="26">
                  <c:v>267.37277379733888</c:v>
                </c:pt>
                <c:pt idx="27">
                  <c:v>247.17621951219499</c:v>
                </c:pt>
                <c:pt idx="28">
                  <c:v>245.33293051359522</c:v>
                </c:pt>
                <c:pt idx="29">
                  <c:v>269.12617853560681</c:v>
                </c:pt>
                <c:pt idx="30">
                  <c:v>275.9663326653307</c:v>
                </c:pt>
                <c:pt idx="31">
                  <c:v>268.54141012909628</c:v>
                </c:pt>
                <c:pt idx="32">
                  <c:v>210.9656804733728</c:v>
                </c:pt>
                <c:pt idx="33">
                  <c:v>255.98571428571427</c:v>
                </c:pt>
                <c:pt idx="34">
                  <c:v>294.19646017699125</c:v>
                </c:pt>
                <c:pt idx="35">
                  <c:v>244.01043478260863</c:v>
                </c:pt>
                <c:pt idx="36">
                  <c:v>248.73040152963674</c:v>
                </c:pt>
                <c:pt idx="37">
                  <c:v>230.66888677450049</c:v>
                </c:pt>
                <c:pt idx="38">
                  <c:v>241.96068376068374</c:v>
                </c:pt>
                <c:pt idx="39">
                  <c:v>264.52247191011242</c:v>
                </c:pt>
                <c:pt idx="40">
                  <c:v>198.91826568265682</c:v>
                </c:pt>
                <c:pt idx="41">
                  <c:v>228.15164233576641</c:v>
                </c:pt>
                <c:pt idx="42">
                  <c:v>192.66327474560592</c:v>
                </c:pt>
                <c:pt idx="43">
                  <c:v>312.48298068077276</c:v>
                </c:pt>
                <c:pt idx="44">
                  <c:v>237.91454711802379</c:v>
                </c:pt>
                <c:pt idx="45">
                  <c:v>278.92636363636365</c:v>
                </c:pt>
                <c:pt idx="46">
                  <c:v>221.19799270072997</c:v>
                </c:pt>
                <c:pt idx="47">
                  <c:v>229.6540540540542</c:v>
                </c:pt>
                <c:pt idx="48">
                  <c:v>209.82722513089007</c:v>
                </c:pt>
                <c:pt idx="49">
                  <c:v>237.76028495102403</c:v>
                </c:pt>
                <c:pt idx="50">
                  <c:v>221.70080428954424</c:v>
                </c:pt>
                <c:pt idx="51">
                  <c:v>257.78206039076389</c:v>
                </c:pt>
                <c:pt idx="52">
                  <c:v>208.76962699822377</c:v>
                </c:pt>
                <c:pt idx="53">
                  <c:v>264.65396825396829</c:v>
                </c:pt>
                <c:pt idx="54">
                  <c:v>186.9833628318583</c:v>
                </c:pt>
                <c:pt idx="55">
                  <c:v>187.76368421052643</c:v>
                </c:pt>
                <c:pt idx="56">
                  <c:v>184.56094986807389</c:v>
                </c:pt>
                <c:pt idx="57">
                  <c:v>173.94531250000009</c:v>
                </c:pt>
                <c:pt idx="58">
                  <c:v>174.66724587315372</c:v>
                </c:pt>
                <c:pt idx="59">
                  <c:v>160.85172413793111</c:v>
                </c:pt>
                <c:pt idx="60">
                  <c:v>169.7156089193825</c:v>
                </c:pt>
                <c:pt idx="61">
                  <c:v>196.26412213740457</c:v>
                </c:pt>
                <c:pt idx="62">
                  <c:v>187.18618925831206</c:v>
                </c:pt>
                <c:pt idx="63">
                  <c:v>159.11546218487391</c:v>
                </c:pt>
                <c:pt idx="64">
                  <c:v>187.20306382978725</c:v>
                </c:pt>
                <c:pt idx="65">
                  <c:v>178.82840236686388</c:v>
                </c:pt>
                <c:pt idx="66">
                  <c:v>170.5522920203735</c:v>
                </c:pt>
                <c:pt idx="67">
                  <c:v>155.33046357615902</c:v>
                </c:pt>
                <c:pt idx="68">
                  <c:v>172.57703035274815</c:v>
                </c:pt>
                <c:pt idx="69">
                  <c:v>202.91606557377051</c:v>
                </c:pt>
                <c:pt idx="70">
                  <c:v>198.86125101543456</c:v>
                </c:pt>
                <c:pt idx="71">
                  <c:v>284.08532477947091</c:v>
                </c:pt>
                <c:pt idx="72">
                  <c:v>224.11584000000002</c:v>
                </c:pt>
                <c:pt idx="73">
                  <c:v>245.96992840095467</c:v>
                </c:pt>
                <c:pt idx="74">
                  <c:v>242.89090909090902</c:v>
                </c:pt>
                <c:pt idx="75">
                  <c:v>286.87962085308067</c:v>
                </c:pt>
                <c:pt idx="76">
                  <c:v>248.20000000000007</c:v>
                </c:pt>
                <c:pt idx="77">
                  <c:v>205.51000775795194</c:v>
                </c:pt>
                <c:pt idx="78">
                  <c:v>206.35352112676051</c:v>
                </c:pt>
                <c:pt idx="79">
                  <c:v>208.81395348837211</c:v>
                </c:pt>
                <c:pt idx="80">
                  <c:v>157.94239631336407</c:v>
                </c:pt>
                <c:pt idx="81">
                  <c:v>198.4039694656488</c:v>
                </c:pt>
                <c:pt idx="82">
                  <c:v>169.88578052550227</c:v>
                </c:pt>
                <c:pt idx="83">
                  <c:v>182.3524413328164</c:v>
                </c:pt>
                <c:pt idx="84">
                  <c:v>175.33735960535859</c:v>
                </c:pt>
                <c:pt idx="85">
                  <c:v>183.78783748395833</c:v>
                </c:pt>
                <c:pt idx="86">
                  <c:v>192.07505603885937</c:v>
                </c:pt>
                <c:pt idx="87">
                  <c:v>189.55179149138243</c:v>
                </c:pt>
                <c:pt idx="88">
                  <c:v>165.82857741414739</c:v>
                </c:pt>
                <c:pt idx="89">
                  <c:v>172.36325780771759</c:v>
                </c:pt>
                <c:pt idx="90">
                  <c:v>168.82062891049887</c:v>
                </c:pt>
              </c:numCache>
            </c:numRef>
          </c:val>
        </c:ser>
        <c:marker val="1"/>
        <c:axId val="197974656"/>
        <c:axId val="197734784"/>
      </c:lineChart>
      <c:lineChart>
        <c:grouping val="standard"/>
        <c:ser>
          <c:idx val="1"/>
          <c:order val="1"/>
          <c:tx>
            <c:strRef>
              <c:f>'Tab2'!$L$70</c:f>
              <c:strCache>
                <c:ptCount val="1"/>
                <c:pt idx="0">
                  <c:v>Antall</c:v>
                </c:pt>
              </c:strCache>
            </c:strRef>
          </c:tx>
          <c:spPr>
            <a:ln w="25400"/>
          </c:spPr>
          <c:marker>
            <c:symbol val="none"/>
          </c:marker>
          <c:val>
            <c:numRef>
              <c:f>'Tab2'!$R$103:$R$193</c:f>
              <c:numCache>
                <c:formatCode>#,##0</c:formatCode>
                <c:ptCount val="91"/>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numCache>
            </c:numRef>
          </c:val>
        </c:ser>
        <c:upDownBars>
          <c:gapWidth val="150"/>
          <c:upBars/>
          <c:downBars/>
        </c:upDownBars>
        <c:marker val="1"/>
        <c:axId val="197759360"/>
        <c:axId val="197736704"/>
      </c:lineChart>
      <c:catAx>
        <c:axId val="19797465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97734784"/>
        <c:crosses val="autoZero"/>
        <c:auto val="1"/>
        <c:lblAlgn val="ctr"/>
        <c:lblOffset val="100"/>
        <c:tickLblSkip val="1"/>
        <c:tickMarkSkip val="4"/>
      </c:catAx>
      <c:valAx>
        <c:axId val="19773478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97974656"/>
        <c:crosses val="autoZero"/>
        <c:crossBetween val="between"/>
      </c:valAx>
      <c:valAx>
        <c:axId val="197736704"/>
        <c:scaling>
          <c:orientation val="minMax"/>
        </c:scaling>
        <c:axPos val="r"/>
        <c:title>
          <c:tx>
            <c:rich>
              <a:bodyPr rot="-5400000" vert="horz"/>
              <a:lstStyle/>
              <a:p>
                <a:pPr>
                  <a:defRPr/>
                </a:pPr>
                <a:r>
                  <a:rPr lang="en-US"/>
                  <a:t>Antall meldte innbrudd/tyveri/ran</a:t>
                </a:r>
              </a:p>
            </c:rich>
          </c:tx>
          <c:layout/>
        </c:title>
        <c:numFmt formatCode="#,##0" sourceLinked="1"/>
        <c:tickLblPos val="nextTo"/>
        <c:crossAx val="197759360"/>
        <c:crosses val="max"/>
        <c:crossBetween val="between"/>
      </c:valAx>
      <c:catAx>
        <c:axId val="197759360"/>
        <c:scaling>
          <c:orientation val="minMax"/>
        </c:scaling>
        <c:delete val="1"/>
        <c:axPos val="b"/>
        <c:tickLblPos val="none"/>
        <c:crossAx val="197736704"/>
        <c:crosses val="autoZero"/>
        <c:lblAlgn val="ctr"/>
        <c:lblOffset val="100"/>
      </c:catAx>
    </c:plotArea>
    <c:legend>
      <c:legendPos val="r"/>
      <c:layout>
        <c:manualLayout>
          <c:xMode val="edge"/>
          <c:yMode val="edge"/>
          <c:x val="0.5481390573786048"/>
          <c:y val="5.4665550527114352E-2"/>
          <c:w val="0.2317650782352112"/>
          <c:h val="0.1014803566673602"/>
        </c:manualLayout>
      </c:layout>
    </c:legend>
    <c:plotVisOnly val="1"/>
  </c:chart>
  <c:spPr>
    <a:ln>
      <a:noFill/>
    </a:ln>
  </c:spPr>
  <c:printSettings>
    <c:headerFooter/>
    <c:pageMargins b="0.75000000000001199" l="0.70000000000000062" r="0.70000000000000062" t="0.750000000000011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6"/>
          <c:w val="0.50084317032040471"/>
          <c:h val="0.78779840848808791"/>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007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211.3529018838876</c:v>
                </c:pt>
                <c:pt idx="1">
                  <c:v>1023.24429006785</c:v>
                </c:pt>
                <c:pt idx="2">
                  <c:v>159.65656809661201</c:v>
                </c:pt>
                <c:pt idx="3">
                  <c:v>1611.370920161663</c:v>
                </c:pt>
                <c:pt idx="4" formatCode="0.000">
                  <c:v>6185.3072910213778</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513"/>
          <c:h val="0.73545163548808634"/>
        </c:manualLayout>
      </c:layout>
      <c:barChart>
        <c:barDir val="col"/>
        <c:grouping val="clustered"/>
        <c:ser>
          <c:idx val="0"/>
          <c:order val="0"/>
          <c:tx>
            <c:strRef>
              <c:f>'Tab2'!$W$82</c:f>
              <c:strCache>
                <c:ptCount val="1"/>
                <c:pt idx="0">
                  <c:v>2011</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5218.5758676393098</c:v>
                </c:pt>
                <c:pt idx="1">
                  <c:v>4555.64023053451</c:v>
                </c:pt>
                <c:pt idx="2">
                  <c:v>1782.11540709002</c:v>
                </c:pt>
                <c:pt idx="3">
                  <c:v>1064.5444839941499</c:v>
                </c:pt>
                <c:pt idx="4">
                  <c:v>446.62186203562101</c:v>
                </c:pt>
                <c:pt idx="5">
                  <c:v>1174.2048500763599</c:v>
                </c:pt>
                <c:pt idx="6">
                  <c:v>321.90775935647298</c:v>
                </c:pt>
                <c:pt idx="7">
                  <c:v>536.25253427371001</c:v>
                </c:pt>
                <c:pt idx="8">
                  <c:v>89.156319738330794</c:v>
                </c:pt>
                <c:pt idx="9">
                  <c:v>470.94817439200619</c:v>
                </c:pt>
              </c:numCache>
            </c:numRef>
          </c:val>
        </c:ser>
        <c:ser>
          <c:idx val="1"/>
          <c:order val="1"/>
          <c:tx>
            <c:strRef>
              <c:f>'Tab2'!$X$82</c:f>
              <c:strCache>
                <c:ptCount val="1"/>
                <c:pt idx="0">
                  <c:v>2012</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4481.1932546349199</c:v>
                </c:pt>
                <c:pt idx="1">
                  <c:v>3362.85883928259</c:v>
                </c:pt>
                <c:pt idx="2">
                  <c:v>1738.8266912004501</c:v>
                </c:pt>
                <c:pt idx="3">
                  <c:v>1191.4056944198101</c:v>
                </c:pt>
                <c:pt idx="4">
                  <c:v>449.80903446908701</c:v>
                </c:pt>
                <c:pt idx="5">
                  <c:v>1250.3457337587899</c:v>
                </c:pt>
                <c:pt idx="6">
                  <c:v>320.79357679115901</c:v>
                </c:pt>
                <c:pt idx="7">
                  <c:v>634.22520512267704</c:v>
                </c:pt>
                <c:pt idx="8">
                  <c:v>75.303075636085694</c:v>
                </c:pt>
                <c:pt idx="9">
                  <c:v>707.26247875517322</c:v>
                </c:pt>
              </c:numCache>
            </c:numRef>
          </c:val>
        </c:ser>
        <c:ser>
          <c:idx val="2"/>
          <c:order val="2"/>
          <c:tx>
            <c:strRef>
              <c:f>'Tab2'!$Y$82</c:f>
              <c:strCache>
                <c:ptCount val="1"/>
                <c:pt idx="0">
                  <c:v>2013</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4830.7343936059297</c:v>
                </c:pt>
                <c:pt idx="1">
                  <c:v>3642.4443702063099</c:v>
                </c:pt>
                <c:pt idx="2">
                  <c:v>1909.6254062565899</c:v>
                </c:pt>
                <c:pt idx="3">
                  <c:v>1289.4605870123401</c:v>
                </c:pt>
                <c:pt idx="4">
                  <c:v>454.61368514410998</c:v>
                </c:pt>
                <c:pt idx="5">
                  <c:v>1420.39312070593</c:v>
                </c:pt>
                <c:pt idx="6">
                  <c:v>294.69381432008402</c:v>
                </c:pt>
                <c:pt idx="7">
                  <c:v>618.20821045853995</c:v>
                </c:pt>
                <c:pt idx="8">
                  <c:v>90.6191654838468</c:v>
                </c:pt>
                <c:pt idx="9">
                  <c:v>508.64434519154815</c:v>
                </c:pt>
              </c:numCache>
            </c:numRef>
          </c:val>
        </c:ser>
        <c:axId val="197687552"/>
        <c:axId val="197693440"/>
      </c:barChart>
      <c:catAx>
        <c:axId val="197687552"/>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97693440"/>
        <c:crosses val="autoZero"/>
        <c:auto val="1"/>
        <c:lblAlgn val="ctr"/>
        <c:lblOffset val="100"/>
        <c:tickLblSkip val="1"/>
        <c:tickMarkSkip val="1"/>
      </c:catAx>
      <c:valAx>
        <c:axId val="197693440"/>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687552"/>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485"/>
          <c:h val="0.81504826950718634"/>
        </c:manualLayout>
      </c:layout>
      <c:barChart>
        <c:barDir val="col"/>
        <c:grouping val="clustered"/>
        <c:ser>
          <c:idx val="0"/>
          <c:order val="0"/>
          <c:tx>
            <c:strRef>
              <c:f>'Tab2'!$W$100</c:f>
              <c:strCache>
                <c:ptCount val="1"/>
                <c:pt idx="0">
                  <c:v>2011</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23654</c:v>
                </c:pt>
                <c:pt idx="1">
                  <c:v>69101</c:v>
                </c:pt>
                <c:pt idx="2">
                  <c:v>27088</c:v>
                </c:pt>
                <c:pt idx="3" formatCode="_ * #,##0_ ;_ * \-#,##0_ ;_ * &quot;-&quot;??_ ;_ @_ ">
                  <c:v>119816</c:v>
                </c:pt>
              </c:numCache>
            </c:numRef>
          </c:val>
        </c:ser>
        <c:ser>
          <c:idx val="1"/>
          <c:order val="1"/>
          <c:tx>
            <c:strRef>
              <c:f>'Tab2'!$X$100</c:f>
              <c:strCache>
                <c:ptCount val="1"/>
                <c:pt idx="0">
                  <c:v>2012</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18489.05363973865</c:v>
                </c:pt>
                <c:pt idx="1">
                  <c:v>53604.460714285698</c:v>
                </c:pt>
                <c:pt idx="2">
                  <c:v>28444.781177428838</c:v>
                </c:pt>
                <c:pt idx="3" formatCode="_ * #,##0_ ;_ * \-#,##0_ ;_ * &quot;-&quot;??_ ;_ @_ ">
                  <c:v>113738.51800302984</c:v>
                </c:pt>
              </c:numCache>
            </c:numRef>
          </c:val>
        </c:ser>
        <c:ser>
          <c:idx val="2"/>
          <c:order val="2"/>
          <c:tx>
            <c:strRef>
              <c:f>'Tab2'!$Y$100</c:f>
              <c:strCache>
                <c:ptCount val="1"/>
                <c:pt idx="0">
                  <c:v>2013</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23401.955434782609</c:v>
                </c:pt>
                <c:pt idx="1">
                  <c:v>64323.581422924901</c:v>
                </c:pt>
                <c:pt idx="2">
                  <c:v>27899.02326086957</c:v>
                </c:pt>
                <c:pt idx="3" formatCode="_ * #,##0_ ;_ * \-#,##0_ ;_ * &quot;-&quot;??_ ;_ @_ ">
                  <c:v>120329.90858663073</c:v>
                </c:pt>
              </c:numCache>
            </c:numRef>
          </c:val>
        </c:ser>
        <c:axId val="197719168"/>
        <c:axId val="197720704"/>
      </c:barChart>
      <c:catAx>
        <c:axId val="19771916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720704"/>
        <c:crosses val="autoZero"/>
        <c:auto val="1"/>
        <c:lblAlgn val="ctr"/>
        <c:lblOffset val="100"/>
        <c:tickLblSkip val="1"/>
        <c:tickMarkSkip val="1"/>
      </c:catAx>
      <c:valAx>
        <c:axId val="19772070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7191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856"/>
          <c:h val="0.1630097335011840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2011</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0</c:v>
                </c:pt>
                <c:pt idx="1">
                  <c:v>2752.6507380689268</c:v>
                </c:pt>
                <c:pt idx="2">
                  <c:v>521.58573141160502</c:v>
                </c:pt>
                <c:pt idx="3">
                  <c:v>0</c:v>
                </c:pt>
              </c:numCache>
            </c:numRef>
          </c:val>
        </c:ser>
        <c:ser>
          <c:idx val="1"/>
          <c:order val="1"/>
          <c:tx>
            <c:strRef>
              <c:f>'Tab2'!$X$111</c:f>
              <c:strCache>
                <c:ptCount val="1"/>
                <c:pt idx="0">
                  <c:v>2012</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0</c:v>
                </c:pt>
                <c:pt idx="1">
                  <c:v>2369.3598134586759</c:v>
                </c:pt>
                <c:pt idx="2">
                  <c:v>549.97371188519605</c:v>
                </c:pt>
                <c:pt idx="3">
                  <c:v>0</c:v>
                </c:pt>
              </c:numCache>
            </c:numRef>
          </c:val>
        </c:ser>
        <c:ser>
          <c:idx val="2"/>
          <c:order val="2"/>
          <c:tx>
            <c:strRef>
              <c:f>'Tab2'!$Y$111</c:f>
              <c:strCache>
                <c:ptCount val="1"/>
                <c:pt idx="0">
                  <c:v>2013</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0</c:v>
                </c:pt>
                <c:pt idx="1">
                  <c:v>2770.1880581445903</c:v>
                </c:pt>
                <c:pt idx="2">
                  <c:v>516.43314093947504</c:v>
                </c:pt>
                <c:pt idx="3">
                  <c:v>0</c:v>
                </c:pt>
              </c:numCache>
            </c:numRef>
          </c:val>
        </c:ser>
        <c:axId val="197623168"/>
        <c:axId val="197649536"/>
      </c:barChart>
      <c:catAx>
        <c:axId val="19762316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649536"/>
        <c:crosses val="autoZero"/>
        <c:auto val="1"/>
        <c:lblAlgn val="ctr"/>
        <c:lblOffset val="100"/>
        <c:tickLblSkip val="1"/>
        <c:tickMarkSkip val="1"/>
      </c:catAx>
      <c:valAx>
        <c:axId val="197649536"/>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6923"/>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623168"/>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53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613"/>
          <c:y val="1.0723874628061904E-2"/>
          <c:w val="0.81766992340769262"/>
          <c:h val="0.80965253441863694"/>
        </c:manualLayout>
      </c:layout>
      <c:bar3DChart>
        <c:barDir val="bar"/>
        <c:grouping val="clustered"/>
        <c:ser>
          <c:idx val="0"/>
          <c:order val="0"/>
          <c:tx>
            <c:strRef>
              <c:f>'Tab2'!$W$121</c:f>
              <c:strCache>
                <c:ptCount val="1"/>
                <c:pt idx="0">
                  <c:v>2011</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206568</c:v>
                </c:pt>
                <c:pt idx="1">
                  <c:v>85229</c:v>
                </c:pt>
                <c:pt idx="2">
                  <c:v>94424</c:v>
                </c:pt>
                <c:pt idx="3">
                  <c:v>35634</c:v>
                </c:pt>
              </c:numCache>
            </c:numRef>
          </c:val>
        </c:ser>
        <c:ser>
          <c:idx val="1"/>
          <c:order val="1"/>
          <c:tx>
            <c:strRef>
              <c:f>'Tab2'!$X$121</c:f>
              <c:strCache>
                <c:ptCount val="1"/>
                <c:pt idx="0">
                  <c:v>2012</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220772.454545455</c:v>
                </c:pt>
                <c:pt idx="1">
                  <c:v>75898.022857142903</c:v>
                </c:pt>
                <c:pt idx="2">
                  <c:v>83319.354285714304</c:v>
                </c:pt>
                <c:pt idx="3">
                  <c:v>29692.207820197</c:v>
                </c:pt>
              </c:numCache>
            </c:numRef>
          </c:val>
        </c:ser>
        <c:ser>
          <c:idx val="2"/>
          <c:order val="2"/>
          <c:tx>
            <c:strRef>
              <c:f>'Tab2'!$Y$121</c:f>
              <c:strCache>
                <c:ptCount val="1"/>
                <c:pt idx="0">
                  <c:v>2013</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231444.56730769199</c:v>
                </c:pt>
                <c:pt idx="1">
                  <c:v>79751</c:v>
                </c:pt>
                <c:pt idx="2">
                  <c:v>83488</c:v>
                </c:pt>
                <c:pt idx="3">
                  <c:v>37080.468705207801</c:v>
                </c:pt>
              </c:numCache>
            </c:numRef>
          </c:val>
        </c:ser>
        <c:shape val="cylinder"/>
        <c:axId val="197810432"/>
        <c:axId val="197820416"/>
        <c:axId val="0"/>
      </c:bar3DChart>
      <c:catAx>
        <c:axId val="19781043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820416"/>
        <c:crosses val="autoZero"/>
        <c:auto val="1"/>
        <c:lblAlgn val="ctr"/>
        <c:lblOffset val="100"/>
        <c:tickLblSkip val="1"/>
        <c:tickMarkSkip val="1"/>
      </c:catAx>
      <c:valAx>
        <c:axId val="197820416"/>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810432"/>
        <c:crosses val="autoZero"/>
        <c:crossBetween val="between"/>
      </c:valAx>
      <c:spPr>
        <a:noFill/>
        <a:ln w="25400">
          <a:noFill/>
        </a:ln>
      </c:spPr>
    </c:plotArea>
    <c:legend>
      <c:legendPos val="r"/>
      <c:layout>
        <c:manualLayout>
          <c:xMode val="edge"/>
          <c:yMode val="edge"/>
          <c:x val="0.82142936080358375"/>
          <c:y val="0.11796274795409493"/>
          <c:w val="9.7744360902259311E-2"/>
          <c:h val="0.2305632841471300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0998"/>
          <c:y val="3.8990869354381667E-2"/>
          <c:w val="0.79213628009473036"/>
          <c:h val="0.80045961203995464"/>
        </c:manualLayout>
      </c:layout>
      <c:bar3DChart>
        <c:barDir val="bar"/>
        <c:grouping val="clustered"/>
        <c:ser>
          <c:idx val="0"/>
          <c:order val="0"/>
          <c:tx>
            <c:strRef>
              <c:f>'Tab2'!$W$128</c:f>
              <c:strCache>
                <c:ptCount val="1"/>
                <c:pt idx="0">
                  <c:v>2011</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7349</c:v>
                </c:pt>
                <c:pt idx="1">
                  <c:v>4615</c:v>
                </c:pt>
                <c:pt idx="2">
                  <c:v>7042</c:v>
                </c:pt>
                <c:pt idx="3">
                  <c:v>11793</c:v>
                </c:pt>
                <c:pt idx="4">
                  <c:v>10498</c:v>
                </c:pt>
              </c:numCache>
            </c:numRef>
          </c:val>
        </c:ser>
        <c:ser>
          <c:idx val="1"/>
          <c:order val="1"/>
          <c:tx>
            <c:strRef>
              <c:f>'Tab2'!$X$128</c:f>
              <c:strCache>
                <c:ptCount val="1"/>
                <c:pt idx="0">
                  <c:v>2012</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7393.6223776223796</c:v>
                </c:pt>
                <c:pt idx="1">
                  <c:v>4587.7753846153801</c:v>
                </c:pt>
                <c:pt idx="2">
                  <c:v>6517.3324523437504</c:v>
                </c:pt>
                <c:pt idx="3">
                  <c:v>11029.2742857143</c:v>
                </c:pt>
                <c:pt idx="4">
                  <c:v>11689.759043739299</c:v>
                </c:pt>
              </c:numCache>
            </c:numRef>
          </c:val>
        </c:ser>
        <c:ser>
          <c:idx val="2"/>
          <c:order val="2"/>
          <c:tx>
            <c:strRef>
              <c:f>'Tab2'!$Y$128</c:f>
              <c:strCache>
                <c:ptCount val="1"/>
                <c:pt idx="0">
                  <c:v>2013</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6629</c:v>
                </c:pt>
                <c:pt idx="1">
                  <c:v>5540.2820000000002</c:v>
                </c:pt>
                <c:pt idx="2">
                  <c:v>6811.7805877551</c:v>
                </c:pt>
                <c:pt idx="3">
                  <c:v>10929</c:v>
                </c:pt>
                <c:pt idx="4">
                  <c:v>13436.6175</c:v>
                </c:pt>
              </c:numCache>
            </c:numRef>
          </c:val>
        </c:ser>
        <c:shape val="cylinder"/>
        <c:axId val="197858432"/>
        <c:axId val="197859968"/>
        <c:axId val="0"/>
      </c:bar3DChart>
      <c:catAx>
        <c:axId val="19785843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859968"/>
        <c:crosses val="autoZero"/>
        <c:auto val="1"/>
        <c:lblAlgn val="ctr"/>
        <c:lblOffset val="100"/>
        <c:tickLblSkip val="1"/>
        <c:tickMarkSkip val="1"/>
      </c:catAx>
      <c:valAx>
        <c:axId val="197859968"/>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7858432"/>
        <c:crosses val="autoZero"/>
        <c:crossBetween val="between"/>
      </c:valAx>
      <c:spPr>
        <a:noFill/>
        <a:ln w="25400">
          <a:noFill/>
        </a:ln>
      </c:spPr>
    </c:plotArea>
    <c:legend>
      <c:legendPos val="r"/>
      <c:layout>
        <c:manualLayout>
          <c:xMode val="edge"/>
          <c:yMode val="edge"/>
          <c:x val="0.80711767770601706"/>
          <c:y val="0.56422090587300433"/>
          <c:w val="0.10299645128629034"/>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299" r="0.75000000000001299"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144"/>
          <c:h val="0.75545138253068456"/>
        </c:manualLayout>
      </c:layout>
      <c:lineChart>
        <c:grouping val="standard"/>
        <c:ser>
          <c:idx val="0"/>
          <c:order val="0"/>
          <c:tx>
            <c:strRef>
              <c:f>'Tab2'!$M$70</c:f>
              <c:strCache>
                <c:ptCount val="1"/>
                <c:pt idx="0">
                  <c:v>Erstatning</c:v>
                </c:pt>
              </c:strCache>
            </c:strRef>
          </c:tx>
          <c:spPr>
            <a:ln w="50800"/>
          </c:spPr>
          <c:marker>
            <c:symbol val="none"/>
          </c:marker>
          <c:cat>
            <c:numRef>
              <c:f>'Tab2'!$K$71:$K$193</c:f>
              <c:numCache>
                <c:formatCode>General</c:formatCode>
                <c:ptCount val="12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'Tab2'!$N$71:$N$193</c:f>
              <c:numCache>
                <c:formatCode>#,##0.0</c:formatCode>
                <c:ptCount val="123"/>
                <c:pt idx="0">
                  <c:v>197.58847583643126</c:v>
                </c:pt>
                <c:pt idx="1">
                  <c:v>165.51115173674592</c:v>
                </c:pt>
                <c:pt idx="2">
                  <c:v>151.35949367088611</c:v>
                </c:pt>
                <c:pt idx="3">
                  <c:v>185.40960854092526</c:v>
                </c:pt>
                <c:pt idx="4">
                  <c:v>198.81989528795816</c:v>
                </c:pt>
                <c:pt idx="5">
                  <c:v>188.06907216494844</c:v>
                </c:pt>
                <c:pt idx="6">
                  <c:v>186.46712095400341</c:v>
                </c:pt>
                <c:pt idx="7">
                  <c:v>208.56442953020132</c:v>
                </c:pt>
                <c:pt idx="8">
                  <c:v>225.38145695364238</c:v>
                </c:pt>
                <c:pt idx="9">
                  <c:v>246.34829268292683</c:v>
                </c:pt>
                <c:pt idx="10">
                  <c:v>218.29354838709679</c:v>
                </c:pt>
                <c:pt idx="11">
                  <c:v>247.57428571428571</c:v>
                </c:pt>
                <c:pt idx="12">
                  <c:v>229.53937500000001</c:v>
                </c:pt>
                <c:pt idx="13">
                  <c:v>245.61692307692309</c:v>
                </c:pt>
                <c:pt idx="14">
                  <c:v>197.68835820895524</c:v>
                </c:pt>
                <c:pt idx="15">
                  <c:v>231.34072992700729</c:v>
                </c:pt>
                <c:pt idx="16">
                  <c:v>252.73531914893616</c:v>
                </c:pt>
                <c:pt idx="17">
                  <c:v>249.40307262569837</c:v>
                </c:pt>
                <c:pt idx="18">
                  <c:v>204.09709543568465</c:v>
                </c:pt>
                <c:pt idx="19">
                  <c:v>240.12635869565219</c:v>
                </c:pt>
                <c:pt idx="20">
                  <c:v>228.5521276595745</c:v>
                </c:pt>
                <c:pt idx="21">
                  <c:v>162.92229465449805</c:v>
                </c:pt>
                <c:pt idx="22">
                  <c:v>253.75558441558442</c:v>
                </c:pt>
                <c:pt idx="23">
                  <c:v>336.15518565941107</c:v>
                </c:pt>
                <c:pt idx="24">
                  <c:v>237.48593155893536</c:v>
                </c:pt>
                <c:pt idx="25">
                  <c:v>191.94545454545457</c:v>
                </c:pt>
                <c:pt idx="26">
                  <c:v>168.89627791563274</c:v>
                </c:pt>
                <c:pt idx="27">
                  <c:v>213.08108108108107</c:v>
                </c:pt>
                <c:pt idx="28">
                  <c:v>228.15382746051037</c:v>
                </c:pt>
                <c:pt idx="29">
                  <c:v>183.55035971223023</c:v>
                </c:pt>
                <c:pt idx="30">
                  <c:v>159.18709677419358</c:v>
                </c:pt>
                <c:pt idx="31">
                  <c:v>185.28789659224444</c:v>
                </c:pt>
                <c:pt idx="32">
                  <c:v>199.94315789473688</c:v>
                </c:pt>
                <c:pt idx="33">
                  <c:v>192.24457274826784</c:v>
                </c:pt>
                <c:pt idx="34">
                  <c:v>201.19676674364899</c:v>
                </c:pt>
                <c:pt idx="35">
                  <c:v>208.0123711340207</c:v>
                </c:pt>
                <c:pt idx="36">
                  <c:v>194.32182857142857</c:v>
                </c:pt>
                <c:pt idx="37">
                  <c:v>167.43860045146729</c:v>
                </c:pt>
                <c:pt idx="38">
                  <c:v>193.47057497181504</c:v>
                </c:pt>
                <c:pt idx="39">
                  <c:v>159.65173572228451</c:v>
                </c:pt>
                <c:pt idx="40">
                  <c:v>200.31915367483293</c:v>
                </c:pt>
                <c:pt idx="41">
                  <c:v>166.71013215859037</c:v>
                </c:pt>
                <c:pt idx="42">
                  <c:v>192.60397350993378</c:v>
                </c:pt>
                <c:pt idx="43">
                  <c:v>227.85626373626366</c:v>
                </c:pt>
                <c:pt idx="44">
                  <c:v>272.90769230769234</c:v>
                </c:pt>
                <c:pt idx="45">
                  <c:v>238.58342420937842</c:v>
                </c:pt>
                <c:pt idx="46">
                  <c:v>242.39804560260586</c:v>
                </c:pt>
                <c:pt idx="47">
                  <c:v>199.79611231101524</c:v>
                </c:pt>
                <c:pt idx="48">
                  <c:v>240.71241970021413</c:v>
                </c:pt>
                <c:pt idx="49">
                  <c:v>207.08416578108404</c:v>
                </c:pt>
                <c:pt idx="50">
                  <c:v>251.62890541976614</c:v>
                </c:pt>
                <c:pt idx="51">
                  <c:v>238.90909090909099</c:v>
                </c:pt>
                <c:pt idx="52">
                  <c:v>523.92611464968149</c:v>
                </c:pt>
                <c:pt idx="53">
                  <c:v>324.42397476340699</c:v>
                </c:pt>
                <c:pt idx="54">
                  <c:v>330.21989528795831</c:v>
                </c:pt>
                <c:pt idx="55">
                  <c:v>318.47102803738329</c:v>
                </c:pt>
                <c:pt idx="56">
                  <c:v>344.7730729701953</c:v>
                </c:pt>
                <c:pt idx="57">
                  <c:v>378.3297850562949</c:v>
                </c:pt>
                <c:pt idx="58">
                  <c:v>400.65568065506653</c:v>
                </c:pt>
                <c:pt idx="59">
                  <c:v>357.47743902439026</c:v>
                </c:pt>
                <c:pt idx="60">
                  <c:v>377.12990936555889</c:v>
                </c:pt>
                <c:pt idx="61">
                  <c:v>334.10130391173522</c:v>
                </c:pt>
                <c:pt idx="62">
                  <c:v>339.55971943887778</c:v>
                </c:pt>
                <c:pt idx="63">
                  <c:v>390.2854021847071</c:v>
                </c:pt>
                <c:pt idx="64">
                  <c:v>425.6893491124261</c:v>
                </c:pt>
                <c:pt idx="65">
                  <c:v>427.75714285714287</c:v>
                </c:pt>
                <c:pt idx="66">
                  <c:v>575.60176991150433</c:v>
                </c:pt>
                <c:pt idx="67">
                  <c:v>521.28347826086917</c:v>
                </c:pt>
                <c:pt idx="68">
                  <c:v>434.52447418738052</c:v>
                </c:pt>
                <c:pt idx="69">
                  <c:v>315.56003805899144</c:v>
                </c:pt>
                <c:pt idx="70">
                  <c:v>391.20512820512823</c:v>
                </c:pt>
                <c:pt idx="71">
                  <c:v>596.46741573033705</c:v>
                </c:pt>
                <c:pt idx="72">
                  <c:v>818.58321033210325</c:v>
                </c:pt>
                <c:pt idx="73">
                  <c:v>541.90510948905114</c:v>
                </c:pt>
                <c:pt idx="74">
                  <c:v>486.70268270120272</c:v>
                </c:pt>
                <c:pt idx="75">
                  <c:v>615.77884084636594</c:v>
                </c:pt>
                <c:pt idx="76">
                  <c:v>560.82433668801468</c:v>
                </c:pt>
                <c:pt idx="77">
                  <c:v>487.97181818181821</c:v>
                </c:pt>
                <c:pt idx="78">
                  <c:v>603.04927007299273</c:v>
                </c:pt>
                <c:pt idx="79">
                  <c:v>549.51243243243255</c:v>
                </c:pt>
                <c:pt idx="80">
                  <c:v>718.68691099476439</c:v>
                </c:pt>
                <c:pt idx="81">
                  <c:v>475.16954585930563</c:v>
                </c:pt>
                <c:pt idx="82">
                  <c:v>505.52010723860587</c:v>
                </c:pt>
                <c:pt idx="83">
                  <c:v>550.68969804618109</c:v>
                </c:pt>
                <c:pt idx="84">
                  <c:v>604.13658969804612</c:v>
                </c:pt>
                <c:pt idx="85">
                  <c:v>399.41428571428565</c:v>
                </c:pt>
                <c:pt idx="86">
                  <c:v>528.04194690265479</c:v>
                </c:pt>
                <c:pt idx="87">
                  <c:v>493.55684210526351</c:v>
                </c:pt>
                <c:pt idx="88">
                  <c:v>483.07124010554088</c:v>
                </c:pt>
                <c:pt idx="89">
                  <c:v>368.65000000000003</c:v>
                </c:pt>
                <c:pt idx="90">
                  <c:v>511.78644656820154</c:v>
                </c:pt>
                <c:pt idx="91">
                  <c:v>542.36482758620684</c:v>
                </c:pt>
                <c:pt idx="92">
                  <c:v>659.25385934819906</c:v>
                </c:pt>
                <c:pt idx="93">
                  <c:v>483.47175572519075</c:v>
                </c:pt>
                <c:pt idx="94">
                  <c:v>556.29360613810729</c:v>
                </c:pt>
                <c:pt idx="95">
                  <c:v>580.36840336134469</c:v>
                </c:pt>
                <c:pt idx="96">
                  <c:v>726.44629787234044</c:v>
                </c:pt>
                <c:pt idx="97">
                  <c:v>571.14015215553684</c:v>
                </c:pt>
                <c:pt idx="98">
                  <c:v>729.72733446519567</c:v>
                </c:pt>
                <c:pt idx="99">
                  <c:v>616.97086092715199</c:v>
                </c:pt>
                <c:pt idx="100">
                  <c:v>638.02838392124681</c:v>
                </c:pt>
                <c:pt idx="101">
                  <c:v>590.65377049180336</c:v>
                </c:pt>
                <c:pt idx="102">
                  <c:v>771.42794476035783</c:v>
                </c:pt>
                <c:pt idx="103">
                  <c:v>740.87682437850867</c:v>
                </c:pt>
                <c:pt idx="104">
                  <c:v>777.46751999999992</c:v>
                </c:pt>
                <c:pt idx="105">
                  <c:v>631.17995226730329</c:v>
                </c:pt>
                <c:pt idx="106">
                  <c:v>833.77177033492808</c:v>
                </c:pt>
                <c:pt idx="107">
                  <c:v>788.08862559241732</c:v>
                </c:pt>
                <c:pt idx="108">
                  <c:v>1728.7473198286561</c:v>
                </c:pt>
                <c:pt idx="109">
                  <c:v>881.74699717475914</c:v>
                </c:pt>
                <c:pt idx="110">
                  <c:v>885.98883266483074</c:v>
                </c:pt>
                <c:pt idx="111">
                  <c:v>906.4042783384408</c:v>
                </c:pt>
                <c:pt idx="112">
                  <c:v>1071.2036333397932</c:v>
                </c:pt>
                <c:pt idx="113">
                  <c:v>778.95433427208729</c:v>
                </c:pt>
                <c:pt idx="114">
                  <c:v>928.78343223935781</c:v>
                </c:pt>
                <c:pt idx="115">
                  <c:v>782.74546768956668</c:v>
                </c:pt>
                <c:pt idx="116">
                  <c:v>867.17476662866864</c:v>
                </c:pt>
                <c:pt idx="117">
                  <c:v>633.98407180155687</c:v>
                </c:pt>
                <c:pt idx="118">
                  <c:v>874.08661897852971</c:v>
                </c:pt>
                <c:pt idx="119">
                  <c:v>823.03532558613699</c:v>
                </c:pt>
                <c:pt idx="120">
                  <c:v>1010.7734688317172</c:v>
                </c:pt>
                <c:pt idx="121">
                  <c:v>989.73802713536577</c:v>
                </c:pt>
                <c:pt idx="122">
                  <c:v>720.17900477869728</c:v>
                </c:pt>
              </c:numCache>
            </c:numRef>
          </c:val>
        </c:ser>
        <c:marker val="1"/>
        <c:axId val="197886720"/>
        <c:axId val="197888640"/>
      </c:lineChart>
      <c:lineChart>
        <c:grouping val="standard"/>
        <c:ser>
          <c:idx val="1"/>
          <c:order val="1"/>
          <c:tx>
            <c:strRef>
              <c:f>'Tab2'!$L$70</c:f>
              <c:strCache>
                <c:ptCount val="1"/>
                <c:pt idx="0">
                  <c:v>Antall</c:v>
                </c:pt>
              </c:strCache>
            </c:strRef>
          </c:tx>
          <c:spPr>
            <a:ln w="25400"/>
          </c:spPr>
          <c:marker>
            <c:symbol val="none"/>
          </c:marker>
          <c:val>
            <c:numRef>
              <c:f>'Tab2'!$L$71:$L$193</c:f>
              <c:numCache>
                <c:formatCode>#,##0</c:formatCode>
                <c:ptCount val="123"/>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numCache>
            </c:numRef>
          </c:val>
        </c:ser>
        <c:upDownBars>
          <c:gapWidth val="150"/>
          <c:upBars/>
          <c:downBars/>
        </c:upDownBars>
        <c:marker val="1"/>
        <c:axId val="197900928"/>
        <c:axId val="197899008"/>
      </c:lineChart>
      <c:catAx>
        <c:axId val="197886720"/>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197888640"/>
        <c:crosses val="autoZero"/>
        <c:auto val="1"/>
        <c:lblAlgn val="ctr"/>
        <c:lblOffset val="100"/>
        <c:tickLblSkip val="1"/>
        <c:tickMarkSkip val="4"/>
      </c:catAx>
      <c:valAx>
        <c:axId val="19788864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97886720"/>
        <c:crosses val="autoZero"/>
        <c:crossBetween val="between"/>
      </c:valAx>
      <c:valAx>
        <c:axId val="197899008"/>
        <c:scaling>
          <c:orientation val="minMax"/>
        </c:scaling>
        <c:axPos val="r"/>
        <c:title>
          <c:tx>
            <c:rich>
              <a:bodyPr rot="-5400000" vert="horz"/>
              <a:lstStyle/>
              <a:p>
                <a:pPr>
                  <a:defRPr/>
                </a:pPr>
                <a:r>
                  <a:rPr lang="en-US"/>
                  <a:t>Antall meldte vannskader</a:t>
                </a:r>
              </a:p>
            </c:rich>
          </c:tx>
          <c:layout/>
        </c:title>
        <c:numFmt formatCode="#,##0" sourceLinked="1"/>
        <c:tickLblPos val="nextTo"/>
        <c:crossAx val="197900928"/>
        <c:crosses val="max"/>
        <c:crossBetween val="between"/>
      </c:valAx>
      <c:catAx>
        <c:axId val="197900928"/>
        <c:scaling>
          <c:orientation val="minMax"/>
        </c:scaling>
        <c:delete val="1"/>
        <c:axPos val="b"/>
        <c:tickLblPos val="none"/>
        <c:crossAx val="197899008"/>
        <c:crosses val="autoZero"/>
        <c:lblAlgn val="ctr"/>
        <c:lblOffset val="100"/>
      </c:catAx>
    </c:plotArea>
    <c:legend>
      <c:legendPos val="r"/>
      <c:layout>
        <c:manualLayout>
          <c:xMode val="edge"/>
          <c:yMode val="edge"/>
          <c:x val="0.17254097125419141"/>
          <c:y val="8.1243623616814989E-2"/>
          <c:w val="0.2317650782352112"/>
          <c:h val="0.1014803566673603"/>
        </c:manualLayout>
      </c:layout>
    </c:legend>
    <c:plotVisOnly val="1"/>
  </c:chart>
  <c:spPr>
    <a:ln>
      <a:noFill/>
    </a:ln>
  </c:spPr>
  <c:printSettings>
    <c:headerFooter/>
    <c:pageMargins b="0.75000000000001155" l="0.70000000000000062" r="0.70000000000000062" t="0.7500000000000115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166"/>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'Tab2'!$K$103:$K$193</c:f>
              <c:numCache>
                <c:formatCode>General</c:formatCode>
                <c:ptCount val="9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'Tab2'!$Q$103:$Q$193</c:f>
              <c:numCache>
                <c:formatCode>#,##0.0</c:formatCode>
                <c:ptCount val="91"/>
                <c:pt idx="0">
                  <c:v>579.23578947368412</c:v>
                </c:pt>
                <c:pt idx="1">
                  <c:v>560.34665127020787</c:v>
                </c:pt>
                <c:pt idx="2">
                  <c:v>653.81362586605076</c:v>
                </c:pt>
                <c:pt idx="3">
                  <c:v>642.70103092783552</c:v>
                </c:pt>
                <c:pt idx="4">
                  <c:v>614.952</c:v>
                </c:pt>
                <c:pt idx="5">
                  <c:v>611.02483069977427</c:v>
                </c:pt>
                <c:pt idx="6">
                  <c:v>652.40766629086829</c:v>
                </c:pt>
                <c:pt idx="7">
                  <c:v>626.24680851063817</c:v>
                </c:pt>
                <c:pt idx="8">
                  <c:v>657.58530066815149</c:v>
                </c:pt>
                <c:pt idx="9">
                  <c:v>510.69449339207051</c:v>
                </c:pt>
                <c:pt idx="10">
                  <c:v>563.45364238410627</c:v>
                </c:pt>
                <c:pt idx="11">
                  <c:v>674.32747252747231</c:v>
                </c:pt>
                <c:pt idx="12">
                  <c:v>617.4356043956044</c:v>
                </c:pt>
                <c:pt idx="13">
                  <c:v>708.29901853871331</c:v>
                </c:pt>
                <c:pt idx="14">
                  <c:v>607.06514657980472</c:v>
                </c:pt>
                <c:pt idx="15">
                  <c:v>554.26393088552913</c:v>
                </c:pt>
                <c:pt idx="16">
                  <c:v>763.92077087794439</c:v>
                </c:pt>
                <c:pt idx="17">
                  <c:v>645.68926673751344</c:v>
                </c:pt>
                <c:pt idx="18">
                  <c:v>681.29713071200831</c:v>
                </c:pt>
                <c:pt idx="19">
                  <c:v>513.79344608879478</c:v>
                </c:pt>
                <c:pt idx="20">
                  <c:v>669.41464968152866</c:v>
                </c:pt>
                <c:pt idx="21">
                  <c:v>808.71104100946388</c:v>
                </c:pt>
                <c:pt idx="22">
                  <c:v>800.64565445026165</c:v>
                </c:pt>
                <c:pt idx="23">
                  <c:v>908.47476635514056</c:v>
                </c:pt>
                <c:pt idx="24">
                  <c:v>844.98437821171638</c:v>
                </c:pt>
                <c:pt idx="25">
                  <c:v>893.57379733879202</c:v>
                </c:pt>
                <c:pt idx="26">
                  <c:v>968.75557830092146</c:v>
                </c:pt>
                <c:pt idx="27">
                  <c:v>753.14634146341461</c:v>
                </c:pt>
                <c:pt idx="28">
                  <c:v>793.42839879154087</c:v>
                </c:pt>
                <c:pt idx="29">
                  <c:v>760.32758274824471</c:v>
                </c:pt>
                <c:pt idx="30">
                  <c:v>569.83887775551136</c:v>
                </c:pt>
                <c:pt idx="31">
                  <c:v>963.77398212512344</c:v>
                </c:pt>
                <c:pt idx="32">
                  <c:v>892.97573964497053</c:v>
                </c:pt>
                <c:pt idx="33">
                  <c:v>1124.4857142857143</c:v>
                </c:pt>
                <c:pt idx="34">
                  <c:v>732.58407079645986</c:v>
                </c:pt>
                <c:pt idx="35">
                  <c:v>1187.6782608695653</c:v>
                </c:pt>
                <c:pt idx="36">
                  <c:v>1029.9699808795413</c:v>
                </c:pt>
                <c:pt idx="37">
                  <c:v>842.91037107516649</c:v>
                </c:pt>
                <c:pt idx="38">
                  <c:v>881.241025641026</c:v>
                </c:pt>
                <c:pt idx="39">
                  <c:v>909.46516853932565</c:v>
                </c:pt>
                <c:pt idx="40">
                  <c:v>1063.0793357933578</c:v>
                </c:pt>
                <c:pt idx="41">
                  <c:v>1106.5894160583941</c:v>
                </c:pt>
                <c:pt idx="42">
                  <c:v>1424.8573543015725</c:v>
                </c:pt>
                <c:pt idx="43">
                  <c:v>971.05446182152741</c:v>
                </c:pt>
                <c:pt idx="44">
                  <c:v>986.28142726441013</c:v>
                </c:pt>
                <c:pt idx="45">
                  <c:v>823.1612727272726</c:v>
                </c:pt>
                <c:pt idx="46">
                  <c:v>1074.099087591241</c:v>
                </c:pt>
                <c:pt idx="47">
                  <c:v>1110.9810810810811</c:v>
                </c:pt>
                <c:pt idx="48">
                  <c:v>1246.5801047120422</c:v>
                </c:pt>
                <c:pt idx="49">
                  <c:v>956.8915405164737</c:v>
                </c:pt>
                <c:pt idx="50">
                  <c:v>1010.100804289544</c:v>
                </c:pt>
                <c:pt idx="51">
                  <c:v>889.57566607460058</c:v>
                </c:pt>
                <c:pt idx="52">
                  <c:v>857.95097690941407</c:v>
                </c:pt>
                <c:pt idx="53">
                  <c:v>820.7285714285714</c:v>
                </c:pt>
                <c:pt idx="54">
                  <c:v>758.98035398230081</c:v>
                </c:pt>
                <c:pt idx="55">
                  <c:v>817.67684210526386</c:v>
                </c:pt>
                <c:pt idx="56">
                  <c:v>826.53720316622696</c:v>
                </c:pt>
                <c:pt idx="57">
                  <c:v>850.3359375</c:v>
                </c:pt>
                <c:pt idx="58">
                  <c:v>949.93866203301502</c:v>
                </c:pt>
                <c:pt idx="59">
                  <c:v>901.44931034482727</c:v>
                </c:pt>
                <c:pt idx="60">
                  <c:v>1067.4277873070328</c:v>
                </c:pt>
                <c:pt idx="61">
                  <c:v>904.08549618320615</c:v>
                </c:pt>
                <c:pt idx="62">
                  <c:v>958.78312020460373</c:v>
                </c:pt>
                <c:pt idx="63">
                  <c:v>912.07058823529417</c:v>
                </c:pt>
                <c:pt idx="64">
                  <c:v>1221.4049361702127</c:v>
                </c:pt>
                <c:pt idx="65">
                  <c:v>1157.0530853761622</c:v>
                </c:pt>
                <c:pt idx="66">
                  <c:v>758.05976230899876</c:v>
                </c:pt>
                <c:pt idx="67">
                  <c:v>991.70016556291375</c:v>
                </c:pt>
                <c:pt idx="68">
                  <c:v>1038.6959803117311</c:v>
                </c:pt>
                <c:pt idx="69">
                  <c:v>1242.6993442622954</c:v>
                </c:pt>
                <c:pt idx="70">
                  <c:v>1586.7270511779038</c:v>
                </c:pt>
                <c:pt idx="71">
                  <c:v>1222.325581395349</c:v>
                </c:pt>
                <c:pt idx="72">
                  <c:v>1103.65488</c:v>
                </c:pt>
                <c:pt idx="73">
                  <c:v>1126.7785202863963</c:v>
                </c:pt>
                <c:pt idx="74">
                  <c:v>1339.2531100478468</c:v>
                </c:pt>
                <c:pt idx="75">
                  <c:v>1237.4018957345977</c:v>
                </c:pt>
                <c:pt idx="76">
                  <c:v>1683.0839160839164</c:v>
                </c:pt>
                <c:pt idx="77">
                  <c:v>1408.4979053529867</c:v>
                </c:pt>
                <c:pt idx="78">
                  <c:v>1322.430985915493</c:v>
                </c:pt>
                <c:pt idx="79">
                  <c:v>1335.1869767441872</c:v>
                </c:pt>
                <c:pt idx="80">
                  <c:v>1714.3562211981568</c:v>
                </c:pt>
                <c:pt idx="81">
                  <c:v>1538.0821374045804</c:v>
                </c:pt>
                <c:pt idx="82">
                  <c:v>1305.2670788253474</c:v>
                </c:pt>
                <c:pt idx="83">
                  <c:v>1295.7376126570853</c:v>
                </c:pt>
                <c:pt idx="84">
                  <c:v>1147.6937519261887</c:v>
                </c:pt>
                <c:pt idx="85">
                  <c:v>1035.4330640611572</c:v>
                </c:pt>
                <c:pt idx="86">
                  <c:v>1144.2523466705588</c:v>
                </c:pt>
                <c:pt idx="87">
                  <c:v>1066.1436220037453</c:v>
                </c:pt>
                <c:pt idx="88">
                  <c:v>1134.3713395958598</c:v>
                </c:pt>
                <c:pt idx="89">
                  <c:v>1109.2258863360812</c:v>
                </c:pt>
                <c:pt idx="90">
                  <c:v>1295.7772629363869</c:v>
                </c:pt>
              </c:numCache>
            </c:numRef>
          </c:val>
        </c:ser>
        <c:marker val="1"/>
        <c:axId val="197937024"/>
        <c:axId val="197938560"/>
      </c:lineChart>
      <c:lineChart>
        <c:grouping val="standard"/>
        <c:ser>
          <c:idx val="1"/>
          <c:order val="1"/>
          <c:tx>
            <c:strRef>
              <c:f>'Tab2'!$L$70</c:f>
              <c:strCache>
                <c:ptCount val="1"/>
                <c:pt idx="0">
                  <c:v>Antall</c:v>
                </c:pt>
              </c:strCache>
            </c:strRef>
          </c:tx>
          <c:spPr>
            <a:ln w="25400"/>
          </c:spPr>
          <c:marker>
            <c:symbol val="none"/>
          </c:marker>
          <c:val>
            <c:numRef>
              <c:f>'Tab2'!$O$103:$O$193</c:f>
              <c:numCache>
                <c:formatCode>#,##0</c:formatCode>
                <c:ptCount val="91"/>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numCache>
            </c:numRef>
          </c:val>
        </c:ser>
        <c:upDownBars>
          <c:gapWidth val="150"/>
          <c:upBars/>
          <c:downBars/>
        </c:upDownBars>
        <c:marker val="1"/>
        <c:axId val="197950848"/>
        <c:axId val="197948928"/>
      </c:lineChart>
      <c:catAx>
        <c:axId val="197937024"/>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97938560"/>
        <c:crosses val="autoZero"/>
        <c:auto val="1"/>
        <c:lblAlgn val="ctr"/>
        <c:lblOffset val="100"/>
        <c:tickLblSkip val="1"/>
        <c:tickMarkSkip val="4"/>
      </c:catAx>
      <c:valAx>
        <c:axId val="19793856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97937024"/>
        <c:crosses val="autoZero"/>
        <c:crossBetween val="between"/>
      </c:valAx>
      <c:valAx>
        <c:axId val="197948928"/>
        <c:scaling>
          <c:orientation val="minMax"/>
        </c:scaling>
        <c:axPos val="r"/>
        <c:title>
          <c:tx>
            <c:rich>
              <a:bodyPr rot="-5400000" vert="horz"/>
              <a:lstStyle/>
              <a:p>
                <a:pPr>
                  <a:defRPr/>
                </a:pPr>
                <a:r>
                  <a:rPr lang="en-US"/>
                  <a:t>Antall meldte brannskader</a:t>
                </a:r>
              </a:p>
            </c:rich>
          </c:tx>
          <c:layout/>
        </c:title>
        <c:numFmt formatCode="#,##0" sourceLinked="1"/>
        <c:tickLblPos val="nextTo"/>
        <c:crossAx val="197950848"/>
        <c:crosses val="max"/>
        <c:crossBetween val="between"/>
      </c:valAx>
      <c:catAx>
        <c:axId val="197950848"/>
        <c:scaling>
          <c:orientation val="minMax"/>
        </c:scaling>
        <c:delete val="1"/>
        <c:axPos val="b"/>
        <c:tickLblPos val="none"/>
        <c:crossAx val="197948928"/>
        <c:crosses val="autoZero"/>
        <c:lblAlgn val="ctr"/>
        <c:lblOffset val="100"/>
      </c:catAx>
    </c:plotArea>
    <c:legend>
      <c:legendPos val="r"/>
      <c:layout>
        <c:manualLayout>
          <c:xMode val="edge"/>
          <c:yMode val="edge"/>
          <c:x val="0.17254097125419141"/>
          <c:y val="8.1243623616814989E-2"/>
          <c:w val="0.2317650782352112"/>
          <c:h val="0.10148035666736026"/>
        </c:manualLayout>
      </c:layout>
    </c:legend>
    <c:plotVisOnly val="1"/>
  </c:chart>
  <c:spPr>
    <a:ln>
      <a:noFill/>
    </a:ln>
  </c:spPr>
  <c:printSettings>
    <c:headerFooter/>
    <c:pageMargins b="0.75000000000001177" l="0.70000000000000062" r="0.70000000000000062" t="0.75000000000001177"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9525</xdr:rowOff>
    </xdr:from>
    <xdr:to>
      <xdr:col>10</xdr:col>
      <xdr:colOff>0</xdr:colOff>
      <xdr:row>5</xdr:row>
      <xdr:rowOff>9525</xdr:rowOff>
    </xdr:to>
    <xdr:sp macro="" textlink="">
      <xdr:nvSpPr>
        <xdr:cNvPr id="2" name="Line 9"/>
        <xdr:cNvSpPr>
          <a:spLocks noChangeShapeType="1"/>
        </xdr:cNvSpPr>
      </xdr:nvSpPr>
      <xdr:spPr bwMode="auto">
        <a:xfrm flipH="1">
          <a:off x="7210425" y="819150"/>
          <a:ext cx="0" cy="0"/>
        </a:xfrm>
        <a:prstGeom prst="line">
          <a:avLst/>
        </a:prstGeom>
        <a:noFill/>
        <a:ln w="9525">
          <a:solidFill>
            <a:srgbClr val="000000"/>
          </a:solidFill>
          <a:round/>
          <a:headEnd/>
          <a:tailEnd/>
        </a:ln>
      </xdr:spPr>
    </xdr:sp>
    <xdr:clientData/>
  </xdr:twoCellAnchor>
  <xdr:twoCellAnchor>
    <xdr:from>
      <xdr:col>10</xdr:col>
      <xdr:colOff>0</xdr:colOff>
      <xdr:row>16</xdr:row>
      <xdr:rowOff>9525</xdr:rowOff>
    </xdr:from>
    <xdr:to>
      <xdr:col>10</xdr:col>
      <xdr:colOff>0</xdr:colOff>
      <xdr:row>16</xdr:row>
      <xdr:rowOff>9525</xdr:rowOff>
    </xdr:to>
    <xdr:sp macro="" textlink="">
      <xdr:nvSpPr>
        <xdr:cNvPr id="3" name="Line 14"/>
        <xdr:cNvSpPr>
          <a:spLocks noChangeShapeType="1"/>
        </xdr:cNvSpPr>
      </xdr:nvSpPr>
      <xdr:spPr bwMode="auto">
        <a:xfrm flipH="1">
          <a:off x="7210425" y="3409950"/>
          <a:ext cx="0" cy="0"/>
        </a:xfrm>
        <a:prstGeom prst="line">
          <a:avLst/>
        </a:prstGeom>
        <a:noFill/>
        <a:ln w="9525">
          <a:solidFill>
            <a:srgbClr val="000000"/>
          </a:solidFill>
          <a:round/>
          <a:headEnd/>
          <a:tailEnd/>
        </a:ln>
      </xdr:spPr>
    </xdr:sp>
    <xdr:clientData/>
  </xdr:twoCellAnchor>
  <xdr:twoCellAnchor editAs="oneCell">
    <xdr:from>
      <xdr:col>0</xdr:col>
      <xdr:colOff>0</xdr:colOff>
      <xdr:row>0</xdr:row>
      <xdr:rowOff>86911</xdr:rowOff>
    </xdr:from>
    <xdr:to>
      <xdr:col>2</xdr:col>
      <xdr:colOff>78709</xdr:colOff>
      <xdr:row>52</xdr:row>
      <xdr:rowOff>113113</xdr:rowOff>
    </xdr:to>
    <xdr:pic>
      <xdr:nvPicPr>
        <xdr:cNvPr id="4" name="Bilde 12" descr="Stripe_bl _r d.jpg"/>
        <xdr:cNvPicPr>
          <a:picLocks noChangeAspect="1"/>
        </xdr:cNvPicPr>
      </xdr:nvPicPr>
      <xdr:blipFill>
        <a:blip xmlns:r="http://schemas.openxmlformats.org/officeDocument/2006/relationships" r:embed="rId1" cstate="print"/>
        <a:stretch>
          <a:fillRect/>
        </a:stretch>
      </xdr:blipFill>
      <xdr:spPr>
        <a:xfrm>
          <a:off x="0" y="86911"/>
          <a:ext cx="1924178" cy="1038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104</xdr:row>
      <xdr:rowOff>0</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40200"/>
          <a:ext cx="2524125" cy="2400302"/>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104</xdr:row>
      <xdr:rowOff>28575</xdr:rowOff>
    </xdr:to>
    <xdr:sp macro="" textlink="">
      <xdr:nvSpPr>
        <xdr:cNvPr id="4" name="TextBox 3"/>
        <xdr:cNvSpPr txBox="1"/>
      </xdr:nvSpPr>
      <xdr:spPr>
        <a:xfrm>
          <a:off x="790575" y="14773274"/>
          <a:ext cx="5400675" cy="2095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9526</xdr:rowOff>
    </xdr:from>
    <xdr:to>
      <xdr:col>1</xdr:col>
      <xdr:colOff>600075</xdr:colOff>
      <xdr:row>44</xdr:row>
      <xdr:rowOff>161926</xdr:rowOff>
    </xdr:to>
    <xdr:sp macro="" textlink="">
      <xdr:nvSpPr>
        <xdr:cNvPr id="5121" name="Text Box 1"/>
        <xdr:cNvSpPr txBox="1">
          <a:spLocks noChangeArrowheads="1"/>
        </xdr:cNvSpPr>
      </xdr:nvSpPr>
      <xdr:spPr bwMode="auto">
        <a:xfrm>
          <a:off x="0" y="238126"/>
          <a:ext cx="2409825" cy="82296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1100" b="1" i="0" strike="noStrike">
              <a:solidFill>
                <a:srgbClr val="000000"/>
              </a:solidFill>
              <a:latin typeface="Times New Roman"/>
              <a:ea typeface="+mn-ea"/>
              <a:cs typeface="Times New Roman"/>
            </a:rPr>
            <a:t>1. </a:t>
          </a:r>
          <a:r>
            <a:rPr lang="en-US" sz="1100" b="1" i="0" strike="noStrike">
              <a:solidFill>
                <a:srgbClr val="000000"/>
              </a:solidFill>
              <a:latin typeface="Times New Roman"/>
              <a:ea typeface="+mn-ea"/>
              <a:cs typeface="Times New Roman"/>
            </a:rPr>
            <a:t>HOVEDTREKK – mye vann og lite tyveri og innbrudd hittil i 2013</a:t>
          </a:r>
        </a:p>
        <a:p>
          <a:pPr rtl="0"/>
          <a:r>
            <a:rPr lang="en-US" sz="1100" b="0" i="0" strike="noStrike">
              <a:solidFill>
                <a:srgbClr val="000000"/>
              </a:solidFill>
              <a:latin typeface="Times New Roman"/>
              <a:ea typeface="+mn-ea"/>
              <a:cs typeface="Times New Roman"/>
            </a:rPr>
            <a:t>Totalt ble det erstattet skader for 24,3 milliarder kr hittil i år, hvor 38 prosent er erstatning på motorkjøretøy, mens 35 prosent går til erstatning på private boliger og næringsbygg.</a:t>
          </a:r>
        </a:p>
        <a:p>
          <a:pPr rtl="0"/>
          <a:r>
            <a:rPr lang="en-US" sz="1100" b="0" i="0" strike="noStrike">
              <a:solidFill>
                <a:srgbClr val="000000"/>
              </a:solidFill>
              <a:latin typeface="Times New Roman"/>
              <a:ea typeface="+mn-ea"/>
              <a:cs typeface="Times New Roman"/>
            </a:rPr>
            <a:t>Erstatningene for landbasert forsikring totalt økte med nesten 5 prosent fra de første tre kvartalene i fjor. Økningen skyldes hovedsakelig erstatning etter vann og brann på boliger og næringsbygg. Til sammen økte erstatningene etter vannskader på disse bransjene med 17 prosent og erstatningene etter brann økte med 9 prosent.</a:t>
          </a:r>
          <a:endParaRPr lang="nb-NO" sz="1100" b="0" i="0" strike="noStrike">
            <a:solidFill>
              <a:srgbClr val="000000"/>
            </a:solidFill>
            <a:latin typeface="Times New Roman"/>
            <a:ea typeface="+mn-ea"/>
            <a:cs typeface="Times New Roman"/>
          </a:endParaRPr>
        </a:p>
        <a:p>
          <a:pPr rtl="0"/>
          <a:endParaRPr lang="en-US" sz="1100" b="1" i="0" strike="noStrike">
            <a:solidFill>
              <a:srgbClr val="000000"/>
            </a:solidFill>
            <a:latin typeface="Times New Roman"/>
            <a:ea typeface="+mn-ea"/>
            <a:cs typeface="Times New Roman"/>
          </a:endParaRPr>
        </a:p>
        <a:p>
          <a:pPr rtl="0"/>
          <a:r>
            <a:rPr lang="en-US" sz="1100" b="1" i="0" strike="noStrike">
              <a:solidFill>
                <a:srgbClr val="000000"/>
              </a:solidFill>
              <a:latin typeface="Times New Roman"/>
              <a:ea typeface="+mn-ea"/>
              <a:cs typeface="Times New Roman"/>
            </a:rPr>
            <a:t>Motorvognforsikring – lite tyveri, mye glass- og redningsskader</a:t>
          </a:r>
        </a:p>
        <a:p>
          <a:pPr rtl="0" fontAlgn="base"/>
          <a:r>
            <a:rPr lang="en-US" sz="1100" b="0" i="0" strike="noStrike">
              <a:solidFill>
                <a:srgbClr val="000000"/>
              </a:solidFill>
              <a:latin typeface="Times New Roman"/>
              <a:ea typeface="+mn-ea"/>
              <a:cs typeface="Times New Roman"/>
            </a:rPr>
            <a:t>Antall tyveri av bil hittil i år er på nesten 3800 meldte tilfeller, og dette er en reduksjon på 550 fra samme periode i fjor. Til sammenligning var det 6000 biltyverier som ble meldt til forsikringsselskapene i samme periode i 2010. Antall glass- og redningsskader viser fortsatt stor økning fra i fjor med 5 prosent og 11 prosent hhv. Erstatninger etter glasskader hittil i år har allerede rundet 1 milliard kr som er en økning på drøye 3 prosent fra i fjor. Kaskoskadene økte med drøye 10 prosent i antall fra i fjor, mens erstatningene bare økt med litt over 2 prosent.</a:t>
          </a:r>
        </a:p>
        <a:p>
          <a:pPr rtl="0" fontAlgn="base"/>
          <a:endParaRPr lang="en-US" sz="1100" b="0" i="0" strike="noStrike">
            <a:solidFill>
              <a:srgbClr val="000000"/>
            </a:solidFill>
            <a:latin typeface="Times New Roman"/>
            <a:ea typeface="+mn-ea"/>
            <a:cs typeface="Times New Roman"/>
          </a:endParaRPr>
        </a:p>
        <a:p>
          <a:pPr rtl="0"/>
          <a:r>
            <a:rPr lang="en-US" sz="1100" b="1" i="0" strike="noStrike">
              <a:solidFill>
                <a:srgbClr val="000000"/>
              </a:solidFill>
              <a:latin typeface="Times New Roman"/>
              <a:ea typeface="+mn-ea"/>
              <a:cs typeface="Times New Roman"/>
            </a:rPr>
            <a:t>Brann-kombinert privatmarkedet – økte brann- og vannskader</a:t>
          </a:r>
          <a:endParaRPr lang="nb-NO" sz="1100" b="1" i="0" strike="noStrike">
            <a:solidFill>
              <a:srgbClr val="000000"/>
            </a:solidFill>
            <a:latin typeface="Times New Roman"/>
            <a:ea typeface="+mn-ea"/>
            <a:cs typeface="Times New Roman"/>
          </a:endParaRPr>
        </a:p>
        <a:p>
          <a:r>
            <a:rPr lang="en-US" sz="1100" b="0" i="0" strike="noStrike">
              <a:solidFill>
                <a:srgbClr val="000000"/>
              </a:solidFill>
              <a:latin typeface="Times New Roman"/>
              <a:ea typeface="+mn-ea"/>
              <a:cs typeface="Times New Roman"/>
            </a:rPr>
            <a:t>Antall branner økte med 26 prosent fra samme periode i fjor, mens de var 1 prosent færre enn samme periode i 2011. Tilsvarende økte erstatningene etter brann med 9 prosent fra i fjor, mens de ble redusert med 4,5 prosent fra 2011. I stor grad skyldes antallsøkningen fra i fjor at det har vært flere lynnedslag. Antall meldte skader etter innbrudd, tyveri og ran, er redusert fra i fjor med 2 prosent,</a:t>
          </a:r>
        </a:p>
      </xdr:txBody>
    </xdr:sp>
    <xdr:clientData/>
  </xdr:twoCellAnchor>
  <xdr:twoCellAnchor>
    <xdr:from>
      <xdr:col>2</xdr:col>
      <xdr:colOff>304800</xdr:colOff>
      <xdr:row>3</xdr:row>
      <xdr:rowOff>9525</xdr:rowOff>
    </xdr:from>
    <xdr:to>
      <xdr:col>6</xdr:col>
      <xdr:colOff>457199</xdr:colOff>
      <xdr:row>44</xdr:row>
      <xdr:rowOff>152400</xdr:rowOff>
    </xdr:to>
    <xdr:sp macro="" textlink="">
      <xdr:nvSpPr>
        <xdr:cNvPr id="5122" name="Text Box 2"/>
        <xdr:cNvSpPr txBox="1">
          <a:spLocks noChangeArrowheads="1"/>
        </xdr:cNvSpPr>
      </xdr:nvSpPr>
      <xdr:spPr bwMode="auto">
        <a:xfrm>
          <a:off x="2828925" y="238125"/>
          <a:ext cx="2609849" cy="8220075"/>
        </a:xfrm>
        <a:prstGeom prst="rect">
          <a:avLst/>
        </a:prstGeom>
        <a:solidFill>
          <a:srgbClr val="FFFFFF"/>
        </a:solidFill>
        <a:ln w="9525">
          <a:noFill/>
          <a:miter lim="800000"/>
          <a:headEnd/>
          <a:tailEnd/>
        </a:ln>
      </xdr:spPr>
      <xdr:txBody>
        <a:bodyPr vertOverflow="clip" wrap="square" lIns="27432" tIns="27432" rIns="0" bIns="0" anchor="t" upright="1"/>
        <a:lstStyle/>
        <a:p>
          <a:pPr marL="0" marR="0" indent="0" defTabSz="914400" eaLnBrk="1" fontAlgn="base" latinLnBrk="0" hangingPunct="1">
            <a:lnSpc>
              <a:spcPct val="100000"/>
            </a:lnSpc>
            <a:spcBef>
              <a:spcPts val="0"/>
            </a:spcBef>
            <a:spcAft>
              <a:spcPts val="0"/>
            </a:spcAft>
            <a:buClrTx/>
            <a:buSzTx/>
            <a:buFontTx/>
            <a:buNone/>
            <a:tabLst/>
            <a:defRPr/>
          </a:pPr>
          <a:r>
            <a:rPr lang="en-US" sz="1100" b="0" i="0" strike="noStrike" baseline="0">
              <a:solidFill>
                <a:srgbClr val="000000"/>
              </a:solidFill>
              <a:latin typeface="Times New Roman"/>
              <a:ea typeface="+mn-ea"/>
              <a:cs typeface="Times New Roman"/>
            </a:rPr>
            <a:t>og erstatningene ble redusert med nesten 6 prosent. Største reduksjon er det i hytte- og villainnbrudd.</a:t>
          </a:r>
          <a:endParaRPr lang="nb-NO" sz="1100" b="0" i="0" strike="noStrike" baseline="0">
            <a:solidFill>
              <a:srgbClr val="000000"/>
            </a:solidFill>
            <a:latin typeface="Times New Roman"/>
            <a:ea typeface="+mn-ea"/>
            <a:cs typeface="Times New Roman"/>
          </a:endParaRPr>
        </a:p>
        <a:p>
          <a:pPr fontAlgn="base"/>
          <a:endParaRPr lang="nb-NO" sz="1100" b="1" i="0" strike="noStrike" baseline="0">
            <a:solidFill>
              <a:srgbClr val="000000"/>
            </a:solidFill>
            <a:latin typeface="Times New Roman"/>
            <a:ea typeface="+mn-ea"/>
            <a:cs typeface="Times New Roman"/>
          </a:endParaRPr>
        </a:p>
        <a:p>
          <a:pPr fontAlgn="base"/>
          <a:r>
            <a:rPr lang="nb-NO" sz="1100" b="1" i="0" strike="noStrike" baseline="0">
              <a:solidFill>
                <a:srgbClr val="000000"/>
              </a:solidFill>
              <a:latin typeface="Times New Roman"/>
              <a:ea typeface="+mn-ea"/>
              <a:cs typeface="Times New Roman"/>
            </a:rPr>
            <a:t>Brann-kombinert Næring – stor vannskadeøkning</a:t>
          </a:r>
        </a:p>
        <a:p>
          <a:pPr fontAlgn="base"/>
          <a:r>
            <a:rPr lang="nb-NO" sz="1100" b="0" i="0" strike="noStrike" baseline="0">
              <a:solidFill>
                <a:srgbClr val="000000"/>
              </a:solidFill>
              <a:latin typeface="Times New Roman"/>
              <a:ea typeface="+mn-ea"/>
              <a:cs typeface="Times New Roman"/>
            </a:rPr>
            <a:t>Antall skader har økt mye fra de tre første kvartalene i fjor; med nesten 25 prosent. Dette skyldes hovedsakelig vannskadene hvor antallsveksten er på nesten 23 prosent. Mange av vannskadene skyldes vanninntrenging utenfra (pga mye nedbør i første halvår), men økningen i antall vannskader skyldes også rørbrudd innvendig. Brannskadene betyr fortsatt mest for de totale erstatningene på næring; økningen her er på 8 prosent fra i fjor, mens det er en reduksjon på nesten 32 prosent fra 2011. Antall branner har økt mye fra i fjor, noe som skyldes at det har vært mange ”kalde branner” slik som lynnedslag og disse gir mindre skadeomfang/-beløp. Fortsatt er det meldt færre innbrudd/tyveri og ran; 1 prosent reduksjon fra i fjor, og med en erstatningsreduksjon på 7 prosent.</a:t>
          </a:r>
        </a:p>
        <a:p>
          <a:pPr fontAlgn="base"/>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Reiseforsikring </a:t>
          </a:r>
          <a:r>
            <a:rPr lang="nb-NO" sz="1100" b="1" i="0" strike="noStrike" baseline="0">
              <a:solidFill>
                <a:srgbClr val="000000"/>
              </a:solidFill>
              <a:latin typeface="Times New Roman"/>
              <a:ea typeface="+mn-ea"/>
              <a:cs typeface="Times New Roman"/>
            </a:rPr>
            <a:t>– stor erstatningsøkning</a:t>
          </a:r>
        </a:p>
        <a:p>
          <a:pPr algn="l" rtl="0">
            <a:defRPr sz="1000"/>
          </a:pPr>
          <a:r>
            <a:rPr lang="nb-NO" sz="1100" b="0" i="0" strike="noStrike" baseline="0">
              <a:solidFill>
                <a:srgbClr val="000000"/>
              </a:solidFill>
              <a:latin typeface="Times New Roman"/>
              <a:ea typeface="+mn-ea"/>
              <a:cs typeface="Times New Roman"/>
            </a:rPr>
            <a:t>Antall reiseskader økte med nesten 5 prosent fra samme periode i fjor. I prosent økte reiseulykkesskadene mest, men i absoluttverdi er det fortsatt reisesykdomsskader som øker mest; økningen her er på drøye 3000 flere tilfeller, mens det er drøye 1000 flere tilfelle av ulykkesskader. Erstatningsveksten etter reiseskader er på nesten 14 prosent, hvor det er reiseulykke og –sykdom, samt avbestilling som betyr mest for økningen, disse skadene har økt med til sammen 10 prosent fra samme periode i fjor.</a:t>
          </a:r>
        </a:p>
        <a:p>
          <a:pPr algn="l" rtl="0">
            <a:defRPr sz="1000"/>
          </a:pPr>
          <a:endParaRPr lang="nb-NO" sz="1100" b="0" i="0" strike="noStrike" baseline="0">
            <a:solidFill>
              <a:srgbClr val="000000"/>
            </a:solidFill>
            <a:latin typeface="Times New Roman"/>
            <a:ea typeface="+mn-ea"/>
            <a:cs typeface="Times New Roman"/>
          </a:endParaRPr>
        </a:p>
        <a:p>
          <a:pPr algn="l" rtl="0">
            <a:defRPr sz="1000"/>
          </a:pPr>
          <a:r>
            <a:rPr lang="nb-NO" sz="1100" b="1" i="0" strike="noStrike" baseline="0">
              <a:solidFill>
                <a:srgbClr val="000000"/>
              </a:solidFill>
              <a:latin typeface="Times New Roman"/>
              <a:ea typeface="+mn-ea"/>
              <a:cs typeface="Times New Roman"/>
            </a:rPr>
            <a:t>Fritidsbåtforsikring – lite skader til tross for god sommer</a:t>
          </a:r>
        </a:p>
        <a:p>
          <a:pPr algn="l" rtl="0">
            <a:defRPr sz="1000"/>
          </a:pPr>
          <a:r>
            <a:rPr lang="nb-NO" sz="1100" b="0" i="0" strike="noStrike" baseline="0">
              <a:solidFill>
                <a:srgbClr val="000000"/>
              </a:solidFill>
              <a:latin typeface="Times New Roman"/>
              <a:ea typeface="+mn-ea"/>
              <a:cs typeface="Times New Roman"/>
            </a:rPr>
            <a:t>Antall fritidsbåtskader ble redusert med 10 prosent fra samme periode i fjor, og 8 prosent reduksjon i erstatningene. Havariskadene som utgjør omtrent halvparten av erstatningene, og disse er redusert med 13 prosent fra i fjor.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28575</xdr:colOff>
      <xdr:row>51</xdr:row>
      <xdr:rowOff>0</xdr:rowOff>
    </xdr:to>
    <xdr:sp macro="" textlink="">
      <xdr:nvSpPr>
        <xdr:cNvPr id="6145" name="Text Box 1"/>
        <xdr:cNvSpPr txBox="1">
          <a:spLocks noChangeArrowheads="1"/>
        </xdr:cNvSpPr>
      </xdr:nvSpPr>
      <xdr:spPr bwMode="auto">
        <a:xfrm>
          <a:off x="0" y="711200"/>
          <a:ext cx="2555875" cy="93091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Prinsipper</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er lagt vekt på å kunne presentere så aktuelle tall som mulig. Tidligere tall oppdateres ikke, men presenteres for å vise hva man trodde på tilsvarende tidspunkt for de to foregående år. </a:t>
          </a:r>
        </a:p>
        <a:p>
          <a:pPr algn="l" rtl="0">
            <a:defRPr sz="1000"/>
          </a:pPr>
          <a:endParaRPr lang="en-US" sz="8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Gouda Reiseforsikring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ea typeface="+mn-ea"/>
              <a:cs typeface="Times New Roman" pitchFamily="18" charset="0"/>
            </a:rPr>
            <a:t>Unison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190500</xdr:rowOff>
    </xdr:from>
    <xdr:to>
      <xdr:col>7</xdr:col>
      <xdr:colOff>0</xdr:colOff>
      <xdr:row>50</xdr:row>
      <xdr:rowOff>28575</xdr:rowOff>
    </xdr:to>
    <xdr:sp macro="" textlink="">
      <xdr:nvSpPr>
        <xdr:cNvPr id="6146" name="Text Box 2"/>
        <xdr:cNvSpPr txBox="1">
          <a:spLocks noChangeArrowheads="1"/>
        </xdr:cNvSpPr>
      </xdr:nvSpPr>
      <xdr:spPr bwMode="auto">
        <a:xfrm>
          <a:off x="2876550" y="695325"/>
          <a:ext cx="2647950" cy="9039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190500</xdr:rowOff>
    </xdr:from>
    <xdr:to>
      <xdr:col>10</xdr:col>
      <xdr:colOff>371475</xdr:colOff>
      <xdr:row>50</xdr:row>
      <xdr:rowOff>38100</xdr:rowOff>
    </xdr:to>
    <xdr:sp macro="" textlink="">
      <xdr:nvSpPr>
        <xdr:cNvPr id="6151" name="Text Box 7"/>
        <xdr:cNvSpPr txBox="1">
          <a:spLocks noChangeArrowheads="1"/>
        </xdr:cNvSpPr>
      </xdr:nvSpPr>
      <xdr:spPr bwMode="auto">
        <a:xfrm>
          <a:off x="56292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Brannstatistikkene utgitt av FNO. Det henvises til disse statistikkene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190500</xdr:rowOff>
    </xdr:from>
    <xdr:to>
      <xdr:col>14</xdr:col>
      <xdr:colOff>257175</xdr:colOff>
      <xdr:row>50</xdr:row>
      <xdr:rowOff>38100</xdr:rowOff>
    </xdr:to>
    <xdr:sp macro="" textlink="">
      <xdr:nvSpPr>
        <xdr:cNvPr id="6152" name="Text Box 8"/>
        <xdr:cNvSpPr txBox="1">
          <a:spLocks noChangeArrowheads="1"/>
        </xdr:cNvSpPr>
      </xdr:nvSpPr>
      <xdr:spPr bwMode="auto">
        <a:xfrm>
          <a:off x="85629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5:I49"/>
  <sheetViews>
    <sheetView showGridLines="0" showRowColHeaders="0" topLeftCell="A2" zoomScale="80" zoomScaleNormal="80" workbookViewId="0"/>
  </sheetViews>
  <sheetFormatPr defaultColWidth="11.42578125" defaultRowHeight="12.75"/>
  <cols>
    <col min="1" max="1" width="16.28515625" style="95" customWidth="1"/>
    <col min="2" max="2" width="11.42578125" style="95" customWidth="1"/>
    <col min="3" max="3" width="3.5703125" style="95" customWidth="1"/>
    <col min="4" max="4" width="0.5703125" style="95" customWidth="1"/>
    <col min="5" max="7" width="11.42578125" style="95" customWidth="1"/>
    <col min="8" max="8" width="16.85546875" style="95" customWidth="1"/>
    <col min="9" max="9" width="13.7109375" style="95" bestFit="1" customWidth="1"/>
    <col min="10" max="16384" width="11.42578125" style="95"/>
  </cols>
  <sheetData>
    <row r="5" spans="2:9">
      <c r="B5" s="94"/>
      <c r="C5" s="94"/>
      <c r="D5" s="94"/>
      <c r="E5" s="94"/>
      <c r="F5" s="94"/>
      <c r="G5" s="94"/>
      <c r="H5" s="94"/>
    </row>
    <row r="6" spans="2:9" ht="23.25">
      <c r="B6" s="94"/>
      <c r="C6" s="94"/>
      <c r="D6" s="94"/>
      <c r="E6" s="94"/>
      <c r="F6" s="94"/>
      <c r="G6" s="94"/>
      <c r="H6" s="94"/>
      <c r="I6" s="96"/>
    </row>
    <row r="7" spans="2:9">
      <c r="B7" s="94"/>
      <c r="C7" s="94"/>
      <c r="D7" s="94"/>
      <c r="E7" s="94"/>
      <c r="F7" s="94"/>
      <c r="G7" s="94"/>
      <c r="H7" s="94"/>
      <c r="I7" s="94"/>
    </row>
    <row r="8" spans="2:9">
      <c r="B8" s="94"/>
      <c r="C8" s="94"/>
      <c r="D8" s="94"/>
      <c r="F8" s="94"/>
      <c r="G8" s="94"/>
      <c r="H8" s="94"/>
    </row>
    <row r="9" spans="2:9">
      <c r="B9" s="94"/>
      <c r="C9" s="94"/>
      <c r="D9" s="94"/>
      <c r="E9" s="94"/>
      <c r="F9" s="94"/>
      <c r="G9" s="94"/>
      <c r="H9" s="94"/>
    </row>
    <row r="10" spans="2:9" ht="23.25">
      <c r="B10" s="94"/>
      <c r="C10" s="94"/>
      <c r="D10" s="94"/>
      <c r="I10" s="96"/>
    </row>
    <row r="11" spans="2:9">
      <c r="B11" s="94"/>
      <c r="C11" s="94"/>
      <c r="D11" s="94"/>
    </row>
    <row r="12" spans="2:9" ht="21" customHeight="1">
      <c r="B12" s="94"/>
      <c r="C12" s="94"/>
      <c r="D12" s="94"/>
      <c r="E12" s="94"/>
      <c r="F12" s="94"/>
      <c r="G12" s="94"/>
      <c r="H12" s="94"/>
      <c r="I12" s="96"/>
    </row>
    <row r="13" spans="2:9" ht="20.25" customHeight="1">
      <c r="B13" s="94"/>
      <c r="C13" s="94"/>
      <c r="D13" s="97"/>
      <c r="E13" s="98" t="s">
        <v>158</v>
      </c>
      <c r="F13" s="97"/>
      <c r="G13" s="97"/>
      <c r="H13" s="97"/>
      <c r="I13" s="96"/>
    </row>
    <row r="14" spans="2:9">
      <c r="B14" s="94"/>
      <c r="C14" s="94"/>
      <c r="D14" s="94"/>
      <c r="F14" s="94"/>
      <c r="G14" s="94"/>
      <c r="H14" s="94"/>
    </row>
    <row r="15" spans="2:9" ht="18" customHeight="1">
      <c r="B15" s="94"/>
      <c r="C15" s="94"/>
      <c r="D15" s="94"/>
      <c r="F15" s="94"/>
      <c r="G15" s="94"/>
      <c r="H15" s="94"/>
      <c r="I15" s="94"/>
    </row>
    <row r="16" spans="2:9" ht="34.5">
      <c r="B16" s="94"/>
      <c r="C16" s="94"/>
      <c r="D16" s="94"/>
      <c r="E16" s="99" t="s">
        <v>158</v>
      </c>
      <c r="F16" s="94"/>
      <c r="G16" s="94"/>
      <c r="H16" s="94"/>
      <c r="I16" s="94"/>
    </row>
    <row r="17" spans="2:9" ht="33">
      <c r="B17" s="94"/>
      <c r="C17" s="94"/>
      <c r="D17" s="94"/>
      <c r="E17" s="107" t="s">
        <v>88</v>
      </c>
      <c r="F17" s="94"/>
      <c r="G17" s="94"/>
      <c r="H17" s="94"/>
      <c r="I17" s="94"/>
    </row>
    <row r="19" spans="2:9" ht="15.75">
      <c r="E19" s="100"/>
      <c r="I19" s="101"/>
    </row>
    <row r="21" spans="2:9">
      <c r="E21" s="102"/>
    </row>
    <row r="22" spans="2:9" ht="26.25">
      <c r="E22" s="103" t="s">
        <v>195</v>
      </c>
    </row>
    <row r="25" spans="2:9" ht="18.75">
      <c r="E25" s="104" t="s">
        <v>159</v>
      </c>
    </row>
    <row r="26" spans="2:9" ht="18.75">
      <c r="E26" s="104" t="s">
        <v>160</v>
      </c>
    </row>
    <row r="28" spans="2:9" ht="20.25" customHeight="1">
      <c r="D28" s="105"/>
      <c r="E28" s="105"/>
      <c r="F28" s="105"/>
      <c r="G28" s="105"/>
      <c r="H28" s="105"/>
    </row>
    <row r="41" spans="2:9" ht="18.75">
      <c r="I41" s="106"/>
    </row>
    <row r="43" spans="2:9" ht="18.75">
      <c r="B43" s="141"/>
      <c r="C43" s="141"/>
      <c r="D43" s="141"/>
    </row>
    <row r="49" spans="5:5" ht="18.75">
      <c r="E49" s="109" t="s">
        <v>196</v>
      </c>
    </row>
  </sheetData>
  <mergeCells count="1">
    <mergeCell ref="B43:D43"/>
  </mergeCells>
  <pageMargins left="0" right="0" top="0" bottom="0" header="0.51181102362204722" footer="0.51181102362204722"/>
  <pageSetup paperSize="9"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42</v>
      </c>
      <c r="B7" s="19" t="s">
        <v>3</v>
      </c>
      <c r="C7" s="20">
        <v>119248.228571429</v>
      </c>
      <c r="D7" s="20">
        <v>109466</v>
      </c>
      <c r="E7" s="21">
        <v>108270.75780587437</v>
      </c>
      <c r="F7" s="22" t="s">
        <v>206</v>
      </c>
      <c r="G7" s="23">
        <v>-9.2055629648026098</v>
      </c>
      <c r="H7" s="24">
        <v>-1.0918844153669909</v>
      </c>
    </row>
    <row r="8" spans="1:8">
      <c r="A8" s="150"/>
      <c r="B8" s="25" t="s">
        <v>207</v>
      </c>
      <c r="C8" s="26">
        <v>94424</v>
      </c>
      <c r="D8" s="26">
        <v>83319.354285714304</v>
      </c>
      <c r="E8" s="26">
        <v>83488</v>
      </c>
      <c r="F8" s="27"/>
      <c r="G8" s="28">
        <v>-11.581801236973661</v>
      </c>
      <c r="H8" s="29">
        <v>0.20240881093171481</v>
      </c>
    </row>
    <row r="9" spans="1:8">
      <c r="A9" s="30" t="s">
        <v>18</v>
      </c>
      <c r="B9" s="31" t="s">
        <v>3</v>
      </c>
      <c r="C9" s="20">
        <v>12509.9027027027</v>
      </c>
      <c r="D9" s="20">
        <v>8432</v>
      </c>
      <c r="E9" s="21">
        <v>11483.906758677102</v>
      </c>
      <c r="F9" s="22" t="s">
        <v>206</v>
      </c>
      <c r="G9" s="32">
        <v>-8.2014702145040417</v>
      </c>
      <c r="H9" s="33">
        <v>36.194340117138324</v>
      </c>
    </row>
    <row r="10" spans="1:8">
      <c r="A10" s="34"/>
      <c r="B10" s="25" t="s">
        <v>207</v>
      </c>
      <c r="C10" s="26">
        <v>9171</v>
      </c>
      <c r="D10" s="26">
        <v>6575.3343243243198</v>
      </c>
      <c r="E10" s="26">
        <v>8769</v>
      </c>
      <c r="F10" s="27"/>
      <c r="G10" s="35">
        <v>-4.3833824010467737</v>
      </c>
      <c r="H10" s="29">
        <v>33.362040125634252</v>
      </c>
    </row>
    <row r="11" spans="1:8">
      <c r="A11" s="30" t="s">
        <v>19</v>
      </c>
      <c r="B11" s="31" t="s">
        <v>3</v>
      </c>
      <c r="C11" s="20">
        <v>6978.7619047619</v>
      </c>
      <c r="D11" s="20">
        <v>5975</v>
      </c>
      <c r="E11" s="21">
        <v>5847.8933877530599</v>
      </c>
      <c r="F11" s="22" t="s">
        <v>206</v>
      </c>
      <c r="G11" s="37">
        <v>-16.204428986711832</v>
      </c>
      <c r="H11" s="33">
        <v>-2.1273073179404207</v>
      </c>
    </row>
    <row r="12" spans="1:8">
      <c r="A12" s="34"/>
      <c r="B12" s="25" t="s">
        <v>207</v>
      </c>
      <c r="C12" s="26">
        <v>5635</v>
      </c>
      <c r="D12" s="26">
        <v>4689.5642857142902</v>
      </c>
      <c r="E12" s="26">
        <v>4633</v>
      </c>
      <c r="F12" s="27"/>
      <c r="G12" s="28">
        <v>-17.781721384205852</v>
      </c>
      <c r="H12" s="29">
        <v>-1.2061735860322926</v>
      </c>
    </row>
    <row r="13" spans="1:8">
      <c r="A13" s="30" t="s">
        <v>20</v>
      </c>
      <c r="B13" s="31" t="s">
        <v>3</v>
      </c>
      <c r="C13" s="20">
        <v>22613.746938775501</v>
      </c>
      <c r="D13" s="20">
        <v>23506</v>
      </c>
      <c r="E13" s="21">
        <v>22386.470894476835</v>
      </c>
      <c r="F13" s="22" t="s">
        <v>206</v>
      </c>
      <c r="G13" s="23">
        <v>-1.0050348795093242</v>
      </c>
      <c r="H13" s="24">
        <v>-4.7627376224077409</v>
      </c>
    </row>
    <row r="14" spans="1:8">
      <c r="A14" s="34"/>
      <c r="B14" s="25" t="s">
        <v>207</v>
      </c>
      <c r="C14" s="26">
        <v>16973</v>
      </c>
      <c r="D14" s="26">
        <v>17978.050612244901</v>
      </c>
      <c r="E14" s="26">
        <v>17014</v>
      </c>
      <c r="F14" s="27"/>
      <c r="G14" s="38">
        <v>0.24156012490425383</v>
      </c>
      <c r="H14" s="24">
        <v>-5.3623756715218178</v>
      </c>
    </row>
    <row r="15" spans="1:8">
      <c r="A15" s="30" t="s">
        <v>21</v>
      </c>
      <c r="B15" s="31" t="s">
        <v>3</v>
      </c>
      <c r="C15" s="20">
        <v>786.48571428571404</v>
      </c>
      <c r="D15" s="20">
        <v>875</v>
      </c>
      <c r="E15" s="21">
        <v>1115.8629788700864</v>
      </c>
      <c r="F15" s="22" t="s">
        <v>206</v>
      </c>
      <c r="G15" s="37">
        <v>41.87962458841514</v>
      </c>
      <c r="H15" s="33">
        <v>27.527197585152734</v>
      </c>
    </row>
    <row r="16" spans="1:8">
      <c r="A16" s="34"/>
      <c r="B16" s="25" t="s">
        <v>207</v>
      </c>
      <c r="C16" s="26">
        <v>555</v>
      </c>
      <c r="D16" s="26">
        <v>662.73012987012999</v>
      </c>
      <c r="E16" s="26">
        <v>825</v>
      </c>
      <c r="F16" s="27"/>
      <c r="G16" s="28">
        <v>48.648648648648646</v>
      </c>
      <c r="H16" s="29">
        <v>24.485060029135667</v>
      </c>
    </row>
    <row r="17" spans="1:8">
      <c r="A17" s="30" t="s">
        <v>22</v>
      </c>
      <c r="B17" s="31" t="s">
        <v>3</v>
      </c>
      <c r="C17" s="20">
        <v>4277.0228571428597</v>
      </c>
      <c r="D17" s="20">
        <v>4731</v>
      </c>
      <c r="E17" s="21">
        <v>4859.2723047465279</v>
      </c>
      <c r="F17" s="22" t="s">
        <v>206</v>
      </c>
      <c r="G17" s="37">
        <v>13.613428477037019</v>
      </c>
      <c r="H17" s="33">
        <v>2.7113148329428896</v>
      </c>
    </row>
    <row r="18" spans="1:8">
      <c r="A18" s="34"/>
      <c r="B18" s="25" t="s">
        <v>207</v>
      </c>
      <c r="C18" s="26">
        <v>3028</v>
      </c>
      <c r="D18" s="26">
        <v>3716.9354285714298</v>
      </c>
      <c r="E18" s="26">
        <v>3683</v>
      </c>
      <c r="F18" s="27"/>
      <c r="G18" s="28">
        <v>21.631439894319684</v>
      </c>
      <c r="H18" s="29">
        <v>-0.91299483737527964</v>
      </c>
    </row>
    <row r="19" spans="1:8">
      <c r="A19" s="30" t="s">
        <v>194</v>
      </c>
      <c r="B19" s="31" t="s">
        <v>3</v>
      </c>
      <c r="C19" s="20">
        <v>39268.628571428599</v>
      </c>
      <c r="D19" s="20">
        <v>47642</v>
      </c>
      <c r="E19" s="21">
        <v>47101.587017760052</v>
      </c>
      <c r="F19" s="22" t="s">
        <v>206</v>
      </c>
      <c r="G19" s="23">
        <v>19.947114863162369</v>
      </c>
      <c r="H19" s="24">
        <v>-1.1343205202131514</v>
      </c>
    </row>
    <row r="20" spans="1:8">
      <c r="A20" s="30"/>
      <c r="B20" s="25" t="s">
        <v>207</v>
      </c>
      <c r="C20" s="26">
        <v>28863</v>
      </c>
      <c r="D20" s="26">
        <v>35765.761785714298</v>
      </c>
      <c r="E20" s="26">
        <v>35110</v>
      </c>
      <c r="F20" s="27"/>
      <c r="G20" s="38">
        <v>21.6436267886221</v>
      </c>
      <c r="H20" s="24">
        <v>-1.8334903353749468</v>
      </c>
    </row>
    <row r="21" spans="1:8">
      <c r="A21" s="39" t="s">
        <v>12</v>
      </c>
      <c r="B21" s="31" t="s">
        <v>3</v>
      </c>
      <c r="C21" s="20">
        <v>1496</v>
      </c>
      <c r="D21" s="20">
        <v>1264</v>
      </c>
      <c r="E21" s="21">
        <v>1319.383350462487</v>
      </c>
      <c r="F21" s="22" t="s">
        <v>206</v>
      </c>
      <c r="G21" s="37">
        <v>-11.805925771224139</v>
      </c>
      <c r="H21" s="33">
        <v>4.3815941821587785</v>
      </c>
    </row>
    <row r="22" spans="1:8">
      <c r="A22" s="34"/>
      <c r="B22" s="25" t="s">
        <v>207</v>
      </c>
      <c r="C22" s="26">
        <v>1100</v>
      </c>
      <c r="D22" s="26">
        <v>973</v>
      </c>
      <c r="E22" s="26">
        <v>1000</v>
      </c>
      <c r="F22" s="27"/>
      <c r="G22" s="28">
        <v>-9.0909090909090935</v>
      </c>
      <c r="H22" s="29">
        <v>2.7749229188078033</v>
      </c>
    </row>
    <row r="23" spans="1:8">
      <c r="A23" s="39" t="s">
        <v>23</v>
      </c>
      <c r="B23" s="31" t="s">
        <v>3</v>
      </c>
      <c r="C23" s="20">
        <v>4034.1759398496201</v>
      </c>
      <c r="D23" s="20">
        <v>3913</v>
      </c>
      <c r="E23" s="21">
        <v>3825.4204322761957</v>
      </c>
      <c r="F23" s="22" t="s">
        <v>206</v>
      </c>
      <c r="G23" s="23">
        <v>-5.1746753410364761</v>
      </c>
      <c r="H23" s="24">
        <v>-2.2381693770458497</v>
      </c>
    </row>
    <row r="24" spans="1:8">
      <c r="A24" s="34"/>
      <c r="B24" s="25" t="s">
        <v>207</v>
      </c>
      <c r="C24" s="26">
        <v>2976</v>
      </c>
      <c r="D24" s="26">
        <v>2846.8963909774402</v>
      </c>
      <c r="E24" s="26">
        <v>2796</v>
      </c>
      <c r="F24" s="27"/>
      <c r="G24" s="28">
        <v>-6.0483870967741922</v>
      </c>
      <c r="H24" s="29">
        <v>-1.7877851522361112</v>
      </c>
    </row>
    <row r="25" spans="1:8">
      <c r="A25" s="30" t="s">
        <v>24</v>
      </c>
      <c r="B25" s="31" t="s">
        <v>3</v>
      </c>
      <c r="C25" s="20">
        <v>28303.352380952401</v>
      </c>
      <c r="D25" s="20">
        <v>14114</v>
      </c>
      <c r="E25" s="21">
        <v>12746.529981327747</v>
      </c>
      <c r="F25" s="22" t="s">
        <v>206</v>
      </c>
      <c r="G25" s="23">
        <v>-54.964592851884532</v>
      </c>
      <c r="H25" s="24">
        <v>-9.6887488923923257</v>
      </c>
    </row>
    <row r="26" spans="1:8" ht="13.5" thickBot="1">
      <c r="A26" s="41"/>
      <c r="B26" s="42" t="s">
        <v>207</v>
      </c>
      <c r="C26" s="43">
        <v>26892</v>
      </c>
      <c r="D26" s="43">
        <v>10893.1128571429</v>
      </c>
      <c r="E26" s="43">
        <v>10494.2983834161</v>
      </c>
      <c r="F26" s="44"/>
      <c r="G26" s="45">
        <v>-60.976132740532123</v>
      </c>
      <c r="H26" s="46">
        <v>-3.6611616803849216</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42</v>
      </c>
      <c r="B35" s="19" t="s">
        <v>3</v>
      </c>
      <c r="C35" s="80">
        <v>1379.6285415780701</v>
      </c>
      <c r="D35" s="80">
        <v>1300.93637158466</v>
      </c>
      <c r="E35" s="83">
        <v>1278.3107937596901</v>
      </c>
      <c r="F35" s="22" t="s">
        <v>206</v>
      </c>
      <c r="G35" s="23">
        <v>-7.3438425463776724</v>
      </c>
      <c r="H35" s="24">
        <v>-1.7391763593641372</v>
      </c>
    </row>
    <row r="36" spans="1:8" ht="12.75" customHeight="1">
      <c r="A36" s="150"/>
      <c r="B36" s="25" t="s">
        <v>207</v>
      </c>
      <c r="C36" s="82">
        <v>1077.32184251169</v>
      </c>
      <c r="D36" s="82">
        <v>995.88049291931395</v>
      </c>
      <c r="E36" s="82">
        <v>985.02211099070803</v>
      </c>
      <c r="F36" s="27"/>
      <c r="G36" s="28">
        <v>-8.5675169553596504</v>
      </c>
      <c r="H36" s="29">
        <v>-1.0903298142506799</v>
      </c>
    </row>
    <row r="37" spans="1:8">
      <c r="A37" s="30" t="s">
        <v>18</v>
      </c>
      <c r="B37" s="31" t="s">
        <v>3</v>
      </c>
      <c r="C37" s="80">
        <v>479.28183805512401</v>
      </c>
      <c r="D37" s="80">
        <v>415.46900827342301</v>
      </c>
      <c r="E37" s="83">
        <v>442.49843583566366</v>
      </c>
      <c r="F37" s="22" t="s">
        <v>206</v>
      </c>
      <c r="G37" s="32">
        <v>-7.6746914443333765</v>
      </c>
      <c r="H37" s="33">
        <v>6.5057626499188643</v>
      </c>
    </row>
    <row r="38" spans="1:8">
      <c r="A38" s="34"/>
      <c r="B38" s="25" t="s">
        <v>207</v>
      </c>
      <c r="C38" s="82">
        <v>372.27334827095802</v>
      </c>
      <c r="D38" s="82">
        <v>318.05506008175797</v>
      </c>
      <c r="E38" s="82">
        <v>340.38286300048298</v>
      </c>
      <c r="F38" s="27"/>
      <c r="G38" s="35">
        <v>-8.5664164299141987</v>
      </c>
      <c r="H38" s="29">
        <v>7.020106176894501</v>
      </c>
    </row>
    <row r="39" spans="1:8">
      <c r="A39" s="30" t="s">
        <v>19</v>
      </c>
      <c r="B39" s="31" t="s">
        <v>3</v>
      </c>
      <c r="C39" s="80">
        <v>161.50081730479599</v>
      </c>
      <c r="D39" s="80">
        <v>142.06705910020301</v>
      </c>
      <c r="E39" s="83">
        <v>143.79174513074489</v>
      </c>
      <c r="F39" s="22" t="s">
        <v>206</v>
      </c>
      <c r="G39" s="37">
        <v>-10.96531427492981</v>
      </c>
      <c r="H39" s="33">
        <v>1.2139943217416942</v>
      </c>
    </row>
    <row r="40" spans="1:8">
      <c r="A40" s="34"/>
      <c r="B40" s="25" t="s">
        <v>207</v>
      </c>
      <c r="C40" s="82">
        <v>134.335112294651</v>
      </c>
      <c r="D40" s="82">
        <v>110.978633894574</v>
      </c>
      <c r="E40" s="82">
        <v>114.651741482341</v>
      </c>
      <c r="F40" s="27"/>
      <c r="G40" s="28">
        <v>-14.652439318423646</v>
      </c>
      <c r="H40" s="29">
        <v>3.3097430188736325</v>
      </c>
    </row>
    <row r="41" spans="1:8">
      <c r="A41" s="30" t="s">
        <v>20</v>
      </c>
      <c r="B41" s="31" t="s">
        <v>3</v>
      </c>
      <c r="C41" s="80">
        <v>307.522936948412</v>
      </c>
      <c r="D41" s="80">
        <v>328.67322605049299</v>
      </c>
      <c r="E41" s="83">
        <v>316.87881593209369</v>
      </c>
      <c r="F41" s="22" t="s">
        <v>206</v>
      </c>
      <c r="G41" s="23">
        <v>3.0423353381445963</v>
      </c>
      <c r="H41" s="24">
        <v>-3.5884912988280178</v>
      </c>
    </row>
    <row r="42" spans="1:8">
      <c r="A42" s="34"/>
      <c r="B42" s="25" t="s">
        <v>207</v>
      </c>
      <c r="C42" s="82">
        <v>230.14496098052399</v>
      </c>
      <c r="D42" s="82">
        <v>247.88923565105901</v>
      </c>
      <c r="E42" s="82">
        <v>238.37489368009699</v>
      </c>
      <c r="F42" s="27"/>
      <c r="G42" s="38">
        <v>3.5759777943908233</v>
      </c>
      <c r="H42" s="24">
        <v>-3.8381424453439621</v>
      </c>
    </row>
    <row r="43" spans="1:8">
      <c r="A43" s="30" t="s">
        <v>21</v>
      </c>
      <c r="B43" s="31" t="s">
        <v>3</v>
      </c>
      <c r="C43" s="80">
        <v>4.1627791930314899</v>
      </c>
      <c r="D43" s="80">
        <v>4.1457410865807196</v>
      </c>
      <c r="E43" s="83">
        <v>5.0234491421645586</v>
      </c>
      <c r="F43" s="22" t="s">
        <v>206</v>
      </c>
      <c r="G43" s="37">
        <v>20.675368767429077</v>
      </c>
      <c r="H43" s="33">
        <v>21.171318643725186</v>
      </c>
    </row>
    <row r="44" spans="1:8">
      <c r="A44" s="34"/>
      <c r="B44" s="25" t="s">
        <v>207</v>
      </c>
      <c r="C44" s="82">
        <v>3.0848184075995499</v>
      </c>
      <c r="D44" s="82">
        <v>3.2727156223349101</v>
      </c>
      <c r="E44" s="82">
        <v>3.88115122624755</v>
      </c>
      <c r="F44" s="27"/>
      <c r="G44" s="28">
        <v>25.814576854384953</v>
      </c>
      <c r="H44" s="29">
        <v>18.591154078903841</v>
      </c>
    </row>
    <row r="45" spans="1:8">
      <c r="A45" s="30" t="s">
        <v>22</v>
      </c>
      <c r="B45" s="31" t="s">
        <v>3</v>
      </c>
      <c r="C45" s="80">
        <v>23.659419880570201</v>
      </c>
      <c r="D45" s="80">
        <v>21.989571995654501</v>
      </c>
      <c r="E45" s="83">
        <v>25.030365349044725</v>
      </c>
      <c r="F45" s="22" t="s">
        <v>206</v>
      </c>
      <c r="G45" s="37">
        <v>5.7945016208972362</v>
      </c>
      <c r="H45" s="33">
        <v>13.828342607082746</v>
      </c>
    </row>
    <row r="46" spans="1:8">
      <c r="A46" s="34"/>
      <c r="B46" s="25" t="s">
        <v>207</v>
      </c>
      <c r="C46" s="82">
        <v>17.015176270557902</v>
      </c>
      <c r="D46" s="82">
        <v>17.393805985612101</v>
      </c>
      <c r="E46" s="82">
        <v>19.1611399496025</v>
      </c>
      <c r="F46" s="27"/>
      <c r="G46" s="28">
        <v>12.612056701157144</v>
      </c>
      <c r="H46" s="29">
        <v>10.160708734202913</v>
      </c>
    </row>
    <row r="47" spans="1:8">
      <c r="A47" s="30" t="s">
        <v>194</v>
      </c>
      <c r="B47" s="31" t="s">
        <v>3</v>
      </c>
      <c r="C47" s="80">
        <v>175.86300214960701</v>
      </c>
      <c r="D47" s="80">
        <v>198.64957067614199</v>
      </c>
      <c r="E47" s="83">
        <v>175.23745179199136</v>
      </c>
      <c r="F47" s="22" t="s">
        <v>206</v>
      </c>
      <c r="G47" s="23">
        <v>-0.35570321782833503</v>
      </c>
      <c r="H47" s="24">
        <v>-11.785637796478994</v>
      </c>
    </row>
    <row r="48" spans="1:8">
      <c r="A48" s="30"/>
      <c r="B48" s="25" t="s">
        <v>207</v>
      </c>
      <c r="C48" s="82">
        <v>132.92810309862</v>
      </c>
      <c r="D48" s="82">
        <v>154.16471403979199</v>
      </c>
      <c r="E48" s="82">
        <v>134.79453015791199</v>
      </c>
      <c r="F48" s="27"/>
      <c r="G48" s="38">
        <v>1.4040876351837142</v>
      </c>
      <c r="H48" s="24">
        <v>-12.564602738393361</v>
      </c>
    </row>
    <row r="49" spans="1:8">
      <c r="A49" s="39" t="s">
        <v>12</v>
      </c>
      <c r="B49" s="31" t="s">
        <v>3</v>
      </c>
      <c r="C49" s="80">
        <v>20.904674108752101</v>
      </c>
      <c r="D49" s="80">
        <v>13.6753016800215</v>
      </c>
      <c r="E49" s="83">
        <v>13.486179973137901</v>
      </c>
      <c r="F49" s="22" t="s">
        <v>206</v>
      </c>
      <c r="G49" s="37">
        <v>-35.487250827355979</v>
      </c>
      <c r="H49" s="33">
        <v>-1.3829435818581715</v>
      </c>
    </row>
    <row r="50" spans="1:8">
      <c r="A50" s="34"/>
      <c r="B50" s="25" t="s">
        <v>207</v>
      </c>
      <c r="C50" s="82">
        <v>16.718317730410899</v>
      </c>
      <c r="D50" s="82">
        <v>11.579389498846499</v>
      </c>
      <c r="E50" s="82">
        <v>11.1998663815064</v>
      </c>
      <c r="F50" s="27"/>
      <c r="G50" s="28">
        <v>-33.008412915052716</v>
      </c>
      <c r="H50" s="29">
        <v>-3.2775744988792894</v>
      </c>
    </row>
    <row r="51" spans="1:8">
      <c r="A51" s="39" t="s">
        <v>23</v>
      </c>
      <c r="B51" s="31" t="s">
        <v>3</v>
      </c>
      <c r="C51" s="80">
        <v>88.9456494866632</v>
      </c>
      <c r="D51" s="80">
        <v>96.198411198213506</v>
      </c>
      <c r="E51" s="83">
        <v>93.436084683237056</v>
      </c>
      <c r="F51" s="22" t="s">
        <v>206</v>
      </c>
      <c r="G51" s="23">
        <v>5.0485158324097341</v>
      </c>
      <c r="H51" s="24">
        <v>-2.8714887081500535</v>
      </c>
    </row>
    <row r="52" spans="1:8">
      <c r="A52" s="34"/>
      <c r="B52" s="25" t="s">
        <v>207</v>
      </c>
      <c r="C52" s="82">
        <v>64.1035323935657</v>
      </c>
      <c r="D52" s="82">
        <v>67.348022265675496</v>
      </c>
      <c r="E52" s="82">
        <v>66.0436690719702</v>
      </c>
      <c r="F52" s="27"/>
      <c r="G52" s="38">
        <v>3.0265675009810309</v>
      </c>
      <c r="H52" s="24">
        <v>-1.9367357048138132</v>
      </c>
    </row>
    <row r="53" spans="1:8">
      <c r="A53" s="30" t="s">
        <v>24</v>
      </c>
      <c r="B53" s="31" t="s">
        <v>3</v>
      </c>
      <c r="C53" s="80">
        <v>117.787424451108</v>
      </c>
      <c r="D53" s="80">
        <v>80.068481523930203</v>
      </c>
      <c r="E53" s="83">
        <v>67.082122373262933</v>
      </c>
      <c r="F53" s="22" t="s">
        <v>206</v>
      </c>
      <c r="G53" s="37">
        <v>-43.048145686292813</v>
      </c>
      <c r="H53" s="33">
        <v>-16.219065109641193</v>
      </c>
    </row>
    <row r="54" spans="1:8" ht="13.5" thickBot="1">
      <c r="A54" s="41"/>
      <c r="B54" s="42" t="s">
        <v>207</v>
      </c>
      <c r="C54" s="86">
        <v>106.71847306480301</v>
      </c>
      <c r="D54" s="86">
        <v>65.198915879661499</v>
      </c>
      <c r="E54" s="86">
        <v>56.532256040549001</v>
      </c>
      <c r="F54" s="44"/>
      <c r="G54" s="45">
        <v>-47.026738279678405</v>
      </c>
      <c r="H54" s="46">
        <v>-13.292644091059231</v>
      </c>
    </row>
    <row r="59" spans="1:8">
      <c r="A59" s="47"/>
      <c r="B59" s="48"/>
      <c r="C59" s="49"/>
      <c r="D59" s="49"/>
      <c r="E59" s="49"/>
      <c r="F59" s="49"/>
      <c r="G59" s="50"/>
      <c r="H59" s="51"/>
    </row>
    <row r="60" spans="1:8">
      <c r="A60" s="52"/>
      <c r="B60" s="52"/>
      <c r="C60" s="52"/>
      <c r="D60" s="52"/>
      <c r="E60" s="52"/>
      <c r="F60" s="52"/>
      <c r="G60" s="52"/>
      <c r="H60" s="52"/>
    </row>
    <row r="61" spans="1:8" ht="12.75" customHeight="1">
      <c r="A61" s="144">
        <v>14</v>
      </c>
      <c r="H61" s="53" t="s">
        <v>208</v>
      </c>
    </row>
    <row r="62" spans="1:8"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44</v>
      </c>
      <c r="B7" s="19" t="s">
        <v>3</v>
      </c>
      <c r="C7" s="20">
        <v>111907.64</v>
      </c>
      <c r="D7" s="20">
        <v>100999</v>
      </c>
      <c r="E7" s="21">
        <v>105655.78853126636</v>
      </c>
      <c r="F7" s="22" t="s">
        <v>206</v>
      </c>
      <c r="G7" s="23">
        <v>-5.5866172039135478</v>
      </c>
      <c r="H7" s="24">
        <v>4.6107273648911047</v>
      </c>
    </row>
    <row r="8" spans="1:8">
      <c r="A8" s="150"/>
      <c r="B8" s="25" t="s">
        <v>207</v>
      </c>
      <c r="C8" s="26">
        <v>85229</v>
      </c>
      <c r="D8" s="26">
        <v>75898.022857142903</v>
      </c>
      <c r="E8" s="26">
        <v>79751</v>
      </c>
      <c r="F8" s="27"/>
      <c r="G8" s="28">
        <v>-6.4273897382346377</v>
      </c>
      <c r="H8" s="29">
        <v>5.0765184622915172</v>
      </c>
    </row>
    <row r="9" spans="1:8">
      <c r="A9" s="30" t="s">
        <v>18</v>
      </c>
      <c r="B9" s="31" t="s">
        <v>3</v>
      </c>
      <c r="C9" s="20">
        <v>11000.408648648599</v>
      </c>
      <c r="D9" s="20">
        <v>9109</v>
      </c>
      <c r="E9" s="21">
        <v>10926.811114691844</v>
      </c>
      <c r="F9" s="22" t="s">
        <v>206</v>
      </c>
      <c r="G9" s="32">
        <v>-0.669043635627105</v>
      </c>
      <c r="H9" s="33">
        <v>19.956209404894537</v>
      </c>
    </row>
    <row r="10" spans="1:8">
      <c r="A10" s="34"/>
      <c r="B10" s="25" t="s">
        <v>207</v>
      </c>
      <c r="C10" s="26">
        <v>8044</v>
      </c>
      <c r="D10" s="26">
        <v>6816.3186486486502</v>
      </c>
      <c r="E10" s="26">
        <v>8113.5</v>
      </c>
      <c r="F10" s="27"/>
      <c r="G10" s="35">
        <v>0.86399801093983797</v>
      </c>
      <c r="H10" s="29">
        <v>19.030526860837398</v>
      </c>
    </row>
    <row r="11" spans="1:8">
      <c r="A11" s="30" t="s">
        <v>19</v>
      </c>
      <c r="B11" s="31" t="s">
        <v>3</v>
      </c>
      <c r="C11" s="20">
        <v>53896.266666666699</v>
      </c>
      <c r="D11" s="20">
        <v>44868</v>
      </c>
      <c r="E11" s="21">
        <v>49750.06341366328</v>
      </c>
      <c r="F11" s="22" t="s">
        <v>206</v>
      </c>
      <c r="G11" s="37">
        <v>-7.69293220001029</v>
      </c>
      <c r="H11" s="33">
        <v>10.880947253417304</v>
      </c>
    </row>
    <row r="12" spans="1:8">
      <c r="A12" s="34"/>
      <c r="B12" s="25" t="s">
        <v>207</v>
      </c>
      <c r="C12" s="26">
        <v>42943</v>
      </c>
      <c r="D12" s="26">
        <v>33333.092857142903</v>
      </c>
      <c r="E12" s="26">
        <v>37812</v>
      </c>
      <c r="F12" s="27"/>
      <c r="G12" s="28">
        <v>-11.948396711920452</v>
      </c>
      <c r="H12" s="29">
        <v>13.436818365618052</v>
      </c>
    </row>
    <row r="13" spans="1:8">
      <c r="A13" s="30" t="s">
        <v>20</v>
      </c>
      <c r="B13" s="31" t="s">
        <v>3</v>
      </c>
      <c r="C13" s="20">
        <v>5423.3771428571399</v>
      </c>
      <c r="D13" s="20">
        <v>5548</v>
      </c>
      <c r="E13" s="21">
        <v>5064.1073145340406</v>
      </c>
      <c r="F13" s="22" t="s">
        <v>206</v>
      </c>
      <c r="G13" s="23">
        <v>-6.6244669854147276</v>
      </c>
      <c r="H13" s="24">
        <v>-8.7219301634095103</v>
      </c>
    </row>
    <row r="14" spans="1:8">
      <c r="A14" s="34"/>
      <c r="B14" s="25" t="s">
        <v>207</v>
      </c>
      <c r="C14" s="26">
        <v>3967</v>
      </c>
      <c r="D14" s="26">
        <v>4231.1461224489803</v>
      </c>
      <c r="E14" s="26">
        <v>3808</v>
      </c>
      <c r="F14" s="27"/>
      <c r="G14" s="38">
        <v>-4.0080665490294933</v>
      </c>
      <c r="H14" s="24">
        <v>-10.000744720299664</v>
      </c>
    </row>
    <row r="15" spans="1:8">
      <c r="A15" s="30" t="s">
        <v>21</v>
      </c>
      <c r="B15" s="31" t="s">
        <v>3</v>
      </c>
      <c r="C15" s="20">
        <v>2954.36</v>
      </c>
      <c r="D15" s="20">
        <v>3006</v>
      </c>
      <c r="E15" s="21">
        <v>2997.2384969910509</v>
      </c>
      <c r="F15" s="22" t="s">
        <v>206</v>
      </c>
      <c r="G15" s="37">
        <v>1.4513633068092844</v>
      </c>
      <c r="H15" s="33">
        <v>-0.291467165966381</v>
      </c>
    </row>
    <row r="16" spans="1:8">
      <c r="A16" s="34"/>
      <c r="B16" s="25" t="s">
        <v>207</v>
      </c>
      <c r="C16" s="26">
        <v>2149</v>
      </c>
      <c r="D16" s="26">
        <v>2308.8667532467498</v>
      </c>
      <c r="E16" s="26">
        <v>2260</v>
      </c>
      <c r="F16" s="27"/>
      <c r="G16" s="28">
        <v>5.1651931130758442</v>
      </c>
      <c r="H16" s="29">
        <v>-2.1164821736911819</v>
      </c>
    </row>
    <row r="17" spans="1:8">
      <c r="A17" s="30" t="s">
        <v>22</v>
      </c>
      <c r="B17" s="31" t="s">
        <v>3</v>
      </c>
      <c r="C17" s="20">
        <v>862.66399999999999</v>
      </c>
      <c r="D17" s="20">
        <v>741</v>
      </c>
      <c r="E17" s="21">
        <v>694.74852499195651</v>
      </c>
      <c r="F17" s="22" t="s">
        <v>206</v>
      </c>
      <c r="G17" s="37">
        <v>-19.464759745166532</v>
      </c>
      <c r="H17" s="33">
        <v>-6.2417645085078988</v>
      </c>
    </row>
    <row r="18" spans="1:8">
      <c r="A18" s="34"/>
      <c r="B18" s="25" t="s">
        <v>207</v>
      </c>
      <c r="C18" s="26">
        <v>606</v>
      </c>
      <c r="D18" s="26">
        <v>613.70228571428595</v>
      </c>
      <c r="E18" s="26">
        <v>543</v>
      </c>
      <c r="F18" s="27"/>
      <c r="G18" s="28">
        <v>-10.396039603960389</v>
      </c>
      <c r="H18" s="29">
        <v>-11.520616324900246</v>
      </c>
    </row>
    <row r="19" spans="1:8">
      <c r="A19" s="30" t="s">
        <v>194</v>
      </c>
      <c r="B19" s="31" t="s">
        <v>3</v>
      </c>
      <c r="C19" s="20">
        <v>23921.11</v>
      </c>
      <c r="D19" s="20">
        <v>25498</v>
      </c>
      <c r="E19" s="21">
        <v>24364.085360351026</v>
      </c>
      <c r="F19" s="22" t="s">
        <v>206</v>
      </c>
      <c r="G19" s="23">
        <v>1.8518177473830519</v>
      </c>
      <c r="H19" s="24">
        <v>-4.4470728670835911</v>
      </c>
    </row>
    <row r="20" spans="1:8">
      <c r="A20" s="30"/>
      <c r="B20" s="25" t="s">
        <v>207</v>
      </c>
      <c r="C20" s="26">
        <v>18245</v>
      </c>
      <c r="D20" s="26">
        <v>19532.825357142901</v>
      </c>
      <c r="E20" s="26">
        <v>18637</v>
      </c>
      <c r="F20" s="27"/>
      <c r="G20" s="38">
        <v>2.1485338448890019</v>
      </c>
      <c r="H20" s="24">
        <v>-4.5862559090321753</v>
      </c>
    </row>
    <row r="21" spans="1:8">
      <c r="A21" s="39" t="s">
        <v>12</v>
      </c>
      <c r="B21" s="31" t="s">
        <v>3</v>
      </c>
      <c r="C21" s="20">
        <v>736</v>
      </c>
      <c r="D21" s="20">
        <v>615</v>
      </c>
      <c r="E21" s="21">
        <v>506.23842237014276</v>
      </c>
      <c r="F21" s="22" t="s">
        <v>206</v>
      </c>
      <c r="G21" s="37">
        <v>-31.217605656230603</v>
      </c>
      <c r="H21" s="33">
        <v>-17.684809370708493</v>
      </c>
    </row>
    <row r="22" spans="1:8">
      <c r="A22" s="34"/>
      <c r="B22" s="25" t="s">
        <v>207</v>
      </c>
      <c r="C22" s="26">
        <v>567</v>
      </c>
      <c r="D22" s="26">
        <v>496</v>
      </c>
      <c r="E22" s="26">
        <v>402</v>
      </c>
      <c r="F22" s="27"/>
      <c r="G22" s="28">
        <v>-29.100529100529101</v>
      </c>
      <c r="H22" s="29">
        <v>-18.951612903225808</v>
      </c>
    </row>
    <row r="23" spans="1:8">
      <c r="A23" s="39" t="s">
        <v>23</v>
      </c>
      <c r="B23" s="31" t="s">
        <v>3</v>
      </c>
      <c r="C23" s="20">
        <v>6382.3663157894698</v>
      </c>
      <c r="D23" s="20">
        <v>5715</v>
      </c>
      <c r="E23" s="21">
        <v>5597.5969068951317</v>
      </c>
      <c r="F23" s="22" t="s">
        <v>206</v>
      </c>
      <c r="G23" s="23">
        <v>-12.295900455492202</v>
      </c>
      <c r="H23" s="24">
        <v>-2.0542973421674162</v>
      </c>
    </row>
    <row r="24" spans="1:8">
      <c r="A24" s="34"/>
      <c r="B24" s="25" t="s">
        <v>207</v>
      </c>
      <c r="C24" s="26">
        <v>4643</v>
      </c>
      <c r="D24" s="26">
        <v>4223.5544360902304</v>
      </c>
      <c r="E24" s="26">
        <v>4115</v>
      </c>
      <c r="F24" s="27"/>
      <c r="G24" s="28">
        <v>-11.371957785914276</v>
      </c>
      <c r="H24" s="29">
        <v>-2.570215152494157</v>
      </c>
    </row>
    <row r="25" spans="1:8">
      <c r="A25" s="30" t="s">
        <v>24</v>
      </c>
      <c r="B25" s="31" t="s">
        <v>3</v>
      </c>
      <c r="C25" s="20">
        <v>8697.0533333333296</v>
      </c>
      <c r="D25" s="20">
        <v>8003</v>
      </c>
      <c r="E25" s="21">
        <v>8882.9592947163983</v>
      </c>
      <c r="F25" s="22" t="s">
        <v>206</v>
      </c>
      <c r="G25" s="23">
        <v>2.1375741214618529</v>
      </c>
      <c r="H25" s="24">
        <v>10.995367920984606</v>
      </c>
    </row>
    <row r="26" spans="1:8" ht="13.5" thickBot="1">
      <c r="A26" s="41"/>
      <c r="B26" s="42" t="s">
        <v>207</v>
      </c>
      <c r="C26" s="43">
        <v>5361</v>
      </c>
      <c r="D26" s="43">
        <v>5971.4185714285704</v>
      </c>
      <c r="E26" s="43">
        <v>6193.5</v>
      </c>
      <c r="F26" s="44"/>
      <c r="G26" s="45">
        <v>15.52881925013989</v>
      </c>
      <c r="H26" s="46">
        <v>3.719073213758989</v>
      </c>
    </row>
    <row r="31" spans="1:8">
      <c r="A31" s="47"/>
      <c r="B31" s="48"/>
      <c r="C31" s="49"/>
      <c r="D31" s="55"/>
      <c r="E31" s="49"/>
      <c r="F31" s="49"/>
      <c r="G31" s="50"/>
      <c r="H31" s="51"/>
    </row>
    <row r="32" spans="1:8" ht="16.5" thickBot="1">
      <c r="A32" s="4" t="s">
        <v>100</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44</v>
      </c>
      <c r="B35" s="19" t="s">
        <v>3</v>
      </c>
      <c r="C35" s="80">
        <v>4500.00051982691</v>
      </c>
      <c r="D35" s="80">
        <v>3933.3546353749898</v>
      </c>
      <c r="E35" s="83">
        <v>4356.0794754047956</v>
      </c>
      <c r="F35" s="22" t="s">
        <v>206</v>
      </c>
      <c r="G35" s="23">
        <v>-3.1982450621505762</v>
      </c>
      <c r="H35" s="24">
        <v>10.747183491363614</v>
      </c>
    </row>
    <row r="36" spans="1:8" ht="12.75" customHeight="1">
      <c r="A36" s="150"/>
      <c r="B36" s="25" t="s">
        <v>207</v>
      </c>
      <c r="C36" s="82">
        <v>3407.87713226595</v>
      </c>
      <c r="D36" s="82">
        <v>2928.0244109784699</v>
      </c>
      <c r="E36" s="82">
        <v>3261.2175086115499</v>
      </c>
      <c r="F36" s="27"/>
      <c r="G36" s="28">
        <v>-4.3035478675513161</v>
      </c>
      <c r="H36" s="29">
        <v>11.379450812766123</v>
      </c>
    </row>
    <row r="37" spans="1:8">
      <c r="A37" s="30" t="s">
        <v>18</v>
      </c>
      <c r="B37" s="31" t="s">
        <v>3</v>
      </c>
      <c r="C37" s="80">
        <v>1748.8934246101001</v>
      </c>
      <c r="D37" s="80">
        <v>1511.6695929119801</v>
      </c>
      <c r="E37" s="83">
        <v>1722.5267954277995</v>
      </c>
      <c r="F37" s="22" t="s">
        <v>206</v>
      </c>
      <c r="G37" s="32">
        <v>-1.5076178348705724</v>
      </c>
      <c r="H37" s="33">
        <v>13.948630276384534</v>
      </c>
    </row>
    <row r="38" spans="1:8">
      <c r="A38" s="34"/>
      <c r="B38" s="25" t="s">
        <v>207</v>
      </c>
      <c r="C38" s="82">
        <v>1331.7819248835499</v>
      </c>
      <c r="D38" s="82">
        <v>1132.4128341958201</v>
      </c>
      <c r="E38" s="82">
        <v>1297.40298964559</v>
      </c>
      <c r="F38" s="27"/>
      <c r="G38" s="35">
        <v>-2.5814237748395641</v>
      </c>
      <c r="H38" s="29">
        <v>14.569788549503443</v>
      </c>
    </row>
    <row r="39" spans="1:8">
      <c r="A39" s="30" t="s">
        <v>19</v>
      </c>
      <c r="B39" s="31" t="s">
        <v>3</v>
      </c>
      <c r="C39" s="80">
        <v>1977.0282081059299</v>
      </c>
      <c r="D39" s="80">
        <v>1707.9021518919501</v>
      </c>
      <c r="E39" s="83">
        <v>1907.1514994467416</v>
      </c>
      <c r="F39" s="22" t="s">
        <v>206</v>
      </c>
      <c r="G39" s="37">
        <v>-3.534431545927859</v>
      </c>
      <c r="H39" s="33">
        <v>11.666321008734059</v>
      </c>
    </row>
    <row r="40" spans="1:8">
      <c r="A40" s="34"/>
      <c r="B40" s="25" t="s">
        <v>207</v>
      </c>
      <c r="C40" s="82">
        <v>1517.43764800607</v>
      </c>
      <c r="D40" s="82">
        <v>1272.9350670623501</v>
      </c>
      <c r="E40" s="82">
        <v>1435.2863310610301</v>
      </c>
      <c r="F40" s="27"/>
      <c r="G40" s="28">
        <v>-5.4138182911823662</v>
      </c>
      <c r="H40" s="29">
        <v>12.754088421285331</v>
      </c>
    </row>
    <row r="41" spans="1:8">
      <c r="A41" s="30" t="s">
        <v>20</v>
      </c>
      <c r="B41" s="31" t="s">
        <v>3</v>
      </c>
      <c r="C41" s="80">
        <v>107.067739828822</v>
      </c>
      <c r="D41" s="80">
        <v>110.872576601586</v>
      </c>
      <c r="E41" s="83">
        <v>97.935037796196298</v>
      </c>
      <c r="F41" s="22" t="s">
        <v>206</v>
      </c>
      <c r="G41" s="23">
        <v>-8.5298354548502715</v>
      </c>
      <c r="H41" s="24">
        <v>-11.668835704865032</v>
      </c>
    </row>
    <row r="42" spans="1:8">
      <c r="A42" s="34"/>
      <c r="B42" s="25" t="s">
        <v>207</v>
      </c>
      <c r="C42" s="82">
        <v>78.381048619576006</v>
      </c>
      <c r="D42" s="82">
        <v>81.084292980943303</v>
      </c>
      <c r="E42" s="82">
        <v>71.646875084436502</v>
      </c>
      <c r="F42" s="27"/>
      <c r="G42" s="38">
        <v>-8.5915838761279559</v>
      </c>
      <c r="H42" s="24">
        <v>-11.63902101079529</v>
      </c>
    </row>
    <row r="43" spans="1:8">
      <c r="A43" s="30" t="s">
        <v>21</v>
      </c>
      <c r="B43" s="31" t="s">
        <v>3</v>
      </c>
      <c r="C43" s="80">
        <v>23.679315930953699</v>
      </c>
      <c r="D43" s="80">
        <v>21.1208608824202</v>
      </c>
      <c r="E43" s="83">
        <v>23.268066776370134</v>
      </c>
      <c r="F43" s="22" t="s">
        <v>206</v>
      </c>
      <c r="G43" s="37">
        <v>-1.7367442361203445</v>
      </c>
      <c r="H43" s="33">
        <v>10.166280181018308</v>
      </c>
    </row>
    <row r="44" spans="1:8">
      <c r="A44" s="34"/>
      <c r="B44" s="25" t="s">
        <v>207</v>
      </c>
      <c r="C44" s="82">
        <v>16.048939344113201</v>
      </c>
      <c r="D44" s="82">
        <v>16.037554623555401</v>
      </c>
      <c r="E44" s="82">
        <v>16.986595593268699</v>
      </c>
      <c r="F44" s="27"/>
      <c r="G44" s="28">
        <v>5.8424811076342849</v>
      </c>
      <c r="H44" s="29">
        <v>5.9176164445880204</v>
      </c>
    </row>
    <row r="45" spans="1:8">
      <c r="A45" s="30" t="s">
        <v>22</v>
      </c>
      <c r="B45" s="31" t="s">
        <v>3</v>
      </c>
      <c r="C45" s="80">
        <v>7.2351333719966098</v>
      </c>
      <c r="D45" s="80">
        <v>4.9992291625055998</v>
      </c>
      <c r="E45" s="83">
        <v>4.427318584981367</v>
      </c>
      <c r="F45" s="22" t="s">
        <v>206</v>
      </c>
      <c r="G45" s="37">
        <v>-38.808058437219891</v>
      </c>
      <c r="H45" s="33">
        <v>-11.439975222852013</v>
      </c>
    </row>
    <row r="46" spans="1:8">
      <c r="A46" s="34"/>
      <c r="B46" s="25" t="s">
        <v>207</v>
      </c>
      <c r="C46" s="82">
        <v>5.1169564329073198</v>
      </c>
      <c r="D46" s="82">
        <v>4.6229945612518701</v>
      </c>
      <c r="E46" s="82">
        <v>3.7134466766362499</v>
      </c>
      <c r="F46" s="27"/>
      <c r="G46" s="28">
        <v>-27.428604770700233</v>
      </c>
      <c r="H46" s="29">
        <v>-19.674431206108139</v>
      </c>
    </row>
    <row r="47" spans="1:8">
      <c r="A47" s="30" t="s">
        <v>194</v>
      </c>
      <c r="B47" s="31" t="s">
        <v>3</v>
      </c>
      <c r="C47" s="80">
        <v>317.193973977464</v>
      </c>
      <c r="D47" s="80">
        <v>252.97221744601799</v>
      </c>
      <c r="E47" s="83">
        <v>272.00184195799369</v>
      </c>
      <c r="F47" s="22" t="s">
        <v>206</v>
      </c>
      <c r="G47" s="23">
        <v>-14.24747496075733</v>
      </c>
      <c r="H47" s="24">
        <v>7.5224167713343633</v>
      </c>
    </row>
    <row r="48" spans="1:8">
      <c r="A48" s="30"/>
      <c r="B48" s="25" t="s">
        <v>207</v>
      </c>
      <c r="C48" s="82">
        <v>237.30417422246899</v>
      </c>
      <c r="D48" s="82">
        <v>186.66564555901201</v>
      </c>
      <c r="E48" s="82">
        <v>201.62786218162699</v>
      </c>
      <c r="F48" s="27"/>
      <c r="G48" s="38">
        <v>-15.034001048542876</v>
      </c>
      <c r="H48" s="24">
        <v>8.015517037324841</v>
      </c>
    </row>
    <row r="49" spans="1:8">
      <c r="A49" s="39" t="s">
        <v>12</v>
      </c>
      <c r="B49" s="31" t="s">
        <v>3</v>
      </c>
      <c r="C49" s="80">
        <v>8.1906416789914491</v>
      </c>
      <c r="D49" s="80">
        <v>6.9060175866315801</v>
      </c>
      <c r="E49" s="83">
        <v>4.6187858597061915</v>
      </c>
      <c r="F49" s="22" t="s">
        <v>206</v>
      </c>
      <c r="G49" s="37">
        <v>-43.608986441768948</v>
      </c>
      <c r="H49" s="33">
        <v>-33.119402003159237</v>
      </c>
    </row>
    <row r="50" spans="1:8">
      <c r="A50" s="34"/>
      <c r="B50" s="25" t="s">
        <v>207</v>
      </c>
      <c r="C50" s="82">
        <v>6.4981989945355201</v>
      </c>
      <c r="D50" s="82">
        <v>5.3278565238584301</v>
      </c>
      <c r="E50" s="82">
        <v>3.5963760491081298</v>
      </c>
      <c r="F50" s="27"/>
      <c r="G50" s="28">
        <v>-44.655803059703125</v>
      </c>
      <c r="H50" s="29">
        <v>-32.49863180430323</v>
      </c>
    </row>
    <row r="51" spans="1:8">
      <c r="A51" s="39" t="s">
        <v>23</v>
      </c>
      <c r="B51" s="31" t="s">
        <v>3</v>
      </c>
      <c r="C51" s="80">
        <v>145.36183575816301</v>
      </c>
      <c r="D51" s="80">
        <v>140.16103685559099</v>
      </c>
      <c r="E51" s="83">
        <v>134.58574959334669</v>
      </c>
      <c r="F51" s="22" t="s">
        <v>206</v>
      </c>
      <c r="G51" s="23">
        <v>-7.4132843112578684</v>
      </c>
      <c r="H51" s="24">
        <v>-3.9777725588521236</v>
      </c>
    </row>
    <row r="52" spans="1:8">
      <c r="A52" s="34"/>
      <c r="B52" s="25" t="s">
        <v>207</v>
      </c>
      <c r="C52" s="82">
        <v>101.21710012137601</v>
      </c>
      <c r="D52" s="82">
        <v>101.08016706882201</v>
      </c>
      <c r="E52" s="82">
        <v>95.917914637353903</v>
      </c>
      <c r="F52" s="27"/>
      <c r="G52" s="28">
        <v>-5.2354646375637088</v>
      </c>
      <c r="H52" s="29">
        <v>-5.1070873556761143</v>
      </c>
    </row>
    <row r="53" spans="1:8">
      <c r="A53" s="30" t="s">
        <v>24</v>
      </c>
      <c r="B53" s="31" t="s">
        <v>3</v>
      </c>
      <c r="C53" s="80">
        <v>165.35024656447899</v>
      </c>
      <c r="D53" s="80">
        <v>176.75095203630701</v>
      </c>
      <c r="E53" s="83">
        <v>189.68868053361001</v>
      </c>
      <c r="F53" s="22" t="s">
        <v>206</v>
      </c>
      <c r="G53" s="23">
        <v>14.719321243733475</v>
      </c>
      <c r="H53" s="24">
        <v>7.3197503879048043</v>
      </c>
    </row>
    <row r="54" spans="1:8" ht="13.5" thickBot="1">
      <c r="A54" s="41"/>
      <c r="B54" s="42" t="s">
        <v>207</v>
      </c>
      <c r="C54" s="86">
        <v>114.091141641362</v>
      </c>
      <c r="D54" s="86">
        <v>127.857998402861</v>
      </c>
      <c r="E54" s="86">
        <v>135.039117682495</v>
      </c>
      <c r="F54" s="44"/>
      <c r="G54" s="45">
        <v>18.360738388420714</v>
      </c>
      <c r="H54" s="46">
        <v>5.6164802901163853</v>
      </c>
    </row>
    <row r="59" spans="1:8">
      <c r="A59" s="47"/>
      <c r="B59" s="48"/>
      <c r="C59" s="49"/>
      <c r="D59" s="49"/>
      <c r="E59" s="49"/>
      <c r="F59" s="49"/>
      <c r="G59" s="50"/>
      <c r="H59" s="51"/>
    </row>
    <row r="60" spans="1:8">
      <c r="A60" s="52"/>
      <c r="B60" s="52"/>
      <c r="C60" s="52"/>
      <c r="D60" s="52"/>
      <c r="E60" s="52"/>
      <c r="F60" s="52"/>
      <c r="G60" s="52"/>
      <c r="H60" s="52"/>
    </row>
    <row r="61" spans="1:8" ht="12.75" customHeight="1">
      <c r="A61" s="54" t="s">
        <v>208</v>
      </c>
      <c r="G61" s="53"/>
      <c r="H61" s="152">
        <v>15</v>
      </c>
    </row>
    <row r="62" spans="1:8"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ht="12.75" customHeight="1">
      <c r="A7" s="149" t="s">
        <v>45</v>
      </c>
      <c r="B7" s="19" t="s">
        <v>3</v>
      </c>
      <c r="C7" s="20">
        <v>15098.097142857099</v>
      </c>
      <c r="D7" s="20">
        <v>13654</v>
      </c>
      <c r="E7" s="21">
        <v>13683.892808661694</v>
      </c>
      <c r="F7" s="22" t="s">
        <v>206</v>
      </c>
      <c r="G7" s="23">
        <v>-9.3667719899687114</v>
      </c>
      <c r="H7" s="24">
        <v>0.21893077971067498</v>
      </c>
    </row>
    <row r="8" spans="1:8" ht="12.75" customHeight="1">
      <c r="A8" s="150"/>
      <c r="B8" s="25" t="s">
        <v>207</v>
      </c>
      <c r="C8" s="26">
        <v>11793</v>
      </c>
      <c r="D8" s="26">
        <v>11029.2742857143</v>
      </c>
      <c r="E8" s="26">
        <v>10929</v>
      </c>
      <c r="F8" s="27"/>
      <c r="G8" s="28">
        <v>-7.3263800559654015</v>
      </c>
      <c r="H8" s="29">
        <v>-0.9091648563331205</v>
      </c>
    </row>
    <row r="9" spans="1:8">
      <c r="A9" s="30" t="s">
        <v>18</v>
      </c>
      <c r="B9" s="31" t="s">
        <v>3</v>
      </c>
      <c r="C9" s="20">
        <v>1632.1870270270299</v>
      </c>
      <c r="D9" s="20">
        <v>1223</v>
      </c>
      <c r="E9" s="21">
        <v>1674.6426669121627</v>
      </c>
      <c r="F9" s="22" t="s">
        <v>206</v>
      </c>
      <c r="G9" s="32">
        <v>2.6011504308096391</v>
      </c>
      <c r="H9" s="33">
        <v>36.929081513668251</v>
      </c>
    </row>
    <row r="10" spans="1:8">
      <c r="A10" s="34"/>
      <c r="B10" s="25" t="s">
        <v>207</v>
      </c>
      <c r="C10" s="26">
        <v>1274</v>
      </c>
      <c r="D10" s="26">
        <v>1011.43189189189</v>
      </c>
      <c r="E10" s="26">
        <v>1358</v>
      </c>
      <c r="F10" s="27"/>
      <c r="G10" s="35">
        <v>6.5934065934065984</v>
      </c>
      <c r="H10" s="29">
        <v>34.265095938378209</v>
      </c>
    </row>
    <row r="11" spans="1:8">
      <c r="A11" s="30" t="s">
        <v>19</v>
      </c>
      <c r="B11" s="31" t="s">
        <v>3</v>
      </c>
      <c r="C11" s="20">
        <v>4879.4571428571398</v>
      </c>
      <c r="D11" s="20">
        <v>3428</v>
      </c>
      <c r="E11" s="21">
        <v>4705.7997909533433</v>
      </c>
      <c r="F11" s="22" t="s">
        <v>206</v>
      </c>
      <c r="G11" s="37">
        <v>-3.5589481948418609</v>
      </c>
      <c r="H11" s="33">
        <v>37.275373131661127</v>
      </c>
    </row>
    <row r="12" spans="1:8">
      <c r="A12" s="34"/>
      <c r="B12" s="25" t="s">
        <v>207</v>
      </c>
      <c r="C12" s="26">
        <v>4302</v>
      </c>
      <c r="D12" s="26">
        <v>2674.61428571429</v>
      </c>
      <c r="E12" s="26">
        <v>3818</v>
      </c>
      <c r="F12" s="27"/>
      <c r="G12" s="28">
        <v>-11.250581125058119</v>
      </c>
      <c r="H12" s="29">
        <v>42.749555343093306</v>
      </c>
    </row>
    <row r="13" spans="1:8">
      <c r="A13" s="30" t="s">
        <v>20</v>
      </c>
      <c r="B13" s="31" t="s">
        <v>3</v>
      </c>
      <c r="C13" s="20">
        <v>2225.5853061224502</v>
      </c>
      <c r="D13" s="20">
        <v>2440</v>
      </c>
      <c r="E13" s="21">
        <v>1984.3215424696332</v>
      </c>
      <c r="F13" s="22" t="s">
        <v>206</v>
      </c>
      <c r="G13" s="23">
        <v>-10.8404635395963</v>
      </c>
      <c r="H13" s="24">
        <v>-18.675346620097002</v>
      </c>
    </row>
    <row r="14" spans="1:8">
      <c r="A14" s="34"/>
      <c r="B14" s="25" t="s">
        <v>207</v>
      </c>
      <c r="C14" s="26">
        <v>1697</v>
      </c>
      <c r="D14" s="26">
        <v>1973.3248979591799</v>
      </c>
      <c r="E14" s="26">
        <v>1573</v>
      </c>
      <c r="F14" s="27"/>
      <c r="G14" s="38">
        <v>-7.3070123747790205</v>
      </c>
      <c r="H14" s="24">
        <v>-20.286821413604898</v>
      </c>
    </row>
    <row r="15" spans="1:8">
      <c r="A15" s="30" t="s">
        <v>21</v>
      </c>
      <c r="B15" s="31" t="s">
        <v>3</v>
      </c>
      <c r="C15" s="20">
        <v>305.42233766233801</v>
      </c>
      <c r="D15" s="20">
        <v>354</v>
      </c>
      <c r="E15" s="21">
        <v>330.45556839872768</v>
      </c>
      <c r="F15" s="22" t="s">
        <v>206</v>
      </c>
      <c r="G15" s="37">
        <v>8.1962671519020773</v>
      </c>
      <c r="H15" s="33">
        <v>-6.6509693788904798</v>
      </c>
    </row>
    <row r="16" spans="1:8">
      <c r="A16" s="34"/>
      <c r="B16" s="25" t="s">
        <v>207</v>
      </c>
      <c r="C16" s="26">
        <v>216</v>
      </c>
      <c r="D16" s="26">
        <v>295.12831168831201</v>
      </c>
      <c r="E16" s="26">
        <v>260</v>
      </c>
      <c r="F16" s="27"/>
      <c r="G16" s="28">
        <v>20.370370370370367</v>
      </c>
      <c r="H16" s="29">
        <v>-11.902725118900619</v>
      </c>
    </row>
    <row r="17" spans="1:8">
      <c r="A17" s="30" t="s">
        <v>22</v>
      </c>
      <c r="B17" s="31" t="s">
        <v>3</v>
      </c>
      <c r="C17" s="20">
        <v>302.50971428571398</v>
      </c>
      <c r="D17" s="20">
        <v>274</v>
      </c>
      <c r="E17" s="21">
        <v>291.66763068718217</v>
      </c>
      <c r="F17" s="22" t="s">
        <v>206</v>
      </c>
      <c r="G17" s="37">
        <v>-3.5840447716306016</v>
      </c>
      <c r="H17" s="33">
        <v>6.4480403967818205</v>
      </c>
    </row>
    <row r="18" spans="1:8">
      <c r="A18" s="34"/>
      <c r="B18" s="25" t="s">
        <v>207</v>
      </c>
      <c r="C18" s="26">
        <v>212</v>
      </c>
      <c r="D18" s="26">
        <v>221.027428571429</v>
      </c>
      <c r="E18" s="26">
        <v>224</v>
      </c>
      <c r="F18" s="27"/>
      <c r="G18" s="28">
        <v>5.6603773584905639</v>
      </c>
      <c r="H18" s="29">
        <v>1.3448880294105123</v>
      </c>
    </row>
    <row r="19" spans="1:8">
      <c r="A19" s="30" t="s">
        <v>194</v>
      </c>
      <c r="B19" s="31" t="s">
        <v>3</v>
      </c>
      <c r="C19" s="20">
        <v>2905.1171428571402</v>
      </c>
      <c r="D19" s="20">
        <v>3356</v>
      </c>
      <c r="E19" s="21">
        <v>2763.9929705108357</v>
      </c>
      <c r="F19" s="22" t="s">
        <v>206</v>
      </c>
      <c r="G19" s="23">
        <v>-4.8577790638593967</v>
      </c>
      <c r="H19" s="24">
        <v>-17.640257136149117</v>
      </c>
    </row>
    <row r="20" spans="1:8">
      <c r="A20" s="30"/>
      <c r="B20" s="25" t="s">
        <v>207</v>
      </c>
      <c r="C20" s="26">
        <v>2363</v>
      </c>
      <c r="D20" s="26">
        <v>2872.0292857142899</v>
      </c>
      <c r="E20" s="26">
        <v>2325</v>
      </c>
      <c r="F20" s="27"/>
      <c r="G20" s="38">
        <v>-1.6081252644942907</v>
      </c>
      <c r="H20" s="24">
        <v>-19.046786480738859</v>
      </c>
    </row>
    <row r="21" spans="1:8">
      <c r="A21" s="39" t="s">
        <v>12</v>
      </c>
      <c r="B21" s="31" t="s">
        <v>3</v>
      </c>
      <c r="C21" s="20">
        <v>43</v>
      </c>
      <c r="D21" s="20">
        <v>34</v>
      </c>
      <c r="E21" s="21">
        <v>39.853174603174601</v>
      </c>
      <c r="F21" s="22" t="s">
        <v>206</v>
      </c>
      <c r="G21" s="37">
        <v>-7.3181985972683634</v>
      </c>
      <c r="H21" s="33">
        <v>17.21521942110175</v>
      </c>
    </row>
    <row r="22" spans="1:8">
      <c r="A22" s="34"/>
      <c r="B22" s="25" t="s">
        <v>207</v>
      </c>
      <c r="C22" s="26">
        <v>36</v>
      </c>
      <c r="D22" s="26">
        <v>28</v>
      </c>
      <c r="E22" s="26">
        <v>33</v>
      </c>
      <c r="F22" s="27"/>
      <c r="G22" s="28">
        <v>-8.3333333333333428</v>
      </c>
      <c r="H22" s="29">
        <v>17.857142857142861</v>
      </c>
    </row>
    <row r="23" spans="1:8">
      <c r="A23" s="39" t="s">
        <v>23</v>
      </c>
      <c r="B23" s="31" t="s">
        <v>3</v>
      </c>
      <c r="C23" s="20">
        <v>1571.9813533834599</v>
      </c>
      <c r="D23" s="20">
        <v>1548</v>
      </c>
      <c r="E23" s="21">
        <v>1314.069563318576</v>
      </c>
      <c r="F23" s="22" t="s">
        <v>206</v>
      </c>
      <c r="G23" s="23">
        <v>-16.40679703418661</v>
      </c>
      <c r="H23" s="24">
        <v>-15.111785315337471</v>
      </c>
    </row>
    <row r="24" spans="1:8">
      <c r="A24" s="34"/>
      <c r="B24" s="25" t="s">
        <v>207</v>
      </c>
      <c r="C24" s="26">
        <v>1154</v>
      </c>
      <c r="D24" s="26">
        <v>1185.3900751879701</v>
      </c>
      <c r="E24" s="26">
        <v>992</v>
      </c>
      <c r="F24" s="27"/>
      <c r="G24" s="28">
        <v>-14.038128249566725</v>
      </c>
      <c r="H24" s="29">
        <v>-16.314467215132012</v>
      </c>
    </row>
    <row r="25" spans="1:8">
      <c r="A25" s="30" t="s">
        <v>24</v>
      </c>
      <c r="B25" s="31" t="s">
        <v>3</v>
      </c>
      <c r="C25" s="20">
        <v>1564.09142857143</v>
      </c>
      <c r="D25" s="20">
        <v>1301</v>
      </c>
      <c r="E25" s="21">
        <v>1002.5544990465728</v>
      </c>
      <c r="F25" s="22" t="s">
        <v>206</v>
      </c>
      <c r="G25" s="23">
        <v>-35.901796996467112</v>
      </c>
      <c r="H25" s="24">
        <v>-22.939700303876037</v>
      </c>
    </row>
    <row r="26" spans="1:8" ht="13.5" thickBot="1">
      <c r="A26" s="41"/>
      <c r="B26" s="42" t="s">
        <v>207</v>
      </c>
      <c r="C26" s="43">
        <v>769</v>
      </c>
      <c r="D26" s="43">
        <v>1137.5228571428599</v>
      </c>
      <c r="E26" s="43">
        <v>696</v>
      </c>
      <c r="F26" s="44"/>
      <c r="G26" s="45">
        <v>-9.4928478543563131</v>
      </c>
      <c r="H26" s="46">
        <v>-38.814416288024503</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45</v>
      </c>
      <c r="B35" s="19" t="s">
        <v>3</v>
      </c>
      <c r="C35" s="80">
        <v>669.59931894463705</v>
      </c>
      <c r="D35" s="80">
        <v>560.50862801026403</v>
      </c>
      <c r="E35" s="83">
        <v>536.87961166647619</v>
      </c>
      <c r="F35" s="22" t="s">
        <v>206</v>
      </c>
      <c r="G35" s="23">
        <v>-19.820764974394223</v>
      </c>
      <c r="H35" s="24">
        <v>-4.2156382904698404</v>
      </c>
    </row>
    <row r="36" spans="1:8" ht="12.75" customHeight="1">
      <c r="A36" s="150"/>
      <c r="B36" s="25" t="s">
        <v>207</v>
      </c>
      <c r="C36" s="82">
        <v>635.80673614800298</v>
      </c>
      <c r="D36" s="82">
        <v>454.18319907415702</v>
      </c>
      <c r="E36" s="82">
        <v>457.39188863054602</v>
      </c>
      <c r="F36" s="27"/>
      <c r="G36" s="28">
        <v>-28.061176042011226</v>
      </c>
      <c r="H36" s="29">
        <v>0.70647473595013821</v>
      </c>
    </row>
    <row r="37" spans="1:8">
      <c r="A37" s="30" t="s">
        <v>18</v>
      </c>
      <c r="B37" s="31" t="s">
        <v>3</v>
      </c>
      <c r="C37" s="80">
        <v>268.777576200998</v>
      </c>
      <c r="D37" s="80">
        <v>252.795935868318</v>
      </c>
      <c r="E37" s="83">
        <v>224.48148085313386</v>
      </c>
      <c r="F37" s="22" t="s">
        <v>206</v>
      </c>
      <c r="G37" s="32">
        <v>-16.480576978913788</v>
      </c>
      <c r="H37" s="33">
        <v>-11.200518282830785</v>
      </c>
    </row>
    <row r="38" spans="1:8">
      <c r="A38" s="34"/>
      <c r="B38" s="25" t="s">
        <v>207</v>
      </c>
      <c r="C38" s="82">
        <v>206.811873187477</v>
      </c>
      <c r="D38" s="82">
        <v>209.35897657267901</v>
      </c>
      <c r="E38" s="82">
        <v>181.29782097434401</v>
      </c>
      <c r="F38" s="27"/>
      <c r="G38" s="35">
        <v>-12.336841120337553</v>
      </c>
      <c r="H38" s="29">
        <v>-13.403368729495853</v>
      </c>
    </row>
    <row r="39" spans="1:8">
      <c r="A39" s="30" t="s">
        <v>19</v>
      </c>
      <c r="B39" s="31" t="s">
        <v>3</v>
      </c>
      <c r="C39" s="80">
        <v>220.87220671859799</v>
      </c>
      <c r="D39" s="80">
        <v>149.16802567678801</v>
      </c>
      <c r="E39" s="83">
        <v>191.85777559935801</v>
      </c>
      <c r="F39" s="22" t="s">
        <v>206</v>
      </c>
      <c r="G39" s="37">
        <v>-13.136297930054099</v>
      </c>
      <c r="H39" s="33">
        <v>28.618566029068887</v>
      </c>
    </row>
    <row r="40" spans="1:8">
      <c r="A40" s="34"/>
      <c r="B40" s="25" t="s">
        <v>207</v>
      </c>
      <c r="C40" s="82">
        <v>192.37513510707399</v>
      </c>
      <c r="D40" s="82">
        <v>117.070316353546</v>
      </c>
      <c r="E40" s="82">
        <v>155.70840535433101</v>
      </c>
      <c r="F40" s="27"/>
      <c r="G40" s="28">
        <v>-19.060015075407051</v>
      </c>
      <c r="H40" s="29">
        <v>33.004172367741859</v>
      </c>
    </row>
    <row r="41" spans="1:8">
      <c r="A41" s="30" t="s">
        <v>20</v>
      </c>
      <c r="B41" s="31" t="s">
        <v>3</v>
      </c>
      <c r="C41" s="80">
        <v>62.012565660878401</v>
      </c>
      <c r="D41" s="80">
        <v>61.499349223168501</v>
      </c>
      <c r="E41" s="83">
        <v>51.699519466466725</v>
      </c>
      <c r="F41" s="22" t="s">
        <v>206</v>
      </c>
      <c r="G41" s="23">
        <v>-16.630574923813896</v>
      </c>
      <c r="H41" s="24">
        <v>-15.934851149627946</v>
      </c>
    </row>
    <row r="42" spans="1:8">
      <c r="A42" s="34"/>
      <c r="B42" s="25" t="s">
        <v>207</v>
      </c>
      <c r="C42" s="82">
        <v>48.193734674757202</v>
      </c>
      <c r="D42" s="82">
        <v>49.447253602812502</v>
      </c>
      <c r="E42" s="82">
        <v>41.094334533743101</v>
      </c>
      <c r="F42" s="27"/>
      <c r="G42" s="38">
        <v>-14.730960754391603</v>
      </c>
      <c r="H42" s="24">
        <v>-16.892584441928022</v>
      </c>
    </row>
    <row r="43" spans="1:8">
      <c r="A43" s="30" t="s">
        <v>21</v>
      </c>
      <c r="B43" s="31" t="s">
        <v>3</v>
      </c>
      <c r="C43" s="80">
        <v>4.8965511310136796</v>
      </c>
      <c r="D43" s="80">
        <v>4.5925671223877398</v>
      </c>
      <c r="E43" s="83">
        <v>4.2229738860886892</v>
      </c>
      <c r="F43" s="22" t="s">
        <v>206</v>
      </c>
      <c r="G43" s="37">
        <v>-13.75615666828638</v>
      </c>
      <c r="H43" s="33">
        <v>-8.0476392930081744</v>
      </c>
    </row>
    <row r="44" spans="1:8">
      <c r="A44" s="34"/>
      <c r="B44" s="25" t="s">
        <v>207</v>
      </c>
      <c r="C44" s="82">
        <v>2.8816620290153701</v>
      </c>
      <c r="D44" s="82">
        <v>4.0896653062063901</v>
      </c>
      <c r="E44" s="82">
        <v>3.2112659866031499</v>
      </c>
      <c r="F44" s="27"/>
      <c r="G44" s="28">
        <v>11.437981077204995</v>
      </c>
      <c r="H44" s="29">
        <v>-21.478513615043255</v>
      </c>
    </row>
    <row r="45" spans="1:8">
      <c r="A45" s="30" t="s">
        <v>22</v>
      </c>
      <c r="B45" s="31" t="s">
        <v>3</v>
      </c>
      <c r="C45" s="80">
        <v>1.56977358876631</v>
      </c>
      <c r="D45" s="80">
        <v>1.4321116524709201</v>
      </c>
      <c r="E45" s="83">
        <v>1.662344601429026</v>
      </c>
      <c r="F45" s="22" t="s">
        <v>206</v>
      </c>
      <c r="G45" s="37">
        <v>5.897093270340207</v>
      </c>
      <c r="H45" s="33">
        <v>16.076466423610853</v>
      </c>
    </row>
    <row r="46" spans="1:8">
      <c r="A46" s="34"/>
      <c r="B46" s="25" t="s">
        <v>207</v>
      </c>
      <c r="C46" s="82">
        <v>1.13555597013308</v>
      </c>
      <c r="D46" s="82">
        <v>1.0875777533504301</v>
      </c>
      <c r="E46" s="82">
        <v>1.2418025585655099</v>
      </c>
      <c r="F46" s="27"/>
      <c r="G46" s="28">
        <v>9.3563497728763139</v>
      </c>
      <c r="H46" s="29">
        <v>14.18057741066967</v>
      </c>
    </row>
    <row r="47" spans="1:8">
      <c r="A47" s="30" t="s">
        <v>194</v>
      </c>
      <c r="B47" s="31" t="s">
        <v>3</v>
      </c>
      <c r="C47" s="80">
        <v>58.773888572399002</v>
      </c>
      <c r="D47" s="80">
        <v>42.501700106843003</v>
      </c>
      <c r="E47" s="83">
        <v>44.091783020230501</v>
      </c>
      <c r="F47" s="22" t="s">
        <v>206</v>
      </c>
      <c r="G47" s="23">
        <v>-24.980660474902479</v>
      </c>
      <c r="H47" s="24">
        <v>3.7412219026304001</v>
      </c>
    </row>
    <row r="48" spans="1:8">
      <c r="A48" s="30"/>
      <c r="B48" s="25" t="s">
        <v>207</v>
      </c>
      <c r="C48" s="82">
        <v>48.388730735650299</v>
      </c>
      <c r="D48" s="82">
        <v>37.862406691673499</v>
      </c>
      <c r="E48" s="82">
        <v>38.233405487339702</v>
      </c>
      <c r="F48" s="27"/>
      <c r="G48" s="38">
        <v>-20.986963480793847</v>
      </c>
      <c r="H48" s="24">
        <v>0.97986057433530505</v>
      </c>
    </row>
    <row r="49" spans="1:8">
      <c r="A49" s="39" t="s">
        <v>12</v>
      </c>
      <c r="B49" s="31" t="s">
        <v>3</v>
      </c>
      <c r="C49" s="80">
        <v>0.64480051737942301</v>
      </c>
      <c r="D49" s="80">
        <v>1.35742473225488</v>
      </c>
      <c r="E49" s="83">
        <v>1.8219105862419955</v>
      </c>
      <c r="F49" s="22" t="s">
        <v>206</v>
      </c>
      <c r="G49" s="37">
        <v>182.55414459754849</v>
      </c>
      <c r="H49" s="33">
        <v>34.2181664257389</v>
      </c>
    </row>
    <row r="50" spans="1:8">
      <c r="A50" s="34"/>
      <c r="B50" s="25" t="s">
        <v>207</v>
      </c>
      <c r="C50" s="82">
        <v>0.52627887318580502</v>
      </c>
      <c r="D50" s="82">
        <v>0.36923187640988098</v>
      </c>
      <c r="E50" s="82">
        <v>0.63718746718053199</v>
      </c>
      <c r="F50" s="27"/>
      <c r="G50" s="28">
        <v>21.074111017101416</v>
      </c>
      <c r="H50" s="29">
        <v>72.571088221320281</v>
      </c>
    </row>
    <row r="51" spans="1:8">
      <c r="A51" s="39" t="s">
        <v>23</v>
      </c>
      <c r="B51" s="31" t="s">
        <v>3</v>
      </c>
      <c r="C51" s="80">
        <v>35.251968318630297</v>
      </c>
      <c r="D51" s="80">
        <v>34.796545929272398</v>
      </c>
      <c r="E51" s="83">
        <v>25.180705917899942</v>
      </c>
      <c r="F51" s="22" t="s">
        <v>206</v>
      </c>
      <c r="G51" s="23">
        <v>-28.569361885554059</v>
      </c>
      <c r="H51" s="24">
        <v>-27.634467027036678</v>
      </c>
    </row>
    <row r="52" spans="1:8">
      <c r="A52" s="34"/>
      <c r="B52" s="25" t="s">
        <v>207</v>
      </c>
      <c r="C52" s="82">
        <v>124.760910533962</v>
      </c>
      <c r="D52" s="82">
        <v>24.9295588931986</v>
      </c>
      <c r="E52" s="82">
        <v>24.5733703483886</v>
      </c>
      <c r="F52" s="27"/>
      <c r="G52" s="28">
        <v>-80.303630164915063</v>
      </c>
      <c r="H52" s="29">
        <v>-1.4287799729467991</v>
      </c>
    </row>
    <row r="53" spans="1:8">
      <c r="A53" s="30" t="s">
        <v>24</v>
      </c>
      <c r="B53" s="31" t="s">
        <v>3</v>
      </c>
      <c r="C53" s="80">
        <v>16.7999882359737</v>
      </c>
      <c r="D53" s="80">
        <v>12.3649676987602</v>
      </c>
      <c r="E53" s="83">
        <v>15.367736828042592</v>
      </c>
      <c r="F53" s="22" t="s">
        <v>206</v>
      </c>
      <c r="G53" s="23">
        <v>-8.5253119693514918</v>
      </c>
      <c r="H53" s="24">
        <v>24.284488261004284</v>
      </c>
    </row>
    <row r="54" spans="1:8" ht="13.5" thickBot="1">
      <c r="A54" s="41"/>
      <c r="B54" s="42" t="s">
        <v>207</v>
      </c>
      <c r="C54" s="86">
        <v>10.7328550367488</v>
      </c>
      <c r="D54" s="86">
        <v>9.9682120242804597</v>
      </c>
      <c r="E54" s="86">
        <v>11.3942959200497</v>
      </c>
      <c r="F54" s="44"/>
      <c r="G54" s="45">
        <v>6.1627673255266728</v>
      </c>
      <c r="H54" s="46">
        <v>14.306315839747398</v>
      </c>
    </row>
    <row r="59" spans="1:8">
      <c r="A59" s="47"/>
      <c r="B59" s="48"/>
      <c r="C59" s="49"/>
      <c r="D59" s="49"/>
      <c r="E59" s="49"/>
      <c r="F59" s="49"/>
      <c r="G59" s="50"/>
      <c r="H59" s="51"/>
    </row>
    <row r="60" spans="1:8">
      <c r="A60" s="52"/>
      <c r="B60" s="52"/>
      <c r="C60" s="52"/>
      <c r="D60" s="52"/>
      <c r="E60" s="52"/>
      <c r="F60" s="52"/>
      <c r="G60" s="52"/>
      <c r="H60" s="52"/>
    </row>
    <row r="61" spans="1:8" ht="12.75" customHeight="1">
      <c r="A61" s="144">
        <v>16</v>
      </c>
      <c r="H61" s="53" t="s">
        <v>208</v>
      </c>
    </row>
    <row r="62" spans="1:8"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167</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169</v>
      </c>
      <c r="B7" s="19" t="s">
        <v>3</v>
      </c>
      <c r="C7" s="20">
        <v>49158.0462438424</v>
      </c>
      <c r="D7" s="20">
        <v>38994</v>
      </c>
      <c r="E7" s="79">
        <v>49515.702568793291</v>
      </c>
      <c r="F7" s="22" t="s">
        <v>206</v>
      </c>
      <c r="G7" s="23">
        <v>0.72756415740525426</v>
      </c>
      <c r="H7" s="24">
        <v>26.982875747020813</v>
      </c>
    </row>
    <row r="8" spans="1:8">
      <c r="A8" s="150"/>
      <c r="B8" s="25" t="s">
        <v>207</v>
      </c>
      <c r="C8" s="26">
        <v>35634</v>
      </c>
      <c r="D8" s="26">
        <v>29692.207820197</v>
      </c>
      <c r="E8" s="26">
        <v>37080.468705207801</v>
      </c>
      <c r="F8" s="27"/>
      <c r="G8" s="28">
        <v>4.0592375405730508</v>
      </c>
      <c r="H8" s="29">
        <v>24.882827608343817</v>
      </c>
    </row>
    <row r="9" spans="1:8">
      <c r="A9" s="30" t="s">
        <v>18</v>
      </c>
      <c r="B9" s="31" t="s">
        <v>3</v>
      </c>
      <c r="C9" s="20">
        <v>7127.2118190476203</v>
      </c>
      <c r="D9" s="20">
        <v>5186</v>
      </c>
      <c r="E9" s="36">
        <v>6773.376969617937</v>
      </c>
      <c r="F9" s="22" t="s">
        <v>206</v>
      </c>
      <c r="G9" s="32">
        <v>-4.964561997218226</v>
      </c>
      <c r="H9" s="33">
        <v>30.60888873154525</v>
      </c>
    </row>
    <row r="10" spans="1:8">
      <c r="A10" s="34"/>
      <c r="B10" s="25" t="s">
        <v>207</v>
      </c>
      <c r="C10" s="26">
        <v>5044</v>
      </c>
      <c r="D10" s="26">
        <v>3952.7344505494498</v>
      </c>
      <c r="E10" s="26">
        <v>5033.4554347826097</v>
      </c>
      <c r="F10" s="27"/>
      <c r="G10" s="35">
        <v>-0.20905164982930557</v>
      </c>
      <c r="H10" s="29">
        <v>27.341097606061908</v>
      </c>
    </row>
    <row r="11" spans="1:8">
      <c r="A11" s="30" t="s">
        <v>19</v>
      </c>
      <c r="B11" s="31" t="s">
        <v>3</v>
      </c>
      <c r="C11" s="20">
        <v>21153.3348809524</v>
      </c>
      <c r="D11" s="20">
        <v>17027</v>
      </c>
      <c r="E11" s="36">
        <v>22057.706834880115</v>
      </c>
      <c r="F11" s="22" t="s">
        <v>206</v>
      </c>
      <c r="G11" s="37">
        <v>4.2753162043591431</v>
      </c>
      <c r="H11" s="33">
        <v>29.545467991308584</v>
      </c>
    </row>
    <row r="12" spans="1:8">
      <c r="A12" s="34"/>
      <c r="B12" s="25" t="s">
        <v>207</v>
      </c>
      <c r="C12" s="26">
        <v>16067</v>
      </c>
      <c r="D12" s="26">
        <v>12709.125</v>
      </c>
      <c r="E12" s="26">
        <v>16559.581422924901</v>
      </c>
      <c r="F12" s="27"/>
      <c r="G12" s="28">
        <v>3.0657958730621715</v>
      </c>
      <c r="H12" s="29">
        <v>30.296786151091425</v>
      </c>
    </row>
    <row r="13" spans="1:8">
      <c r="A13" s="30" t="s">
        <v>20</v>
      </c>
      <c r="B13" s="31" t="s">
        <v>3</v>
      </c>
      <c r="C13" s="20">
        <v>5441.5193031358904</v>
      </c>
      <c r="D13" s="20">
        <v>4223</v>
      </c>
      <c r="E13" s="36">
        <v>4411.2117800807182</v>
      </c>
      <c r="F13" s="22" t="s">
        <v>206</v>
      </c>
      <c r="G13" s="23">
        <v>-18.934188517192553</v>
      </c>
      <c r="H13" s="24">
        <v>4.4568264286222643</v>
      </c>
    </row>
    <row r="14" spans="1:8">
      <c r="A14" s="34"/>
      <c r="B14" s="25" t="s">
        <v>207</v>
      </c>
      <c r="C14" s="26">
        <v>3699</v>
      </c>
      <c r="D14" s="26">
        <v>3337.5517896737401</v>
      </c>
      <c r="E14" s="26">
        <v>3307.0232608695701</v>
      </c>
      <c r="F14" s="27"/>
      <c r="G14" s="38">
        <v>-10.596829930533374</v>
      </c>
      <c r="H14" s="24">
        <v>-0.91469827969783069</v>
      </c>
    </row>
    <row r="15" spans="1:8">
      <c r="A15" s="30" t="s">
        <v>21</v>
      </c>
      <c r="B15" s="31" t="s">
        <v>3</v>
      </c>
      <c r="C15" s="20">
        <v>1257.1500714285701</v>
      </c>
      <c r="D15" s="20">
        <v>1138</v>
      </c>
      <c r="E15" s="36">
        <v>941.29003642054477</v>
      </c>
      <c r="F15" s="22" t="s">
        <v>206</v>
      </c>
      <c r="G15" s="37">
        <v>-25.125085873725155</v>
      </c>
      <c r="H15" s="33">
        <v>-17.285585551797482</v>
      </c>
    </row>
    <row r="16" spans="1:8">
      <c r="A16" s="34"/>
      <c r="B16" s="25" t="s">
        <v>207</v>
      </c>
      <c r="C16" s="26">
        <v>910</v>
      </c>
      <c r="D16" s="26">
        <v>905.55178571428598</v>
      </c>
      <c r="E16" s="26">
        <v>725.02326086956498</v>
      </c>
      <c r="F16" s="27"/>
      <c r="G16" s="28">
        <v>-20.327114190157687</v>
      </c>
      <c r="H16" s="29">
        <v>-19.935748313093185</v>
      </c>
    </row>
    <row r="17" spans="1:8">
      <c r="A17" s="30" t="s">
        <v>194</v>
      </c>
      <c r="B17" s="31" t="s">
        <v>3</v>
      </c>
      <c r="C17" s="20">
        <v>8173.9373848907999</v>
      </c>
      <c r="D17" s="20">
        <v>6170</v>
      </c>
      <c r="E17" s="36">
        <v>11235.664907663197</v>
      </c>
      <c r="F17" s="22" t="s">
        <v>206</v>
      </c>
      <c r="G17" s="37">
        <v>37.457193254647137</v>
      </c>
      <c r="H17" s="33">
        <v>82.101538211721163</v>
      </c>
    </row>
    <row r="18" spans="1:8">
      <c r="A18" s="34"/>
      <c r="B18" s="25" t="s">
        <v>207</v>
      </c>
      <c r="C18" s="26">
        <v>5549</v>
      </c>
      <c r="D18" s="26">
        <v>4813.5066595059097</v>
      </c>
      <c r="E18" s="26">
        <v>8350.2054347826106</v>
      </c>
      <c r="F18" s="27"/>
      <c r="G18" s="28">
        <v>50.481265719636156</v>
      </c>
      <c r="H18" s="29">
        <v>73.4744755840793</v>
      </c>
    </row>
    <row r="19" spans="1:8">
      <c r="A19" s="39" t="s">
        <v>12</v>
      </c>
      <c r="B19" s="31" t="s">
        <v>3</v>
      </c>
      <c r="C19" s="20">
        <v>1823.66552380952</v>
      </c>
      <c r="D19" s="20">
        <v>1187</v>
      </c>
      <c r="E19" s="36">
        <v>917.41872163542519</v>
      </c>
      <c r="F19" s="22" t="s">
        <v>206</v>
      </c>
      <c r="G19" s="37">
        <v>-49.693696039227817</v>
      </c>
      <c r="H19" s="33">
        <v>-22.711143922879103</v>
      </c>
    </row>
    <row r="20" spans="1:8">
      <c r="A20" s="34"/>
      <c r="B20" s="25" t="s">
        <v>207</v>
      </c>
      <c r="C20" s="26">
        <v>1582</v>
      </c>
      <c r="D20" s="26">
        <v>952.45714285714303</v>
      </c>
      <c r="E20" s="26">
        <v>755.02326086956498</v>
      </c>
      <c r="F20" s="27"/>
      <c r="G20" s="28">
        <v>-52.274130159951646</v>
      </c>
      <c r="H20" s="29">
        <v>-20.728899296751948</v>
      </c>
    </row>
    <row r="21" spans="1:8">
      <c r="A21" s="39" t="s">
        <v>23</v>
      </c>
      <c r="B21" s="31" t="s">
        <v>3</v>
      </c>
      <c r="C21" s="20">
        <v>1258</v>
      </c>
      <c r="D21" s="20">
        <v>1282</v>
      </c>
      <c r="E21" s="36">
        <v>1139.1421426366051</v>
      </c>
      <c r="F21" s="22" t="s">
        <v>206</v>
      </c>
      <c r="G21" s="23">
        <v>-9.4481603627499879</v>
      </c>
      <c r="H21" s="24">
        <v>-11.143358608689155</v>
      </c>
    </row>
    <row r="22" spans="1:8">
      <c r="A22" s="34"/>
      <c r="B22" s="25" t="s">
        <v>207</v>
      </c>
      <c r="C22" s="26">
        <v>949</v>
      </c>
      <c r="D22" s="26">
        <v>966</v>
      </c>
      <c r="E22" s="26">
        <v>858.68217391304302</v>
      </c>
      <c r="F22" s="27"/>
      <c r="G22" s="38">
        <v>-9.517157648783666</v>
      </c>
      <c r="H22" s="24">
        <v>-11.109505806103201</v>
      </c>
    </row>
    <row r="23" spans="1:8">
      <c r="A23" s="30" t="s">
        <v>24</v>
      </c>
      <c r="B23" s="31" t="s">
        <v>3</v>
      </c>
      <c r="C23" s="20">
        <v>3745.0801864565801</v>
      </c>
      <c r="D23" s="20">
        <v>3586</v>
      </c>
      <c r="E23" s="36">
        <v>3047.7690033089766</v>
      </c>
      <c r="F23" s="22" t="s">
        <v>206</v>
      </c>
      <c r="G23" s="37">
        <v>-18.619392601240051</v>
      </c>
      <c r="H23" s="33">
        <v>-15.009230247937069</v>
      </c>
    </row>
    <row r="24" spans="1:8" ht="13.5" thickBot="1">
      <c r="A24" s="41"/>
      <c r="B24" s="42" t="s">
        <v>207</v>
      </c>
      <c r="C24" s="43">
        <v>2393</v>
      </c>
      <c r="D24" s="43">
        <v>2778.02449731565</v>
      </c>
      <c r="E24" s="43">
        <v>2204.9569782608701</v>
      </c>
      <c r="F24" s="44"/>
      <c r="G24" s="45">
        <v>-7.8580452043096471</v>
      </c>
      <c r="H24" s="46">
        <v>-20.628598473790419</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168</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169</v>
      </c>
      <c r="B35" s="19" t="s">
        <v>3</v>
      </c>
      <c r="C35" s="80">
        <v>5773.1851242653302</v>
      </c>
      <c r="D35" s="80">
        <v>4591.2209991155596</v>
      </c>
      <c r="E35" s="81">
        <v>4853.9302980252096</v>
      </c>
      <c r="F35" s="22" t="s">
        <v>206</v>
      </c>
      <c r="G35" s="23">
        <v>-15.922836466414211</v>
      </c>
      <c r="H35" s="24">
        <v>5.7219920138947202</v>
      </c>
    </row>
    <row r="36" spans="1:8" ht="12.75" customHeight="1">
      <c r="A36" s="150"/>
      <c r="B36" s="25" t="s">
        <v>207</v>
      </c>
      <c r="C36" s="82">
        <v>4555.64023053451</v>
      </c>
      <c r="D36" s="82">
        <v>3362.85883928259</v>
      </c>
      <c r="E36" s="82">
        <v>3642.4443702063099</v>
      </c>
      <c r="F36" s="27"/>
      <c r="G36" s="28">
        <v>-20.045390200205858</v>
      </c>
      <c r="H36" s="29">
        <v>8.3139240832173869</v>
      </c>
    </row>
    <row r="37" spans="1:8">
      <c r="A37" s="30" t="s">
        <v>18</v>
      </c>
      <c r="B37" s="31" t="s">
        <v>3</v>
      </c>
      <c r="C37" s="80">
        <v>3300.2378094618998</v>
      </c>
      <c r="D37" s="80">
        <v>2193.8575866906299</v>
      </c>
      <c r="E37" s="83">
        <v>2330.9552772408538</v>
      </c>
      <c r="F37" s="22" t="s">
        <v>206</v>
      </c>
      <c r="G37" s="32">
        <v>-29.370081436012825</v>
      </c>
      <c r="H37" s="33">
        <v>6.2491609018720169</v>
      </c>
    </row>
    <row r="38" spans="1:8">
      <c r="A38" s="34"/>
      <c r="B38" s="25" t="s">
        <v>207</v>
      </c>
      <c r="C38" s="82">
        <v>2603.0611164894599</v>
      </c>
      <c r="D38" s="82">
        <v>1646.33083471997</v>
      </c>
      <c r="E38" s="82">
        <v>1778.0081146684499</v>
      </c>
      <c r="F38" s="27"/>
      <c r="G38" s="35">
        <v>-31.69549099691109</v>
      </c>
      <c r="H38" s="29">
        <v>7.9982271589341423</v>
      </c>
    </row>
    <row r="39" spans="1:8">
      <c r="A39" s="30" t="s">
        <v>19</v>
      </c>
      <c r="B39" s="31" t="s">
        <v>3</v>
      </c>
      <c r="C39" s="80">
        <v>1165.44519444961</v>
      </c>
      <c r="D39" s="80">
        <v>1192.5025374371201</v>
      </c>
      <c r="E39" s="83">
        <v>1428.4253650553846</v>
      </c>
      <c r="F39" s="22" t="s">
        <v>206</v>
      </c>
      <c r="G39" s="37">
        <v>22.564782270175215</v>
      </c>
      <c r="H39" s="33">
        <v>19.783842818926047</v>
      </c>
    </row>
    <row r="40" spans="1:8">
      <c r="A40" s="34"/>
      <c r="B40" s="25" t="s">
        <v>207</v>
      </c>
      <c r="C40" s="82">
        <v>903.98741381750699</v>
      </c>
      <c r="D40" s="82">
        <v>864.31980739118603</v>
      </c>
      <c r="E40" s="82">
        <v>1058.4513276467001</v>
      </c>
      <c r="F40" s="27"/>
      <c r="G40" s="28">
        <v>17.086954029248872</v>
      </c>
      <c r="H40" s="29">
        <v>22.46061221730757</v>
      </c>
    </row>
    <row r="41" spans="1:8">
      <c r="A41" s="30" t="s">
        <v>20</v>
      </c>
      <c r="B41" s="31" t="s">
        <v>3</v>
      </c>
      <c r="C41" s="80">
        <v>212.591177071239</v>
      </c>
      <c r="D41" s="80">
        <v>224.23431667991599</v>
      </c>
      <c r="E41" s="83">
        <v>206.43332833703502</v>
      </c>
      <c r="F41" s="22" t="s">
        <v>206</v>
      </c>
      <c r="G41" s="23">
        <v>-2.8965683425989539</v>
      </c>
      <c r="H41" s="24">
        <v>-7.9385656069276109</v>
      </c>
    </row>
    <row r="42" spans="1:8">
      <c r="A42" s="34"/>
      <c r="B42" s="25" t="s">
        <v>207</v>
      </c>
      <c r="C42" s="82">
        <v>154.71047914959701</v>
      </c>
      <c r="D42" s="82">
        <v>160.42574074754501</v>
      </c>
      <c r="E42" s="82">
        <v>148.526964057252</v>
      </c>
      <c r="F42" s="27"/>
      <c r="G42" s="38">
        <v>-3.9968301606550227</v>
      </c>
      <c r="H42" s="24">
        <v>-7.4169996877356539</v>
      </c>
    </row>
    <row r="43" spans="1:8">
      <c r="A43" s="30" t="s">
        <v>21</v>
      </c>
      <c r="B43" s="31" t="s">
        <v>3</v>
      </c>
      <c r="C43" s="80">
        <v>17.590426534999899</v>
      </c>
      <c r="D43" s="80">
        <v>16.306733681362601</v>
      </c>
      <c r="E43" s="83">
        <v>13.365967871161939</v>
      </c>
      <c r="F43" s="22" t="s">
        <v>206</v>
      </c>
      <c r="G43" s="37">
        <v>-24.015669292796858</v>
      </c>
      <c r="H43" s="33">
        <v>-18.034058001215428</v>
      </c>
    </row>
    <row r="44" spans="1:8">
      <c r="A44" s="34"/>
      <c r="B44" s="25" t="s">
        <v>207</v>
      </c>
      <c r="C44" s="82">
        <v>12.719698486193501</v>
      </c>
      <c r="D44" s="82">
        <v>13.6398679653458</v>
      </c>
      <c r="E44" s="82">
        <v>10.6248664894234</v>
      </c>
      <c r="F44" s="27"/>
      <c r="G44" s="28">
        <v>-16.469195390471867</v>
      </c>
      <c r="H44" s="29">
        <v>-22.104330361426364</v>
      </c>
    </row>
    <row r="45" spans="1:8">
      <c r="A45" s="30" t="s">
        <v>194</v>
      </c>
      <c r="B45" s="31" t="s">
        <v>3</v>
      </c>
      <c r="C45" s="80">
        <v>567.039730456592</v>
      </c>
      <c r="D45" s="80">
        <v>443.71247203065099</v>
      </c>
      <c r="E45" s="83">
        <v>502.65029716839535</v>
      </c>
      <c r="F45" s="22" t="s">
        <v>206</v>
      </c>
      <c r="G45" s="37">
        <v>-11.355365387950684</v>
      </c>
      <c r="H45" s="33">
        <v>13.282886746008131</v>
      </c>
    </row>
    <row r="46" spans="1:8">
      <c r="A46" s="34"/>
      <c r="B46" s="25" t="s">
        <v>207</v>
      </c>
      <c r="C46" s="82">
        <v>444.21301757613799</v>
      </c>
      <c r="D46" s="82">
        <v>330.10093597847799</v>
      </c>
      <c r="E46" s="82">
        <v>380.33003421760498</v>
      </c>
      <c r="F46" s="27"/>
      <c r="G46" s="28">
        <v>-14.381159675849318</v>
      </c>
      <c r="H46" s="29">
        <v>15.2162847070515</v>
      </c>
    </row>
    <row r="47" spans="1:8">
      <c r="A47" s="39" t="s">
        <v>12</v>
      </c>
      <c r="B47" s="31" t="s">
        <v>3</v>
      </c>
      <c r="C47" s="80">
        <v>88.031522186187203</v>
      </c>
      <c r="D47" s="80">
        <v>64.754700314941999</v>
      </c>
      <c r="E47" s="83">
        <v>31.248347277499075</v>
      </c>
      <c r="F47" s="22" t="s">
        <v>206</v>
      </c>
      <c r="G47" s="37">
        <v>-64.503229636983178</v>
      </c>
      <c r="H47" s="33">
        <v>-51.743507227245104</v>
      </c>
    </row>
    <row r="48" spans="1:8">
      <c r="A48" s="34"/>
      <c r="B48" s="25" t="s">
        <v>207</v>
      </c>
      <c r="C48" s="82">
        <v>83.375131040775301</v>
      </c>
      <c r="D48" s="82">
        <v>59.507026439078501</v>
      </c>
      <c r="E48" s="82">
        <v>29.003296341328198</v>
      </c>
      <c r="F48" s="27"/>
      <c r="G48" s="28">
        <v>-65.213492345644539</v>
      </c>
      <c r="H48" s="29">
        <v>-51.260719822690355</v>
      </c>
    </row>
    <row r="49" spans="1:8">
      <c r="A49" s="39" t="s">
        <v>23</v>
      </c>
      <c r="B49" s="31" t="s">
        <v>3</v>
      </c>
      <c r="C49" s="80">
        <v>29.715926233988199</v>
      </c>
      <c r="D49" s="80">
        <v>35.319970120918001</v>
      </c>
      <c r="E49" s="83">
        <v>35.123480885544609</v>
      </c>
      <c r="F49" s="22" t="s">
        <v>206</v>
      </c>
      <c r="G49" s="23">
        <v>18.197496551096592</v>
      </c>
      <c r="H49" s="24">
        <v>-0.55631200904392131</v>
      </c>
    </row>
    <row r="50" spans="1:8">
      <c r="A50" s="34"/>
      <c r="B50" s="25" t="s">
        <v>207</v>
      </c>
      <c r="C50" s="82">
        <v>20.770002202393801</v>
      </c>
      <c r="D50" s="82">
        <v>23.515378431811801</v>
      </c>
      <c r="E50" s="82">
        <v>23.7604295471704</v>
      </c>
      <c r="F50" s="27"/>
      <c r="G50" s="38">
        <v>14.397819102936566</v>
      </c>
      <c r="H50" s="24">
        <v>1.0420887593588333</v>
      </c>
    </row>
    <row r="51" spans="1:8">
      <c r="A51" s="30" t="s">
        <v>24</v>
      </c>
      <c r="B51" s="31" t="s">
        <v>3</v>
      </c>
      <c r="C51" s="80">
        <v>392.53333787080999</v>
      </c>
      <c r="D51" s="80">
        <v>420.532682160018</v>
      </c>
      <c r="E51" s="83">
        <v>310.14121444867095</v>
      </c>
      <c r="F51" s="22" t="s">
        <v>206</v>
      </c>
      <c r="G51" s="37">
        <v>-20.989840982437983</v>
      </c>
      <c r="H51" s="33">
        <v>-26.250389659213624</v>
      </c>
    </row>
    <row r="52" spans="1:8" ht="13.5" thickBot="1">
      <c r="A52" s="41"/>
      <c r="B52" s="42" t="s">
        <v>207</v>
      </c>
      <c r="C52" s="86">
        <v>332.80337177244297</v>
      </c>
      <c r="D52" s="86">
        <v>265.01924760918001</v>
      </c>
      <c r="E52" s="86">
        <v>213.739337238378</v>
      </c>
      <c r="F52" s="44"/>
      <c r="G52" s="45">
        <v>-35.776090218063047</v>
      </c>
      <c r="H52" s="46">
        <v>-19.349504171268251</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208</v>
      </c>
      <c r="G61" s="53"/>
      <c r="H61" s="152">
        <v>17</v>
      </c>
    </row>
    <row r="62" spans="1:8"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47" t="s">
        <v>1</v>
      </c>
      <c r="H5" s="148"/>
    </row>
    <row r="6" spans="1:9">
      <c r="A6" s="12"/>
      <c r="B6" s="13"/>
      <c r="C6" s="14" t="s">
        <v>201</v>
      </c>
      <c r="D6" s="15" t="s">
        <v>202</v>
      </c>
      <c r="E6" s="15" t="s">
        <v>203</v>
      </c>
      <c r="F6" s="16"/>
      <c r="G6" s="17" t="s">
        <v>204</v>
      </c>
      <c r="H6" s="18" t="s">
        <v>205</v>
      </c>
    </row>
    <row r="7" spans="1:9">
      <c r="A7" s="149" t="s">
        <v>58</v>
      </c>
      <c r="B7" s="19" t="s">
        <v>3</v>
      </c>
      <c r="C7" s="20">
        <v>8831.7474299107107</v>
      </c>
      <c r="D7" s="20">
        <v>8926</v>
      </c>
      <c r="E7" s="79">
        <v>9067.1856044422202</v>
      </c>
      <c r="F7" s="22" t="s">
        <v>206</v>
      </c>
      <c r="G7" s="23">
        <v>2.6658164355351204</v>
      </c>
      <c r="H7" s="24">
        <v>1.5817343092339229</v>
      </c>
    </row>
    <row r="8" spans="1:9">
      <c r="A8" s="150"/>
      <c r="B8" s="25" t="s">
        <v>207</v>
      </c>
      <c r="C8" s="26">
        <v>7042</v>
      </c>
      <c r="D8" s="26">
        <v>6517.3324523437504</v>
      </c>
      <c r="E8" s="26">
        <v>6811.7805877551</v>
      </c>
      <c r="F8" s="27"/>
      <c r="G8" s="28">
        <v>-3.2692333462780425</v>
      </c>
      <c r="H8" s="29">
        <v>4.5179241286895007</v>
      </c>
    </row>
    <row r="9" spans="1:9">
      <c r="A9" s="30" t="s">
        <v>9</v>
      </c>
      <c r="B9" s="31" t="s">
        <v>3</v>
      </c>
      <c r="C9" s="20">
        <v>8096.3016205357098</v>
      </c>
      <c r="D9" s="20">
        <v>8192</v>
      </c>
      <c r="E9" s="21">
        <v>8429.6656430484963</v>
      </c>
      <c r="F9" s="22" t="s">
        <v>206</v>
      </c>
      <c r="G9" s="32">
        <v>4.1174852190194002</v>
      </c>
      <c r="H9" s="33">
        <v>2.9011919317443358</v>
      </c>
    </row>
    <row r="10" spans="1:9">
      <c r="A10" s="34"/>
      <c r="B10" s="25" t="s">
        <v>207</v>
      </c>
      <c r="C10" s="26">
        <v>6451</v>
      </c>
      <c r="D10" s="26">
        <v>5981.9523359374998</v>
      </c>
      <c r="E10" s="26">
        <v>6331.8243428571404</v>
      </c>
      <c r="F10" s="27"/>
      <c r="G10" s="35">
        <v>-1.8473981885422432</v>
      </c>
      <c r="H10" s="29">
        <v>5.848792957070728</v>
      </c>
    </row>
    <row r="11" spans="1:9">
      <c r="A11" s="30" t="s">
        <v>46</v>
      </c>
      <c r="B11" s="31" t="s">
        <v>3</v>
      </c>
      <c r="C11" s="20">
        <v>735.44580937499995</v>
      </c>
      <c r="D11" s="20">
        <v>738</v>
      </c>
      <c r="E11" s="21">
        <v>637.69651534302989</v>
      </c>
      <c r="F11" s="22" t="s">
        <v>206</v>
      </c>
      <c r="G11" s="37">
        <v>-13.291162011656553</v>
      </c>
      <c r="H11" s="33">
        <v>-13.591258083600295</v>
      </c>
    </row>
    <row r="12" spans="1:9" ht="13.5" thickBot="1">
      <c r="A12" s="56"/>
      <c r="B12" s="42" t="s">
        <v>207</v>
      </c>
      <c r="C12" s="43">
        <v>591</v>
      </c>
      <c r="D12" s="43">
        <v>538.38011640624995</v>
      </c>
      <c r="E12" s="43">
        <v>479.95624489795898</v>
      </c>
      <c r="F12" s="44"/>
      <c r="G12" s="57">
        <v>-18.789129458890187</v>
      </c>
      <c r="H12" s="46">
        <v>-10.851788490681486</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58</v>
      </c>
      <c r="B35" s="19" t="s">
        <v>3</v>
      </c>
      <c r="C35" s="80">
        <v>2295.1505355760801</v>
      </c>
      <c r="D35" s="80">
        <v>2320.4183533923601</v>
      </c>
      <c r="E35" s="81">
        <v>2518.6858539417349</v>
      </c>
      <c r="F35" s="22" t="s">
        <v>206</v>
      </c>
      <c r="G35" s="23">
        <v>9.7394621790917881</v>
      </c>
      <c r="H35" s="24">
        <v>8.5444721750073711</v>
      </c>
    </row>
    <row r="36" spans="1:9" ht="12.75" customHeight="1">
      <c r="A36" s="150"/>
      <c r="B36" s="25" t="s">
        <v>207</v>
      </c>
      <c r="C36" s="82">
        <v>1782.11540709002</v>
      </c>
      <c r="D36" s="82">
        <v>1738.8266912004501</v>
      </c>
      <c r="E36" s="82">
        <v>1909.6254062565899</v>
      </c>
      <c r="F36" s="27"/>
      <c r="G36" s="28">
        <v>7.1549798996900336</v>
      </c>
      <c r="H36" s="29">
        <v>9.8226416652382937</v>
      </c>
    </row>
    <row r="37" spans="1:9">
      <c r="A37" s="30" t="s">
        <v>9</v>
      </c>
      <c r="B37" s="31" t="s">
        <v>3</v>
      </c>
      <c r="C37" s="80">
        <v>1622.80553570445</v>
      </c>
      <c r="D37" s="80">
        <v>1683.13751015504</v>
      </c>
      <c r="E37" s="83">
        <v>1799.502656548648</v>
      </c>
      <c r="F37" s="22" t="s">
        <v>206</v>
      </c>
      <c r="G37" s="32">
        <v>10.88837306482904</v>
      </c>
      <c r="H37" s="33">
        <v>6.9135852354029765</v>
      </c>
    </row>
    <row r="38" spans="1:9">
      <c r="A38" s="34"/>
      <c r="B38" s="25" t="s">
        <v>207</v>
      </c>
      <c r="C38" s="82">
        <v>1266.47396695356</v>
      </c>
      <c r="D38" s="82">
        <v>1246.9041034785901</v>
      </c>
      <c r="E38" s="82">
        <v>1356.04664426422</v>
      </c>
      <c r="F38" s="27"/>
      <c r="G38" s="35">
        <v>7.0726031207828584</v>
      </c>
      <c r="H38" s="29">
        <v>8.7530821721691439</v>
      </c>
    </row>
    <row r="39" spans="1:9">
      <c r="A39" s="30" t="s">
        <v>46</v>
      </c>
      <c r="B39" s="31" t="s">
        <v>3</v>
      </c>
      <c r="C39" s="80">
        <v>672.34499987162701</v>
      </c>
      <c r="D39" s="80">
        <v>637.28084323732696</v>
      </c>
      <c r="E39" s="83">
        <v>718.70769885090044</v>
      </c>
      <c r="F39" s="22" t="s">
        <v>206</v>
      </c>
      <c r="G39" s="37">
        <v>6.8956709707256749</v>
      </c>
      <c r="H39" s="33">
        <v>12.777232593393634</v>
      </c>
    </row>
    <row r="40" spans="1:9" ht="13.5" thickBot="1">
      <c r="A40" s="56"/>
      <c r="B40" s="42" t="s">
        <v>207</v>
      </c>
      <c r="C40" s="86">
        <v>515.64144013646501</v>
      </c>
      <c r="D40" s="86">
        <v>491.92258772185698</v>
      </c>
      <c r="E40" s="86">
        <v>553.57876199237603</v>
      </c>
      <c r="F40" s="44"/>
      <c r="G40" s="57">
        <v>7.3573066287827515</v>
      </c>
      <c r="H40" s="46">
        <v>12.533714818027562</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4">
        <v>18</v>
      </c>
      <c r="H61" s="53" t="s">
        <v>208</v>
      </c>
    </row>
    <row r="62" spans="1:9"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47" t="s">
        <v>1</v>
      </c>
      <c r="H5" s="148"/>
    </row>
    <row r="6" spans="1:9">
      <c r="A6" s="12"/>
      <c r="B6" s="13"/>
      <c r="C6" s="14" t="s">
        <v>201</v>
      </c>
      <c r="D6" s="15" t="s">
        <v>202</v>
      </c>
      <c r="E6" s="15" t="s">
        <v>203</v>
      </c>
      <c r="F6" s="16"/>
      <c r="G6" s="17" t="s">
        <v>204</v>
      </c>
      <c r="H6" s="18" t="s">
        <v>205</v>
      </c>
    </row>
    <row r="7" spans="1:9">
      <c r="A7" s="149" t="s">
        <v>57</v>
      </c>
      <c r="B7" s="19" t="s">
        <v>3</v>
      </c>
      <c r="C7" s="20">
        <v>4563.4662578571397</v>
      </c>
      <c r="D7" s="20">
        <v>4526</v>
      </c>
      <c r="E7" s="79">
        <v>4487.2023068495182</v>
      </c>
      <c r="F7" s="22" t="s">
        <v>206</v>
      </c>
      <c r="G7" s="23">
        <v>-1.6711847244693416</v>
      </c>
      <c r="H7" s="24">
        <v>-0.85721814296248056</v>
      </c>
    </row>
    <row r="8" spans="1:9">
      <c r="A8" s="150"/>
      <c r="B8" s="25" t="s">
        <v>207</v>
      </c>
      <c r="C8" s="26">
        <v>2569</v>
      </c>
      <c r="D8" s="26">
        <v>3326</v>
      </c>
      <c r="E8" s="26">
        <v>2992.8339428571398</v>
      </c>
      <c r="F8" s="27"/>
      <c r="G8" s="28">
        <v>16.498012567424666</v>
      </c>
      <c r="H8" s="29">
        <v>-10.017019156429953</v>
      </c>
    </row>
    <row r="9" spans="1:9">
      <c r="A9" s="30" t="s">
        <v>9</v>
      </c>
      <c r="B9" s="31" t="s">
        <v>3</v>
      </c>
      <c r="C9" s="20">
        <v>1745.1478378571401</v>
      </c>
      <c r="D9" s="20">
        <v>1944</v>
      </c>
      <c r="E9" s="21">
        <v>1758.1054141326033</v>
      </c>
      <c r="F9" s="22" t="s">
        <v>206</v>
      </c>
      <c r="G9" s="32">
        <v>0.7424916098440093</v>
      </c>
      <c r="H9" s="33">
        <v>-9.5624786968825504</v>
      </c>
    </row>
    <row r="10" spans="1:9">
      <c r="A10" s="34"/>
      <c r="B10" s="25" t="s">
        <v>207</v>
      </c>
      <c r="C10" s="26">
        <v>1117</v>
      </c>
      <c r="D10" s="26">
        <v>1447</v>
      </c>
      <c r="E10" s="26">
        <v>1241.2226285714301</v>
      </c>
      <c r="F10" s="27"/>
      <c r="G10" s="35">
        <v>11.121094769152194</v>
      </c>
      <c r="H10" s="29">
        <v>-14.220965544476144</v>
      </c>
    </row>
    <row r="11" spans="1:9">
      <c r="A11" s="30" t="s">
        <v>46</v>
      </c>
      <c r="B11" s="31" t="s">
        <v>3</v>
      </c>
      <c r="C11" s="20">
        <v>2297.3184200000001</v>
      </c>
      <c r="D11" s="20">
        <v>2212</v>
      </c>
      <c r="E11" s="21">
        <v>1900.1628411796592</v>
      </c>
      <c r="F11" s="22" t="s">
        <v>206</v>
      </c>
      <c r="G11" s="37">
        <v>-17.287789771012271</v>
      </c>
      <c r="H11" s="33">
        <v>-14.097520742330062</v>
      </c>
    </row>
    <row r="12" spans="1:9">
      <c r="A12" s="34"/>
      <c r="B12" s="25" t="s">
        <v>207</v>
      </c>
      <c r="C12" s="26">
        <v>1331</v>
      </c>
      <c r="D12" s="26">
        <v>1615</v>
      </c>
      <c r="E12" s="26">
        <v>1276.61131428571</v>
      </c>
      <c r="F12" s="27"/>
      <c r="G12" s="28">
        <v>-4.0863024578730318</v>
      </c>
      <c r="H12" s="29">
        <v>-20.952859796550456</v>
      </c>
    </row>
    <row r="13" spans="1:9">
      <c r="A13" s="30" t="s">
        <v>24</v>
      </c>
      <c r="B13" s="31" t="s">
        <v>3</v>
      </c>
      <c r="C13" s="20">
        <v>521</v>
      </c>
      <c r="D13" s="20">
        <v>434</v>
      </c>
      <c r="E13" s="21">
        <v>824.5427506837076</v>
      </c>
      <c r="F13" s="22" t="s">
        <v>206</v>
      </c>
      <c r="G13" s="23">
        <v>58.261564430654033</v>
      </c>
      <c r="H13" s="24">
        <v>89.986808913296699</v>
      </c>
    </row>
    <row r="14" spans="1:9" ht="13.5" thickBot="1">
      <c r="A14" s="56"/>
      <c r="B14" s="42" t="s">
        <v>207</v>
      </c>
      <c r="C14" s="43">
        <v>252</v>
      </c>
      <c r="D14" s="43">
        <v>308</v>
      </c>
      <c r="E14" s="43">
        <v>506.305657142857</v>
      </c>
      <c r="F14" s="44"/>
      <c r="G14" s="57">
        <v>100.91494331065752</v>
      </c>
      <c r="H14" s="46">
        <v>64.384953617810709</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57</v>
      </c>
      <c r="B35" s="19" t="s">
        <v>3</v>
      </c>
      <c r="C35" s="80">
        <v>1427.55647975631</v>
      </c>
      <c r="D35" s="80">
        <v>1570.8861755238199</v>
      </c>
      <c r="E35" s="81">
        <v>1709.8384976301118</v>
      </c>
      <c r="F35" s="22" t="s">
        <v>206</v>
      </c>
      <c r="G35" s="23">
        <v>19.773789820350117</v>
      </c>
      <c r="H35" s="24">
        <v>8.8454736104579581</v>
      </c>
    </row>
    <row r="36" spans="1:9" ht="12.75" customHeight="1">
      <c r="A36" s="150"/>
      <c r="B36" s="25" t="s">
        <v>207</v>
      </c>
      <c r="C36" s="82">
        <v>1064.5444839941499</v>
      </c>
      <c r="D36" s="82">
        <v>1191.4056944198101</v>
      </c>
      <c r="E36" s="82">
        <v>1289.4605870123401</v>
      </c>
      <c r="F36" s="27"/>
      <c r="G36" s="28">
        <v>21.127919631344042</v>
      </c>
      <c r="H36" s="29">
        <v>8.2301849866749848</v>
      </c>
    </row>
    <row r="37" spans="1:9">
      <c r="A37" s="30" t="s">
        <v>9</v>
      </c>
      <c r="B37" s="31" t="s">
        <v>3</v>
      </c>
      <c r="C37" s="80">
        <v>379.17344360113498</v>
      </c>
      <c r="D37" s="80">
        <v>390.86714775272202</v>
      </c>
      <c r="E37" s="83">
        <v>411.57868098119127</v>
      </c>
      <c r="F37" s="22" t="s">
        <v>206</v>
      </c>
      <c r="G37" s="32">
        <v>8.5462834823802609</v>
      </c>
      <c r="H37" s="33">
        <v>5.298867747660438</v>
      </c>
    </row>
    <row r="38" spans="1:9">
      <c r="A38" s="34"/>
      <c r="B38" s="25" t="s">
        <v>207</v>
      </c>
      <c r="C38" s="82">
        <v>285.89839905975703</v>
      </c>
      <c r="D38" s="82">
        <v>300.31429733510799</v>
      </c>
      <c r="E38" s="82">
        <v>314.23766694616597</v>
      </c>
      <c r="F38" s="27"/>
      <c r="G38" s="35">
        <v>9.912356270482519</v>
      </c>
      <c r="H38" s="29">
        <v>4.6362659835410511</v>
      </c>
    </row>
    <row r="39" spans="1:9">
      <c r="A39" s="30" t="s">
        <v>46</v>
      </c>
      <c r="B39" s="31" t="s">
        <v>3</v>
      </c>
      <c r="C39" s="80">
        <v>831.22035656308697</v>
      </c>
      <c r="D39" s="80">
        <v>927.67820768823299</v>
      </c>
      <c r="E39" s="83">
        <v>967.54851733067142</v>
      </c>
      <c r="F39" s="22" t="s">
        <v>206</v>
      </c>
      <c r="G39" s="37">
        <v>16.400965122085239</v>
      </c>
      <c r="H39" s="33">
        <v>4.297859894951614</v>
      </c>
    </row>
    <row r="40" spans="1:9">
      <c r="A40" s="34"/>
      <c r="B40" s="25" t="s">
        <v>207</v>
      </c>
      <c r="C40" s="82">
        <v>632.76828915601504</v>
      </c>
      <c r="D40" s="82">
        <v>707.26050446197701</v>
      </c>
      <c r="E40" s="82">
        <v>737.287474217154</v>
      </c>
      <c r="F40" s="27"/>
      <c r="G40" s="28">
        <v>16.517765958301482</v>
      </c>
      <c r="H40" s="29">
        <v>4.2455318182964135</v>
      </c>
    </row>
    <row r="41" spans="1:9">
      <c r="A41" s="30" t="s">
        <v>24</v>
      </c>
      <c r="B41" s="31" t="s">
        <v>3</v>
      </c>
      <c r="C41" s="80">
        <v>217.16267959209199</v>
      </c>
      <c r="D41" s="80">
        <v>252.34082008286001</v>
      </c>
      <c r="E41" s="83">
        <v>335.80779635304145</v>
      </c>
      <c r="F41" s="22" t="s">
        <v>206</v>
      </c>
      <c r="G41" s="23">
        <v>54.634211082588763</v>
      </c>
      <c r="H41" s="24">
        <v>33.077080530519709</v>
      </c>
    </row>
    <row r="42" spans="1:9" ht="13.5" thickBot="1">
      <c r="A42" s="56"/>
      <c r="B42" s="42" t="s">
        <v>207</v>
      </c>
      <c r="C42" s="86">
        <v>145.87779577837401</v>
      </c>
      <c r="D42" s="86">
        <v>183.830892622725</v>
      </c>
      <c r="E42" s="86">
        <v>237.93544584901801</v>
      </c>
      <c r="F42" s="44"/>
      <c r="G42" s="57">
        <v>63.106005666896209</v>
      </c>
      <c r="H42" s="46">
        <v>29.431698042902639</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208</v>
      </c>
      <c r="G61" s="53"/>
      <c r="H61" s="152">
        <v>19</v>
      </c>
    </row>
    <row r="62" spans="1:9"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47" t="s">
        <v>1</v>
      </c>
      <c r="H5" s="148"/>
    </row>
    <row r="6" spans="1:9">
      <c r="A6" s="12"/>
      <c r="B6" s="13"/>
      <c r="C6" s="14" t="s">
        <v>201</v>
      </c>
      <c r="D6" s="15" t="s">
        <v>202</v>
      </c>
      <c r="E6" s="15" t="s">
        <v>203</v>
      </c>
      <c r="F6" s="16"/>
      <c r="G6" s="17" t="s">
        <v>204</v>
      </c>
      <c r="H6" s="18" t="s">
        <v>205</v>
      </c>
    </row>
    <row r="7" spans="1:9" ht="12.75" customHeight="1">
      <c r="A7" s="149" t="s">
        <v>60</v>
      </c>
      <c r="B7" s="19" t="s">
        <v>3</v>
      </c>
      <c r="C7" s="20">
        <v>14876.9826586621</v>
      </c>
      <c r="D7" s="20">
        <v>16278</v>
      </c>
      <c r="E7" s="79">
        <v>18820.792055230533</v>
      </c>
      <c r="F7" s="22" t="s">
        <v>206</v>
      </c>
      <c r="G7" s="23">
        <v>26.509470952916359</v>
      </c>
      <c r="H7" s="24">
        <v>15.621034864421503</v>
      </c>
    </row>
    <row r="8" spans="1:9" ht="13.5" customHeight="1" thickBot="1">
      <c r="A8" s="155"/>
      <c r="B8" s="42" t="s">
        <v>207</v>
      </c>
      <c r="C8" s="43">
        <v>10498</v>
      </c>
      <c r="D8" s="43">
        <v>11689.759043739299</v>
      </c>
      <c r="E8" s="43">
        <v>13436.6175</v>
      </c>
      <c r="F8" s="44"/>
      <c r="G8" s="57">
        <v>27.992165174318927</v>
      </c>
      <c r="H8" s="46">
        <v>14.943494127847472</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60</v>
      </c>
      <c r="B35" s="19" t="s">
        <v>3</v>
      </c>
      <c r="C35" s="80">
        <v>625.02091863863996</v>
      </c>
      <c r="D35" s="80">
        <v>613.82802342537798</v>
      </c>
      <c r="E35" s="81">
        <v>625.65810007730568</v>
      </c>
      <c r="F35" s="22" t="s">
        <v>206</v>
      </c>
      <c r="G35" s="23">
        <v>0.10194561808485503</v>
      </c>
      <c r="H35" s="24">
        <v>1.9272623927971892</v>
      </c>
    </row>
    <row r="36" spans="1:9" ht="12.75" customHeight="1" thickBot="1">
      <c r="A36" s="155"/>
      <c r="B36" s="42" t="s">
        <v>207</v>
      </c>
      <c r="C36" s="86">
        <v>446.62186203562101</v>
      </c>
      <c r="D36" s="86">
        <v>449.80903446908701</v>
      </c>
      <c r="E36" s="86">
        <v>454.61368514410998</v>
      </c>
      <c r="F36" s="44"/>
      <c r="G36" s="57">
        <v>1.7893936208280792</v>
      </c>
      <c r="H36" s="46">
        <v>1.0681534399801222</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4">
        <v>20</v>
      </c>
      <c r="H61" s="53" t="s">
        <v>208</v>
      </c>
    </row>
    <row r="62" spans="1:9"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61</v>
      </c>
      <c r="B7" s="19" t="s">
        <v>3</v>
      </c>
      <c r="C7" s="20">
        <v>271585.66666666698</v>
      </c>
      <c r="D7" s="20">
        <v>299510</v>
      </c>
      <c r="E7" s="79">
        <v>310756.2440028094</v>
      </c>
      <c r="F7" s="22" t="s">
        <v>206</v>
      </c>
      <c r="G7" s="23">
        <v>14.422917754425811</v>
      </c>
      <c r="H7" s="24">
        <v>3.7548809731926696</v>
      </c>
    </row>
    <row r="8" spans="1:8">
      <c r="A8" s="150"/>
      <c r="B8" s="25" t="s">
        <v>207</v>
      </c>
      <c r="C8" s="26">
        <v>206568</v>
      </c>
      <c r="D8" s="26">
        <v>220772.454545455</v>
      </c>
      <c r="E8" s="26">
        <v>231444.56730769199</v>
      </c>
      <c r="F8" s="27"/>
      <c r="G8" s="28">
        <v>12.042798162199375</v>
      </c>
      <c r="H8" s="29">
        <v>4.8339874574523662</v>
      </c>
    </row>
    <row r="9" spans="1:8">
      <c r="A9" s="30" t="s">
        <v>62</v>
      </c>
      <c r="B9" s="31" t="s">
        <v>3</v>
      </c>
      <c r="C9" s="20">
        <v>95585.166666666701</v>
      </c>
      <c r="D9" s="20">
        <v>100045</v>
      </c>
      <c r="E9" s="21">
        <v>104693.73259998894</v>
      </c>
      <c r="F9" s="22" t="s">
        <v>206</v>
      </c>
      <c r="G9" s="32">
        <v>9.5292671980020174</v>
      </c>
      <c r="H9" s="33">
        <v>4.646641611263874</v>
      </c>
    </row>
    <row r="10" spans="1:8">
      <c r="A10" s="34"/>
      <c r="B10" s="25" t="s">
        <v>207</v>
      </c>
      <c r="C10" s="26">
        <v>72881</v>
      </c>
      <c r="D10" s="26">
        <v>78419.5</v>
      </c>
      <c r="E10" s="26">
        <v>81303.784375000003</v>
      </c>
      <c r="F10" s="27"/>
      <c r="G10" s="35">
        <v>11.556900118000584</v>
      </c>
      <c r="H10" s="29">
        <v>3.6780193383023345</v>
      </c>
    </row>
    <row r="11" spans="1:8">
      <c r="A11" s="30" t="s">
        <v>47</v>
      </c>
      <c r="B11" s="31" t="s">
        <v>3</v>
      </c>
      <c r="C11" s="20">
        <v>8398.2265432098793</v>
      </c>
      <c r="D11" s="20">
        <v>8274</v>
      </c>
      <c r="E11" s="21">
        <v>10013.74649055181</v>
      </c>
      <c r="F11" s="22" t="s">
        <v>206</v>
      </c>
      <c r="G11" s="37">
        <v>19.23644163478906</v>
      </c>
      <c r="H11" s="33">
        <v>21.026667761080617</v>
      </c>
    </row>
    <row r="12" spans="1:8">
      <c r="A12" s="34"/>
      <c r="B12" s="25" t="s">
        <v>207</v>
      </c>
      <c r="C12" s="26">
        <v>6471</v>
      </c>
      <c r="D12" s="26">
        <v>6435.7981481481502</v>
      </c>
      <c r="E12" s="26">
        <v>7764.4640625000002</v>
      </c>
      <c r="F12" s="27"/>
      <c r="G12" s="28">
        <v>19.988627144181748</v>
      </c>
      <c r="H12" s="29">
        <v>20.644928317619218</v>
      </c>
    </row>
    <row r="13" spans="1:8">
      <c r="A13" s="30" t="s">
        <v>48</v>
      </c>
      <c r="B13" s="31" t="s">
        <v>3</v>
      </c>
      <c r="C13" s="20">
        <v>90145.038888888899</v>
      </c>
      <c r="D13" s="20">
        <v>96673</v>
      </c>
      <c r="E13" s="21">
        <v>100796.22434828707</v>
      </c>
      <c r="F13" s="22" t="s">
        <v>206</v>
      </c>
      <c r="G13" s="23">
        <v>11.815609145753015</v>
      </c>
      <c r="H13" s="24">
        <v>4.2651250590000132</v>
      </c>
    </row>
    <row r="14" spans="1:8">
      <c r="A14" s="34"/>
      <c r="B14" s="25" t="s">
        <v>207</v>
      </c>
      <c r="C14" s="26">
        <v>68851</v>
      </c>
      <c r="D14" s="26">
        <v>73712.183333333305</v>
      </c>
      <c r="E14" s="26">
        <v>76899.40625</v>
      </c>
      <c r="F14" s="27"/>
      <c r="G14" s="38">
        <v>11.68959964270671</v>
      </c>
      <c r="H14" s="24">
        <v>4.3238753385634681</v>
      </c>
    </row>
    <row r="15" spans="1:8">
      <c r="A15" s="30" t="s">
        <v>49</v>
      </c>
      <c r="B15" s="31" t="s">
        <v>3</v>
      </c>
      <c r="C15" s="20">
        <v>48607.038888888899</v>
      </c>
      <c r="D15" s="20">
        <v>52704</v>
      </c>
      <c r="E15" s="21">
        <v>55652.256772166053</v>
      </c>
      <c r="F15" s="22" t="s">
        <v>206</v>
      </c>
      <c r="G15" s="37">
        <v>14.494233848274234</v>
      </c>
      <c r="H15" s="33">
        <v>5.5939905361377811</v>
      </c>
    </row>
    <row r="16" spans="1:8">
      <c r="A16" s="34"/>
      <c r="B16" s="25" t="s">
        <v>207</v>
      </c>
      <c r="C16" s="26">
        <v>36296</v>
      </c>
      <c r="D16" s="26">
        <v>39768.183333333298</v>
      </c>
      <c r="E16" s="26">
        <v>41846.470625000002</v>
      </c>
      <c r="F16" s="27"/>
      <c r="G16" s="28">
        <v>15.292237781022706</v>
      </c>
      <c r="H16" s="29">
        <v>5.2260051062596631</v>
      </c>
    </row>
    <row r="17" spans="1:9">
      <c r="A17" s="30" t="s">
        <v>50</v>
      </c>
      <c r="B17" s="31" t="s">
        <v>3</v>
      </c>
      <c r="C17" s="20">
        <v>33992.679629629602</v>
      </c>
      <c r="D17" s="20">
        <v>47387</v>
      </c>
      <c r="E17" s="21">
        <v>52970.230494060153</v>
      </c>
      <c r="F17" s="22" t="s">
        <v>206</v>
      </c>
      <c r="G17" s="37">
        <v>55.828346194540188</v>
      </c>
      <c r="H17" s="33">
        <v>11.782198691751233</v>
      </c>
    </row>
    <row r="18" spans="1:9" ht="13.5" thickBot="1">
      <c r="A18" s="56"/>
      <c r="B18" s="42" t="s">
        <v>207</v>
      </c>
      <c r="C18" s="43">
        <v>26424</v>
      </c>
      <c r="D18" s="43">
        <v>26772.394444444399</v>
      </c>
      <c r="E18" s="43">
        <v>32925.156875000001</v>
      </c>
      <c r="F18" s="44"/>
      <c r="G18" s="57">
        <v>24.60322765289132</v>
      </c>
      <c r="H18" s="46">
        <v>22.981741298198969</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61</v>
      </c>
      <c r="B35" s="19" t="s">
        <v>3</v>
      </c>
      <c r="C35" s="80">
        <v>1522.1364975195499</v>
      </c>
      <c r="D35" s="80">
        <v>1684.93698043927</v>
      </c>
      <c r="E35" s="81">
        <v>1889.8170848181262</v>
      </c>
      <c r="F35" s="22" t="s">
        <v>206</v>
      </c>
      <c r="G35" s="23">
        <v>24.155559497965058</v>
      </c>
      <c r="H35" s="24">
        <v>12.159511409467854</v>
      </c>
    </row>
    <row r="36" spans="1:9" ht="12.75" customHeight="1">
      <c r="A36" s="150"/>
      <c r="B36" s="25" t="s">
        <v>207</v>
      </c>
      <c r="C36" s="82">
        <v>1174.2048500763599</v>
      </c>
      <c r="D36" s="82">
        <v>1250.3457337587899</v>
      </c>
      <c r="E36" s="82">
        <v>1420.39312070594</v>
      </c>
      <c r="F36" s="27"/>
      <c r="G36" s="28">
        <v>20.966381684896817</v>
      </c>
      <c r="H36" s="29">
        <v>13.600029364354555</v>
      </c>
    </row>
    <row r="37" spans="1:9">
      <c r="A37" s="30" t="s">
        <v>62</v>
      </c>
      <c r="B37" s="31" t="s">
        <v>3</v>
      </c>
      <c r="C37" s="80">
        <v>315.81642100250298</v>
      </c>
      <c r="D37" s="80">
        <v>325.12739390000098</v>
      </c>
      <c r="E37" s="83">
        <v>340.26154723763619</v>
      </c>
      <c r="F37" s="22" t="s">
        <v>206</v>
      </c>
      <c r="G37" s="32">
        <v>7.7402961370838455</v>
      </c>
      <c r="H37" s="33">
        <v>4.654837956315049</v>
      </c>
    </row>
    <row r="38" spans="1:9">
      <c r="A38" s="34"/>
      <c r="B38" s="25" t="s">
        <v>207</v>
      </c>
      <c r="C38" s="82">
        <v>249.587084514548</v>
      </c>
      <c r="D38" s="82">
        <v>265.26371665768499</v>
      </c>
      <c r="E38" s="82">
        <v>274.64753701430999</v>
      </c>
      <c r="F38" s="27"/>
      <c r="G38" s="35">
        <v>10.040764949238095</v>
      </c>
      <c r="H38" s="29">
        <v>3.5375438732672819</v>
      </c>
    </row>
    <row r="39" spans="1:9">
      <c r="A39" s="30" t="s">
        <v>47</v>
      </c>
      <c r="B39" s="31" t="s">
        <v>3</v>
      </c>
      <c r="C39" s="80">
        <v>159.26507662943499</v>
      </c>
      <c r="D39" s="80">
        <v>156.13917776832099</v>
      </c>
      <c r="E39" s="83">
        <v>181.76183082107519</v>
      </c>
      <c r="F39" s="22" t="s">
        <v>206</v>
      </c>
      <c r="G39" s="37">
        <v>14.125352944753743</v>
      </c>
      <c r="H39" s="33">
        <v>16.410137045023404</v>
      </c>
    </row>
    <row r="40" spans="1:9">
      <c r="A40" s="34"/>
      <c r="B40" s="25" t="s">
        <v>207</v>
      </c>
      <c r="C40" s="82">
        <v>126.104416530942</v>
      </c>
      <c r="D40" s="82">
        <v>131.473366884981</v>
      </c>
      <c r="E40" s="82">
        <v>149.87850876711099</v>
      </c>
      <c r="F40" s="27"/>
      <c r="G40" s="28">
        <v>18.852703886334993</v>
      </c>
      <c r="H40" s="29">
        <v>13.99914090450855</v>
      </c>
    </row>
    <row r="41" spans="1:9">
      <c r="A41" s="30" t="s">
        <v>48</v>
      </c>
      <c r="B41" s="31" t="s">
        <v>3</v>
      </c>
      <c r="C41" s="80">
        <v>675.67575371707699</v>
      </c>
      <c r="D41" s="80">
        <v>742.96737256322001</v>
      </c>
      <c r="E41" s="83">
        <v>799.14389762742439</v>
      </c>
      <c r="F41" s="22" t="s">
        <v>206</v>
      </c>
      <c r="G41" s="23">
        <v>18.273283188143921</v>
      </c>
      <c r="H41" s="24">
        <v>7.5611025650287615</v>
      </c>
    </row>
    <row r="42" spans="1:9">
      <c r="A42" s="34"/>
      <c r="B42" s="25" t="s">
        <v>207</v>
      </c>
      <c r="C42" s="82">
        <v>514.55382378720105</v>
      </c>
      <c r="D42" s="82">
        <v>562.16928971457799</v>
      </c>
      <c r="E42" s="82">
        <v>605.97131339968303</v>
      </c>
      <c r="F42" s="27"/>
      <c r="G42" s="38">
        <v>17.766360949304413</v>
      </c>
      <c r="H42" s="24">
        <v>7.7916073479118637</v>
      </c>
    </row>
    <row r="43" spans="1:9">
      <c r="A43" s="30" t="s">
        <v>49</v>
      </c>
      <c r="B43" s="31" t="s">
        <v>3</v>
      </c>
      <c r="C43" s="80">
        <v>254.61516366712601</v>
      </c>
      <c r="D43" s="80">
        <v>262.06058354049497</v>
      </c>
      <c r="E43" s="83">
        <v>295.43372176704509</v>
      </c>
      <c r="F43" s="22" t="s">
        <v>206</v>
      </c>
      <c r="G43" s="37">
        <v>16.031471775688772</v>
      </c>
      <c r="H43" s="33">
        <v>12.734894265925774</v>
      </c>
    </row>
    <row r="44" spans="1:9">
      <c r="A44" s="34"/>
      <c r="B44" s="25" t="s">
        <v>207</v>
      </c>
      <c r="C44" s="82">
        <v>189.24733848758601</v>
      </c>
      <c r="D44" s="82">
        <v>202.09672110652701</v>
      </c>
      <c r="E44" s="82">
        <v>225.01652805490201</v>
      </c>
      <c r="F44" s="27"/>
      <c r="G44" s="28">
        <v>18.90076227923403</v>
      </c>
      <c r="H44" s="29">
        <v>11.341008811465954</v>
      </c>
    </row>
    <row r="45" spans="1:9">
      <c r="A45" s="30" t="s">
        <v>50</v>
      </c>
      <c r="B45" s="31" t="s">
        <v>3</v>
      </c>
      <c r="C45" s="80">
        <v>110.62908250340899</v>
      </c>
      <c r="D45" s="80">
        <v>189.222452667233</v>
      </c>
      <c r="E45" s="83">
        <v>321.8518779744515</v>
      </c>
      <c r="F45" s="22" t="s">
        <v>206</v>
      </c>
      <c r="G45" s="37">
        <v>190.92881427859061</v>
      </c>
      <c r="H45" s="33">
        <v>70.091801177770861</v>
      </c>
    </row>
    <row r="46" spans="1:9" ht="13.5" thickBot="1">
      <c r="A46" s="56"/>
      <c r="B46" s="42" t="s">
        <v>207</v>
      </c>
      <c r="C46" s="86">
        <v>89.101186756081205</v>
      </c>
      <c r="D46" s="86">
        <v>82.011639395018406</v>
      </c>
      <c r="E46" s="86">
        <v>164.87923346992901</v>
      </c>
      <c r="F46" s="44"/>
      <c r="G46" s="57">
        <v>85.047180035091856</v>
      </c>
      <c r="H46" s="46">
        <v>101.04369902395121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208</v>
      </c>
      <c r="G61" s="53"/>
      <c r="H61" s="152">
        <v>21</v>
      </c>
    </row>
    <row r="62" spans="1:9"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69"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51</v>
      </c>
      <c r="B7" s="19" t="s">
        <v>3</v>
      </c>
      <c r="C7" s="20">
        <v>9746.9906759906808</v>
      </c>
      <c r="D7" s="20">
        <v>8915</v>
      </c>
      <c r="E7" s="79">
        <v>8259.3792400096245</v>
      </c>
      <c r="F7" s="22" t="s">
        <v>206</v>
      </c>
      <c r="G7" s="23">
        <v>-15.262263866173811</v>
      </c>
      <c r="H7" s="24">
        <v>-7.3541307906940574</v>
      </c>
    </row>
    <row r="8" spans="1:8">
      <c r="A8" s="150"/>
      <c r="B8" s="25" t="s">
        <v>207</v>
      </c>
      <c r="C8" s="26">
        <v>7349</v>
      </c>
      <c r="D8" s="26">
        <v>7393.6223776223796</v>
      </c>
      <c r="E8" s="26">
        <v>6629</v>
      </c>
      <c r="F8" s="27"/>
      <c r="G8" s="28">
        <v>-9.7972513267111196</v>
      </c>
      <c r="H8" s="29">
        <v>-10.341647687290518</v>
      </c>
    </row>
    <row r="9" spans="1:8">
      <c r="A9" s="30" t="s">
        <v>12</v>
      </c>
      <c r="B9" s="31" t="s">
        <v>3</v>
      </c>
      <c r="C9" s="20">
        <v>251.83441558441601</v>
      </c>
      <c r="D9" s="20">
        <v>181</v>
      </c>
      <c r="E9" s="21">
        <v>190.79530117200008</v>
      </c>
      <c r="F9" s="22" t="s">
        <v>206</v>
      </c>
      <c r="G9" s="32">
        <v>-24.237796994809614</v>
      </c>
      <c r="H9" s="33">
        <v>5.4117686033149539</v>
      </c>
    </row>
    <row r="10" spans="1:8">
      <c r="A10" s="34"/>
      <c r="B10" s="25" t="s">
        <v>207</v>
      </c>
      <c r="C10" s="26">
        <v>174</v>
      </c>
      <c r="D10" s="26">
        <v>137.06168831168799</v>
      </c>
      <c r="E10" s="26">
        <v>140</v>
      </c>
      <c r="F10" s="27"/>
      <c r="G10" s="35">
        <v>-19.540229885057471</v>
      </c>
      <c r="H10" s="29">
        <v>2.143787753168553</v>
      </c>
    </row>
    <row r="11" spans="1:8">
      <c r="A11" s="30" t="s">
        <v>18</v>
      </c>
      <c r="B11" s="31" t="s">
        <v>3</v>
      </c>
      <c r="C11" s="20">
        <v>263.073011363636</v>
      </c>
      <c r="D11" s="20">
        <v>265</v>
      </c>
      <c r="E11" s="21">
        <v>229.97222784083232</v>
      </c>
      <c r="F11" s="22" t="s">
        <v>206</v>
      </c>
      <c r="G11" s="37">
        <v>-12.582356263466991</v>
      </c>
      <c r="H11" s="33">
        <v>-13.218027229874593</v>
      </c>
    </row>
    <row r="12" spans="1:8">
      <c r="A12" s="34"/>
      <c r="B12" s="25" t="s">
        <v>207</v>
      </c>
      <c r="C12" s="26">
        <v>207</v>
      </c>
      <c r="D12" s="26">
        <v>249.092897727273</v>
      </c>
      <c r="E12" s="26">
        <v>203</v>
      </c>
      <c r="F12" s="27"/>
      <c r="G12" s="28">
        <v>-1.9323671497584485</v>
      </c>
      <c r="H12" s="29">
        <v>-18.504300262201468</v>
      </c>
    </row>
    <row r="13" spans="1:8">
      <c r="A13" s="30" t="s">
        <v>63</v>
      </c>
      <c r="B13" s="31" t="s">
        <v>3</v>
      </c>
      <c r="C13" s="20">
        <v>1737.8319559228701</v>
      </c>
      <c r="D13" s="20">
        <v>1499</v>
      </c>
      <c r="E13" s="21">
        <v>1306.0365571022137</v>
      </c>
      <c r="F13" s="22" t="s">
        <v>206</v>
      </c>
      <c r="G13" s="23">
        <v>-24.846786672843336</v>
      </c>
      <c r="H13" s="24">
        <v>-12.872811400786276</v>
      </c>
    </row>
    <row r="14" spans="1:8">
      <c r="A14" s="34"/>
      <c r="B14" s="25" t="s">
        <v>207</v>
      </c>
      <c r="C14" s="26">
        <v>1347</v>
      </c>
      <c r="D14" s="26">
        <v>1185.60330578512</v>
      </c>
      <c r="E14" s="26">
        <v>1026</v>
      </c>
      <c r="F14" s="27"/>
      <c r="G14" s="38">
        <v>-23.830734966592431</v>
      </c>
      <c r="H14" s="24">
        <v>-13.461779754352904</v>
      </c>
    </row>
    <row r="15" spans="1:8">
      <c r="A15" s="30" t="s">
        <v>52</v>
      </c>
      <c r="B15" s="31" t="s">
        <v>3</v>
      </c>
      <c r="C15" s="20">
        <v>5045.67012987013</v>
      </c>
      <c r="D15" s="20">
        <v>4567</v>
      </c>
      <c r="E15" s="21">
        <v>3930.6907313384618</v>
      </c>
      <c r="F15" s="22" t="s">
        <v>206</v>
      </c>
      <c r="G15" s="37">
        <v>-22.097746579409588</v>
      </c>
      <c r="H15" s="33">
        <v>-13.932762615755152</v>
      </c>
    </row>
    <row r="16" spans="1:8">
      <c r="A16" s="34"/>
      <c r="B16" s="25" t="s">
        <v>207</v>
      </c>
      <c r="C16" s="26">
        <v>3812</v>
      </c>
      <c r="D16" s="26">
        <v>3862.3974025973998</v>
      </c>
      <c r="E16" s="26">
        <v>3197</v>
      </c>
      <c r="F16" s="27"/>
      <c r="G16" s="28">
        <v>-16.133263378803775</v>
      </c>
      <c r="H16" s="29">
        <v>-17.227574825675134</v>
      </c>
    </row>
    <row r="17" spans="1:9">
      <c r="A17" s="30" t="s">
        <v>50</v>
      </c>
      <c r="B17" s="31" t="s">
        <v>3</v>
      </c>
      <c r="C17" s="20">
        <v>3119.1681818181801</v>
      </c>
      <c r="D17" s="20">
        <v>3047</v>
      </c>
      <c r="E17" s="21">
        <v>3191.3249816316511</v>
      </c>
      <c r="F17" s="22" t="s">
        <v>206</v>
      </c>
      <c r="G17" s="37">
        <v>2.3133346971823414</v>
      </c>
      <c r="H17" s="33">
        <v>4.7366255868608818</v>
      </c>
    </row>
    <row r="18" spans="1:9" ht="13.5" thickBot="1">
      <c r="A18" s="56"/>
      <c r="B18" s="42" t="s">
        <v>207</v>
      </c>
      <c r="C18" s="43">
        <v>2266</v>
      </c>
      <c r="D18" s="43">
        <v>2404.4863636363598</v>
      </c>
      <c r="E18" s="43">
        <v>2448</v>
      </c>
      <c r="F18" s="44"/>
      <c r="G18" s="57">
        <v>8.0317740511915332</v>
      </c>
      <c r="H18" s="46">
        <v>1.8096853041758862</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51</v>
      </c>
      <c r="B35" s="19" t="s">
        <v>3</v>
      </c>
      <c r="C35" s="80">
        <v>443.46113981184601</v>
      </c>
      <c r="D35" s="80">
        <v>394.80414792680301</v>
      </c>
      <c r="E35" s="81">
        <v>377.11229861062839</v>
      </c>
      <c r="F35" s="22" t="s">
        <v>206</v>
      </c>
      <c r="G35" s="23">
        <v>-14.961590823802169</v>
      </c>
      <c r="H35" s="24">
        <v>-4.4811710842143242</v>
      </c>
    </row>
    <row r="36" spans="1:9" ht="12.75" customHeight="1">
      <c r="A36" s="150"/>
      <c r="B36" s="25" t="s">
        <v>207</v>
      </c>
      <c r="C36" s="82">
        <v>321.90775935647298</v>
      </c>
      <c r="D36" s="82">
        <v>320.79357679115901</v>
      </c>
      <c r="E36" s="82">
        <v>294.69381432008402</v>
      </c>
      <c r="F36" s="27"/>
      <c r="G36" s="28">
        <v>-8.453957459985574</v>
      </c>
      <c r="H36" s="29">
        <v>-8.135999084565924</v>
      </c>
    </row>
    <row r="37" spans="1:9">
      <c r="A37" s="30" t="s">
        <v>12</v>
      </c>
      <c r="B37" s="31" t="s">
        <v>3</v>
      </c>
      <c r="C37" s="80">
        <v>2.45444077195907</v>
      </c>
      <c r="D37" s="80">
        <v>1.8544556363036</v>
      </c>
      <c r="E37" s="83">
        <v>1.7654006993468305</v>
      </c>
      <c r="F37" s="22" t="s">
        <v>206</v>
      </c>
      <c r="G37" s="32">
        <v>-28.073200237065237</v>
      </c>
      <c r="H37" s="33">
        <v>-4.8022144727214169</v>
      </c>
    </row>
    <row r="38" spans="1:9">
      <c r="A38" s="34"/>
      <c r="B38" s="25" t="s">
        <v>207</v>
      </c>
      <c r="C38" s="82">
        <v>1.9341415611650801</v>
      </c>
      <c r="D38" s="82">
        <v>2.60211889765446</v>
      </c>
      <c r="E38" s="82">
        <v>1.9656692695601701</v>
      </c>
      <c r="F38" s="27"/>
      <c r="G38" s="35">
        <v>1.6300620920476092</v>
      </c>
      <c r="H38" s="29">
        <v>-24.4588988100422</v>
      </c>
    </row>
    <row r="39" spans="1:9">
      <c r="A39" s="30" t="s">
        <v>18</v>
      </c>
      <c r="B39" s="31" t="s">
        <v>3</v>
      </c>
      <c r="C39" s="80">
        <v>44.467868687842703</v>
      </c>
      <c r="D39" s="80">
        <v>40.100149569710297</v>
      </c>
      <c r="E39" s="83">
        <v>29.175035592739945</v>
      </c>
      <c r="F39" s="22" t="s">
        <v>206</v>
      </c>
      <c r="G39" s="37">
        <v>-34.390748975301676</v>
      </c>
      <c r="H39" s="33">
        <v>-27.244571639260556</v>
      </c>
    </row>
    <row r="40" spans="1:9">
      <c r="A40" s="34"/>
      <c r="B40" s="25" t="s">
        <v>207</v>
      </c>
      <c r="C40" s="82">
        <v>34.933884231678199</v>
      </c>
      <c r="D40" s="82">
        <v>32.103438707719697</v>
      </c>
      <c r="E40" s="82">
        <v>23.209441834015198</v>
      </c>
      <c r="F40" s="27"/>
      <c r="G40" s="28">
        <v>-33.561805838445025</v>
      </c>
      <c r="H40" s="29">
        <v>-27.704187562828963</v>
      </c>
    </row>
    <row r="41" spans="1:9">
      <c r="A41" s="30" t="s">
        <v>63</v>
      </c>
      <c r="B41" s="31" t="s">
        <v>3</v>
      </c>
      <c r="C41" s="80">
        <v>82.703554729131994</v>
      </c>
      <c r="D41" s="80">
        <v>69.817991306111097</v>
      </c>
      <c r="E41" s="83">
        <v>58.752504485777472</v>
      </c>
      <c r="F41" s="22" t="s">
        <v>206</v>
      </c>
      <c r="G41" s="23">
        <v>-28.960121873598084</v>
      </c>
      <c r="H41" s="24">
        <v>-15.849047807488375</v>
      </c>
    </row>
    <row r="42" spans="1:9">
      <c r="A42" s="34"/>
      <c r="B42" s="25" t="s">
        <v>207</v>
      </c>
      <c r="C42" s="82">
        <v>65.194212734504205</v>
      </c>
      <c r="D42" s="82">
        <v>56.639061093133201</v>
      </c>
      <c r="E42" s="82">
        <v>47.204195540784603</v>
      </c>
      <c r="F42" s="27"/>
      <c r="G42" s="38">
        <v>-27.594500246489432</v>
      </c>
      <c r="H42" s="24">
        <v>-16.657877744185384</v>
      </c>
    </row>
    <row r="43" spans="1:9">
      <c r="A43" s="30" t="s">
        <v>52</v>
      </c>
      <c r="B43" s="31" t="s">
        <v>3</v>
      </c>
      <c r="C43" s="80">
        <v>231.68631336202799</v>
      </c>
      <c r="D43" s="80">
        <v>203.934184681294</v>
      </c>
      <c r="E43" s="83">
        <v>189.56350200241656</v>
      </c>
      <c r="F43" s="22" t="s">
        <v>206</v>
      </c>
      <c r="G43" s="37">
        <v>-18.180966647689388</v>
      </c>
      <c r="H43" s="33">
        <v>-7.046725737195942</v>
      </c>
    </row>
    <row r="44" spans="1:9">
      <c r="A44" s="34"/>
      <c r="B44" s="25" t="s">
        <v>207</v>
      </c>
      <c r="C44" s="82">
        <v>163.632720318461</v>
      </c>
      <c r="D44" s="82">
        <v>172.77281585998699</v>
      </c>
      <c r="E44" s="82">
        <v>150.58214755400601</v>
      </c>
      <c r="F44" s="27"/>
      <c r="G44" s="28">
        <v>-7.9755275956153753</v>
      </c>
      <c r="H44" s="29">
        <v>-12.843842473438656</v>
      </c>
    </row>
    <row r="45" spans="1:9">
      <c r="A45" s="30" t="s">
        <v>50</v>
      </c>
      <c r="B45" s="31" t="s">
        <v>3</v>
      </c>
      <c r="C45" s="80">
        <v>82.148962260884602</v>
      </c>
      <c r="D45" s="80">
        <v>79.097366733383694</v>
      </c>
      <c r="E45" s="83">
        <v>101.68295137500473</v>
      </c>
      <c r="F45" s="22" t="s">
        <v>206</v>
      </c>
      <c r="G45" s="37">
        <v>23.778741175189836</v>
      </c>
      <c r="H45" s="33">
        <v>28.554154928761506</v>
      </c>
    </row>
    <row r="46" spans="1:9" ht="13.5" thickBot="1">
      <c r="A46" s="56"/>
      <c r="B46" s="42" t="s">
        <v>207</v>
      </c>
      <c r="C46" s="86">
        <v>56.2128005106646</v>
      </c>
      <c r="D46" s="86">
        <v>56.676142232664503</v>
      </c>
      <c r="E46" s="86">
        <v>71.732360121717505</v>
      </c>
      <c r="F46" s="44"/>
      <c r="G46" s="57">
        <v>27.608586425272577</v>
      </c>
      <c r="H46" s="46">
        <v>26.565354125982779</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4">
        <v>22</v>
      </c>
      <c r="H61" s="53" t="s">
        <v>208</v>
      </c>
    </row>
    <row r="62" spans="1:9"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72"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ht="12.75" customHeight="1">
      <c r="A7" s="149" t="s">
        <v>64</v>
      </c>
      <c r="B7" s="19" t="s">
        <v>3</v>
      </c>
      <c r="C7" s="20">
        <v>7847.1235164835198</v>
      </c>
      <c r="D7" s="20">
        <v>6707</v>
      </c>
      <c r="E7" s="79">
        <v>8539.8072430872598</v>
      </c>
      <c r="F7" s="22" t="s">
        <v>206</v>
      </c>
      <c r="G7" s="23">
        <v>8.8272310885473075</v>
      </c>
      <c r="H7" s="24">
        <v>27.326781617522883</v>
      </c>
    </row>
    <row r="8" spans="1:8" ht="12.75" customHeight="1">
      <c r="A8" s="150"/>
      <c r="B8" s="25" t="s">
        <v>207</v>
      </c>
      <c r="C8" s="26">
        <v>4615</v>
      </c>
      <c r="D8" s="26">
        <v>4587.7753846153801</v>
      </c>
      <c r="E8" s="26">
        <v>5540.2820000000002</v>
      </c>
      <c r="F8" s="27"/>
      <c r="G8" s="28">
        <v>20.0494474539545</v>
      </c>
      <c r="H8" s="29">
        <v>20.761840664186622</v>
      </c>
    </row>
    <row r="9" spans="1:8">
      <c r="A9" s="30" t="s">
        <v>53</v>
      </c>
      <c r="B9" s="31" t="s">
        <v>3</v>
      </c>
      <c r="C9" s="20">
        <v>7.1235164835164802E-2</v>
      </c>
      <c r="D9" s="20">
        <v>3</v>
      </c>
      <c r="E9" s="21">
        <v>11.83282</v>
      </c>
      <c r="F9" s="22" t="s">
        <v>206</v>
      </c>
      <c r="G9" s="32">
        <v>16510.925274589667</v>
      </c>
      <c r="H9" s="33">
        <v>294.42733333333331</v>
      </c>
    </row>
    <row r="10" spans="1:8">
      <c r="A10" s="34"/>
      <c r="B10" s="25" t="s">
        <v>207</v>
      </c>
      <c r="C10" s="26">
        <v>0</v>
      </c>
      <c r="D10" s="26">
        <v>2.0977538461538501</v>
      </c>
      <c r="E10" s="26">
        <v>11.83282</v>
      </c>
      <c r="F10" s="27"/>
      <c r="G10" s="35" t="s">
        <v>210</v>
      </c>
      <c r="H10" s="29">
        <v>464.07094768030163</v>
      </c>
    </row>
    <row r="11" spans="1:8">
      <c r="A11" s="30" t="s">
        <v>54</v>
      </c>
      <c r="B11" s="31" t="s">
        <v>3</v>
      </c>
      <c r="C11" s="20">
        <v>488.071235164835</v>
      </c>
      <c r="D11" s="20">
        <v>363</v>
      </c>
      <c r="E11" s="21">
        <v>772.82125885773416</v>
      </c>
      <c r="F11" s="22" t="s">
        <v>206</v>
      </c>
      <c r="G11" s="37">
        <v>58.341898308498202</v>
      </c>
      <c r="H11" s="33">
        <v>112.89841841810861</v>
      </c>
    </row>
    <row r="12" spans="1:8">
      <c r="A12" s="34"/>
      <c r="B12" s="25" t="s">
        <v>207</v>
      </c>
      <c r="C12" s="26">
        <v>266</v>
      </c>
      <c r="D12" s="26">
        <v>232.09775384615401</v>
      </c>
      <c r="E12" s="26">
        <v>467.16410000000002</v>
      </c>
      <c r="F12" s="27"/>
      <c r="G12" s="28">
        <v>75.625601503759412</v>
      </c>
      <c r="H12" s="29">
        <v>101.27902672839295</v>
      </c>
    </row>
    <row r="13" spans="1:8">
      <c r="A13" s="30" t="s">
        <v>66</v>
      </c>
      <c r="B13" s="31" t="s">
        <v>3</v>
      </c>
      <c r="C13" s="20">
        <v>49.142470329670303</v>
      </c>
      <c r="D13" s="20">
        <v>440</v>
      </c>
      <c r="E13" s="21">
        <v>417.54243075687248</v>
      </c>
      <c r="F13" s="22" t="s">
        <v>206</v>
      </c>
      <c r="G13" s="23">
        <v>749.65698296362757</v>
      </c>
      <c r="H13" s="24">
        <v>-5.1039930098017123</v>
      </c>
    </row>
    <row r="14" spans="1:8">
      <c r="A14" s="34"/>
      <c r="B14" s="25" t="s">
        <v>207</v>
      </c>
      <c r="C14" s="26">
        <v>44</v>
      </c>
      <c r="D14" s="26">
        <v>56.1955076923077</v>
      </c>
      <c r="E14" s="26">
        <v>74.665639999999996</v>
      </c>
      <c r="F14" s="27"/>
      <c r="G14" s="38">
        <v>69.694636363636363</v>
      </c>
      <c r="H14" s="24">
        <v>32.867631357338155</v>
      </c>
    </row>
    <row r="15" spans="1:8">
      <c r="A15" s="30" t="s">
        <v>55</v>
      </c>
      <c r="B15" s="31" t="s">
        <v>3</v>
      </c>
      <c r="C15" s="20">
        <v>5675.4823999999999</v>
      </c>
      <c r="D15" s="20">
        <v>4775</v>
      </c>
      <c r="E15" s="21">
        <v>6295.1624770634971</v>
      </c>
      <c r="F15" s="22" t="s">
        <v>206</v>
      </c>
      <c r="G15" s="37">
        <v>10.918544599195613</v>
      </c>
      <c r="H15" s="33">
        <v>31.835863393999944</v>
      </c>
    </row>
    <row r="16" spans="1:8">
      <c r="A16" s="34"/>
      <c r="B16" s="25" t="s">
        <v>207</v>
      </c>
      <c r="C16" s="26">
        <v>3499</v>
      </c>
      <c r="D16" s="26">
        <v>3440.8955999999998</v>
      </c>
      <c r="E16" s="26">
        <v>4294.6256000000003</v>
      </c>
      <c r="F16" s="27"/>
      <c r="G16" s="28">
        <v>22.738656759074033</v>
      </c>
      <c r="H16" s="29">
        <v>24.811272972071592</v>
      </c>
    </row>
    <row r="17" spans="1:9">
      <c r="A17" s="30" t="s">
        <v>67</v>
      </c>
      <c r="B17" s="31" t="s">
        <v>3</v>
      </c>
      <c r="C17" s="20">
        <v>1012.14247032967</v>
      </c>
      <c r="D17" s="20">
        <v>426</v>
      </c>
      <c r="E17" s="21">
        <v>478.34154194173851</v>
      </c>
      <c r="F17" s="22" t="s">
        <v>206</v>
      </c>
      <c r="G17" s="37">
        <v>-52.739702565199593</v>
      </c>
      <c r="H17" s="33">
        <v>12.286746934680394</v>
      </c>
    </row>
    <row r="18" spans="1:9">
      <c r="A18" s="30"/>
      <c r="B18" s="25" t="s">
        <v>207</v>
      </c>
      <c r="C18" s="26">
        <v>322</v>
      </c>
      <c r="D18" s="26">
        <v>306.19550769230801</v>
      </c>
      <c r="E18" s="26">
        <v>242.16409999999999</v>
      </c>
      <c r="F18" s="27"/>
      <c r="G18" s="28">
        <v>-24.793757763975151</v>
      </c>
      <c r="H18" s="29">
        <v>-20.911935702418077</v>
      </c>
    </row>
    <row r="19" spans="1:9">
      <c r="A19" s="39" t="s">
        <v>56</v>
      </c>
      <c r="B19" s="31" t="s">
        <v>3</v>
      </c>
      <c r="C19" s="20">
        <v>29.071235164835201</v>
      </c>
      <c r="D19" s="20">
        <v>15</v>
      </c>
      <c r="E19" s="21">
        <v>31.947214714012162</v>
      </c>
      <c r="F19" s="22" t="s">
        <v>206</v>
      </c>
      <c r="G19" s="23">
        <v>9.8928701614156722</v>
      </c>
      <c r="H19" s="24">
        <v>112.98143142674775</v>
      </c>
    </row>
    <row r="20" spans="1:9">
      <c r="A20" s="34"/>
      <c r="B20" s="25" t="s">
        <v>207</v>
      </c>
      <c r="C20" s="26">
        <v>21</v>
      </c>
      <c r="D20" s="26">
        <v>8.0977538461538501</v>
      </c>
      <c r="E20" s="26">
        <v>18.832820000000002</v>
      </c>
      <c r="F20" s="27"/>
      <c r="G20" s="38">
        <v>-10.319904761904752</v>
      </c>
      <c r="H20" s="24">
        <v>132.56844253107215</v>
      </c>
    </row>
    <row r="21" spans="1:9">
      <c r="A21" s="39" t="s">
        <v>68</v>
      </c>
      <c r="B21" s="31" t="s">
        <v>3</v>
      </c>
      <c r="C21" s="20">
        <v>89.071235164835201</v>
      </c>
      <c r="D21" s="20">
        <v>94</v>
      </c>
      <c r="E21" s="21">
        <v>48.85397213857155</v>
      </c>
      <c r="F21" s="22" t="s">
        <v>206</v>
      </c>
      <c r="G21" s="37">
        <v>-45.151796707250767</v>
      </c>
      <c r="H21" s="33">
        <v>-48.027689214285587</v>
      </c>
    </row>
    <row r="22" spans="1:9">
      <c r="A22" s="34"/>
      <c r="B22" s="25" t="s">
        <v>207</v>
      </c>
      <c r="C22" s="26">
        <v>67</v>
      </c>
      <c r="D22" s="26">
        <v>68.097753846153793</v>
      </c>
      <c r="E22" s="26">
        <v>35.832819999999998</v>
      </c>
      <c r="F22" s="27"/>
      <c r="G22" s="28">
        <v>-46.518179104477618</v>
      </c>
      <c r="H22" s="29">
        <v>-47.380320236474496</v>
      </c>
    </row>
    <row r="23" spans="1:9">
      <c r="A23" s="30" t="s">
        <v>69</v>
      </c>
      <c r="B23" s="31" t="s">
        <v>3</v>
      </c>
      <c r="C23" s="20">
        <v>528.071235164835</v>
      </c>
      <c r="D23" s="20">
        <v>605</v>
      </c>
      <c r="E23" s="21">
        <v>515.16349892570202</v>
      </c>
      <c r="F23" s="22" t="s">
        <v>206</v>
      </c>
      <c r="G23" s="23">
        <v>-2.4443172397193536</v>
      </c>
      <c r="H23" s="24">
        <v>-14.849008442032726</v>
      </c>
    </row>
    <row r="24" spans="1:9" ht="13.5" thickBot="1">
      <c r="A24" s="56"/>
      <c r="B24" s="42" t="s">
        <v>207</v>
      </c>
      <c r="C24" s="43">
        <v>410</v>
      </c>
      <c r="D24" s="43">
        <v>486.09775384615398</v>
      </c>
      <c r="E24" s="43">
        <v>409.16410000000002</v>
      </c>
      <c r="F24" s="44"/>
      <c r="G24" s="57">
        <v>-0.20387804878048144</v>
      </c>
      <c r="H24" s="46">
        <v>-15.826786533661462</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64</v>
      </c>
      <c r="B35" s="19" t="s">
        <v>3</v>
      </c>
      <c r="C35" s="80">
        <v>780.30053224084395</v>
      </c>
      <c r="D35" s="80">
        <v>924.24003950207202</v>
      </c>
      <c r="E35" s="81">
        <v>900.45064262402093</v>
      </c>
      <c r="F35" s="22" t="s">
        <v>206</v>
      </c>
      <c r="G35" s="23">
        <v>15.397927518789899</v>
      </c>
      <c r="H35" s="24">
        <v>-2.5739413854941233</v>
      </c>
    </row>
    <row r="36" spans="1:8" ht="12.75" customHeight="1">
      <c r="A36" s="150"/>
      <c r="B36" s="25" t="s">
        <v>207</v>
      </c>
      <c r="C36" s="82">
        <v>536.25253427371001</v>
      </c>
      <c r="D36" s="82">
        <v>634.22520512267704</v>
      </c>
      <c r="E36" s="82">
        <v>618.20821045853904</v>
      </c>
      <c r="F36" s="27"/>
      <c r="G36" s="28">
        <v>15.283037551669238</v>
      </c>
      <c r="H36" s="29">
        <v>-2.5254427819594127</v>
      </c>
    </row>
    <row r="37" spans="1:8">
      <c r="A37" s="30" t="s">
        <v>53</v>
      </c>
      <c r="B37" s="31" t="s">
        <v>3</v>
      </c>
      <c r="C37" s="80">
        <v>1.99525234674124</v>
      </c>
      <c r="D37" s="80">
        <v>1.27704969538873</v>
      </c>
      <c r="E37" s="83">
        <v>1.189879019408288</v>
      </c>
      <c r="F37" s="22" t="s">
        <v>206</v>
      </c>
      <c r="G37" s="32">
        <v>-40.364484655203327</v>
      </c>
      <c r="H37" s="33">
        <v>-6.8259423494014868</v>
      </c>
    </row>
    <row r="38" spans="1:8">
      <c r="A38" s="34"/>
      <c r="B38" s="25" t="s">
        <v>207</v>
      </c>
      <c r="C38" s="82">
        <v>1.5916375955411</v>
      </c>
      <c r="D38" s="82">
        <v>1.02877034441972</v>
      </c>
      <c r="E38" s="82">
        <v>0.95540467416045305</v>
      </c>
      <c r="F38" s="27"/>
      <c r="G38" s="35">
        <v>-39.973479086132699</v>
      </c>
      <c r="H38" s="29">
        <v>-7.1313943541645273</v>
      </c>
    </row>
    <row r="39" spans="1:8">
      <c r="A39" s="30" t="s">
        <v>54</v>
      </c>
      <c r="B39" s="31" t="s">
        <v>3</v>
      </c>
      <c r="C39" s="80">
        <v>29.049704442313999</v>
      </c>
      <c r="D39" s="80">
        <v>27.506265535160999</v>
      </c>
      <c r="E39" s="83">
        <v>43.475826020526917</v>
      </c>
      <c r="F39" s="22" t="s">
        <v>206</v>
      </c>
      <c r="G39" s="37">
        <v>49.660132022547288</v>
      </c>
      <c r="H39" s="33">
        <v>58.057901262358513</v>
      </c>
    </row>
    <row r="40" spans="1:8">
      <c r="A40" s="34"/>
      <c r="B40" s="25" t="s">
        <v>207</v>
      </c>
      <c r="C40" s="82">
        <v>18.0012178428954</v>
      </c>
      <c r="D40" s="82">
        <v>18.4382185694535</v>
      </c>
      <c r="E40" s="82">
        <v>28.3699735306731</v>
      </c>
      <c r="F40" s="27"/>
      <c r="G40" s="28">
        <v>57.600301147791356</v>
      </c>
      <c r="H40" s="29">
        <v>53.865046256005911</v>
      </c>
    </row>
    <row r="41" spans="1:8">
      <c r="A41" s="30" t="s">
        <v>66</v>
      </c>
      <c r="B41" s="31" t="s">
        <v>3</v>
      </c>
      <c r="C41" s="80">
        <v>4.47451848539436</v>
      </c>
      <c r="D41" s="80">
        <v>71.695448421688596</v>
      </c>
      <c r="E41" s="83">
        <v>305.19951330087645</v>
      </c>
      <c r="F41" s="22" t="s">
        <v>206</v>
      </c>
      <c r="G41" s="23">
        <v>6720.8347847283012</v>
      </c>
      <c r="H41" s="24">
        <v>325.68882686359001</v>
      </c>
    </row>
    <row r="42" spans="1:8">
      <c r="A42" s="34"/>
      <c r="B42" s="25" t="s">
        <v>207</v>
      </c>
      <c r="C42" s="82">
        <v>4.3078348977562202</v>
      </c>
      <c r="D42" s="82">
        <v>3.6489551322665301</v>
      </c>
      <c r="E42" s="82">
        <v>22.6997849615909</v>
      </c>
      <c r="F42" s="27"/>
      <c r="G42" s="38">
        <v>426.94185130944356</v>
      </c>
      <c r="H42" s="24">
        <v>522.08999943200297</v>
      </c>
    </row>
    <row r="43" spans="1:8">
      <c r="A43" s="30" t="s">
        <v>55</v>
      </c>
      <c r="B43" s="31" t="s">
        <v>3</v>
      </c>
      <c r="C43" s="80">
        <v>530.41353758354705</v>
      </c>
      <c r="D43" s="80">
        <v>611.61889912668005</v>
      </c>
      <c r="E43" s="83">
        <v>610.76038072927122</v>
      </c>
      <c r="F43" s="22" t="s">
        <v>206</v>
      </c>
      <c r="G43" s="37">
        <v>15.147962382666094</v>
      </c>
      <c r="H43" s="33">
        <v>-0.14036819310761928</v>
      </c>
    </row>
    <row r="44" spans="1:8">
      <c r="A44" s="34"/>
      <c r="B44" s="25" t="s">
        <v>207</v>
      </c>
      <c r="C44" s="82">
        <v>373.69932112715401</v>
      </c>
      <c r="D44" s="82">
        <v>446.052665543697</v>
      </c>
      <c r="E44" s="82">
        <v>440.27006432672601</v>
      </c>
      <c r="F44" s="27"/>
      <c r="G44" s="28">
        <v>17.813985585732667</v>
      </c>
      <c r="H44" s="29">
        <v>-1.29639427441208</v>
      </c>
    </row>
    <row r="45" spans="1:8">
      <c r="A45" s="30" t="s">
        <v>67</v>
      </c>
      <c r="B45" s="31" t="s">
        <v>3</v>
      </c>
      <c r="C45" s="80">
        <v>138.78201122418301</v>
      </c>
      <c r="D45" s="80">
        <v>95.738799072321598</v>
      </c>
      <c r="E45" s="83">
        <v>81.662826472493464</v>
      </c>
      <c r="F45" s="22" t="s">
        <v>206</v>
      </c>
      <c r="G45" s="37">
        <v>-41.157484495178167</v>
      </c>
      <c r="H45" s="33">
        <v>-14.702474583157311</v>
      </c>
    </row>
    <row r="46" spans="1:8">
      <c r="A46" s="30"/>
      <c r="B46" s="25" t="s">
        <v>207</v>
      </c>
      <c r="C46" s="82">
        <v>76.959499897147495</v>
      </c>
      <c r="D46" s="82">
        <v>82.407166599975795</v>
      </c>
      <c r="E46" s="82">
        <v>59.364271395356702</v>
      </c>
      <c r="F46" s="27"/>
      <c r="G46" s="28">
        <v>-22.862971465908601</v>
      </c>
      <c r="H46" s="29">
        <v>-27.962246677494505</v>
      </c>
    </row>
    <row r="47" spans="1:8">
      <c r="A47" s="39" t="s">
        <v>56</v>
      </c>
      <c r="B47" s="31" t="s">
        <v>3</v>
      </c>
      <c r="C47" s="80">
        <v>7.47418121166268</v>
      </c>
      <c r="D47" s="80">
        <v>6.6453368072366104</v>
      </c>
      <c r="E47" s="83">
        <v>5.3240148274348575</v>
      </c>
      <c r="F47" s="22" t="s">
        <v>206</v>
      </c>
      <c r="G47" s="23">
        <v>-28.767918830663504</v>
      </c>
      <c r="H47" s="24">
        <v>-19.883446364416997</v>
      </c>
    </row>
    <row r="48" spans="1:8">
      <c r="A48" s="34"/>
      <c r="B48" s="25" t="s">
        <v>207</v>
      </c>
      <c r="C48" s="82">
        <v>4.9289791837631496</v>
      </c>
      <c r="D48" s="82">
        <v>4.9699625026012901</v>
      </c>
      <c r="E48" s="82">
        <v>3.8114206894962801</v>
      </c>
      <c r="F48" s="27"/>
      <c r="G48" s="38">
        <v>-22.673224061247552</v>
      </c>
      <c r="H48" s="24">
        <v>-23.310876339582578</v>
      </c>
    </row>
    <row r="49" spans="1:9">
      <c r="A49" s="39" t="s">
        <v>68</v>
      </c>
      <c r="B49" s="31" t="s">
        <v>3</v>
      </c>
      <c r="C49" s="80">
        <v>6.1810382469384901</v>
      </c>
      <c r="D49" s="80">
        <v>5.9436803538543304</v>
      </c>
      <c r="E49" s="83">
        <v>5.0654879037067522</v>
      </c>
      <c r="F49" s="22" t="s">
        <v>206</v>
      </c>
      <c r="G49" s="37">
        <v>-18.04794435278373</v>
      </c>
      <c r="H49" s="33">
        <v>-14.775230124515232</v>
      </c>
    </row>
    <row r="50" spans="1:9">
      <c r="A50" s="34"/>
      <c r="B50" s="25" t="s">
        <v>207</v>
      </c>
      <c r="C50" s="82">
        <v>4.9934347053579202</v>
      </c>
      <c r="D50" s="82">
        <v>4.3627436363058303</v>
      </c>
      <c r="E50" s="82">
        <v>3.8349949292401</v>
      </c>
      <c r="F50" s="27"/>
      <c r="G50" s="28">
        <v>-23.199257514568529</v>
      </c>
      <c r="H50" s="29">
        <v>-12.096715990229569</v>
      </c>
    </row>
    <row r="51" spans="1:9">
      <c r="A51" s="30" t="s">
        <v>69</v>
      </c>
      <c r="B51" s="31" t="s">
        <v>3</v>
      </c>
      <c r="C51" s="80">
        <v>61.930288700064096</v>
      </c>
      <c r="D51" s="80">
        <v>103.81456048974199</v>
      </c>
      <c r="E51" s="83">
        <v>79.089915420799116</v>
      </c>
      <c r="F51" s="22" t="s">
        <v>206</v>
      </c>
      <c r="G51" s="23">
        <v>27.707971464239691</v>
      </c>
      <c r="H51" s="24">
        <v>-23.816163120380338</v>
      </c>
    </row>
    <row r="52" spans="1:9" ht="13.5" thickBot="1">
      <c r="A52" s="56"/>
      <c r="B52" s="42" t="s">
        <v>207</v>
      </c>
      <c r="C52" s="86">
        <v>51.770609024094497</v>
      </c>
      <c r="D52" s="86">
        <v>73.316722793957496</v>
      </c>
      <c r="E52" s="86">
        <v>58.902295951296402</v>
      </c>
      <c r="F52" s="44"/>
      <c r="G52" s="57">
        <v>13.775551537133282</v>
      </c>
      <c r="H52" s="46">
        <v>-19.66048984918497</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208</v>
      </c>
      <c r="G61" s="53"/>
      <c r="H61" s="152">
        <v>23</v>
      </c>
    </row>
    <row r="62" spans="1:9"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89</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115</v>
      </c>
      <c r="B8" s="73" t="s">
        <v>90</v>
      </c>
      <c r="C8" s="73"/>
      <c r="D8" s="73"/>
      <c r="E8" s="73"/>
      <c r="F8" s="73"/>
      <c r="G8" s="73"/>
      <c r="H8" s="76">
        <v>3</v>
      </c>
    </row>
    <row r="9" spans="1:8" ht="12.75" customHeight="1">
      <c r="B9" s="73"/>
      <c r="C9" s="73"/>
      <c r="D9" s="73"/>
      <c r="E9" s="73"/>
      <c r="F9" s="73"/>
      <c r="G9" s="73"/>
      <c r="H9" s="76"/>
    </row>
    <row r="10" spans="1:8" ht="12.75" customHeight="1">
      <c r="B10" s="73" t="s">
        <v>91</v>
      </c>
      <c r="C10" s="73"/>
      <c r="D10" s="73"/>
      <c r="E10" s="73"/>
      <c r="F10" s="73"/>
      <c r="G10" s="73"/>
      <c r="H10" s="76"/>
    </row>
    <row r="11" spans="1:8" ht="12.75" customHeight="1">
      <c r="A11" s="91" t="s">
        <v>116</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2013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92</v>
      </c>
      <c r="C22" s="73"/>
      <c r="D22" s="73"/>
      <c r="E22" s="73"/>
      <c r="F22" s="73"/>
      <c r="G22" s="73"/>
      <c r="H22" s="76"/>
    </row>
    <row r="23" spans="1:14" ht="12.75" customHeight="1">
      <c r="A23" s="91" t="s">
        <v>117</v>
      </c>
      <c r="B23" s="73" t="s">
        <v>132</v>
      </c>
      <c r="C23" s="73"/>
      <c r="D23" s="73"/>
      <c r="E23" s="73"/>
      <c r="F23" s="73"/>
      <c r="G23" s="73"/>
      <c r="H23" s="76">
        <v>9</v>
      </c>
    </row>
    <row r="24" spans="1:14" ht="12.75" customHeight="1">
      <c r="A24" s="91" t="s">
        <v>118</v>
      </c>
      <c r="B24" s="73" t="s">
        <v>94</v>
      </c>
      <c r="C24" s="73"/>
      <c r="D24" s="73"/>
      <c r="E24" s="73"/>
      <c r="F24" s="73"/>
      <c r="G24" s="73"/>
      <c r="H24" s="76">
        <f>+H23+1</f>
        <v>10</v>
      </c>
    </row>
    <row r="25" spans="1:14" ht="12.75" customHeight="1">
      <c r="B25" s="73"/>
      <c r="C25" s="73"/>
      <c r="D25" s="73"/>
      <c r="E25" s="73"/>
      <c r="F25" s="73"/>
      <c r="G25" s="73"/>
      <c r="H25" s="76"/>
    </row>
    <row r="26" spans="1:14" ht="12.75" customHeight="1">
      <c r="A26" s="91" t="s">
        <v>119</v>
      </c>
      <c r="B26" s="73" t="s">
        <v>133</v>
      </c>
      <c r="C26" s="73"/>
      <c r="D26" s="73"/>
      <c r="E26" s="73"/>
      <c r="F26" s="73"/>
      <c r="G26" s="73"/>
      <c r="H26" s="76">
        <f>+H24+1</f>
        <v>11</v>
      </c>
    </row>
    <row r="27" spans="1:14" ht="12.75" customHeight="1">
      <c r="B27" s="73" t="s">
        <v>95</v>
      </c>
      <c r="C27" s="73"/>
      <c r="D27" s="73"/>
      <c r="E27" s="73"/>
      <c r="F27" s="73"/>
      <c r="G27" s="73"/>
      <c r="H27" s="76">
        <f>+H26</f>
        <v>11</v>
      </c>
      <c r="N27" s="77"/>
    </row>
    <row r="28" spans="1:14" ht="12.75" customHeight="1">
      <c r="A28" s="91" t="s">
        <v>120</v>
      </c>
      <c r="B28" s="73" t="s">
        <v>134</v>
      </c>
      <c r="C28" s="73"/>
      <c r="D28" s="73"/>
      <c r="E28" s="73"/>
      <c r="F28" s="73"/>
      <c r="G28" s="73"/>
      <c r="H28" s="76">
        <f>+H26+1</f>
        <v>12</v>
      </c>
      <c r="N28" s="77"/>
    </row>
    <row r="29" spans="1:14" ht="12.75" customHeight="1">
      <c r="B29" s="73" t="s">
        <v>96</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121</v>
      </c>
      <c r="B31" s="73" t="s">
        <v>135</v>
      </c>
      <c r="C31" s="73"/>
      <c r="D31" s="73"/>
      <c r="E31" s="73"/>
      <c r="F31" s="73"/>
      <c r="G31" s="73"/>
      <c r="H31" s="76">
        <f>+H29+1</f>
        <v>13</v>
      </c>
      <c r="N31" s="77"/>
    </row>
    <row r="32" spans="1:14" ht="12.75" customHeight="1">
      <c r="B32" s="73" t="s">
        <v>97</v>
      </c>
      <c r="C32" s="73"/>
      <c r="D32" s="73"/>
      <c r="E32" s="73"/>
      <c r="F32" s="73"/>
      <c r="G32" s="73"/>
      <c r="H32" s="76">
        <f>+H31</f>
        <v>13</v>
      </c>
      <c r="N32" s="77"/>
    </row>
    <row r="33" spans="1:14" ht="12.75" customHeight="1">
      <c r="A33" s="91" t="s">
        <v>122</v>
      </c>
      <c r="B33" s="73" t="s">
        <v>136</v>
      </c>
      <c r="C33" s="73"/>
      <c r="D33" s="73"/>
      <c r="E33" s="73"/>
      <c r="F33" s="73"/>
      <c r="G33" s="73"/>
      <c r="H33" s="76">
        <f>+H31+1</f>
        <v>14</v>
      </c>
      <c r="N33" s="77"/>
    </row>
    <row r="34" spans="1:14" ht="12.75" customHeight="1">
      <c r="B34" s="73" t="s">
        <v>98</v>
      </c>
      <c r="C34" s="73"/>
      <c r="D34" s="73"/>
      <c r="E34" s="73"/>
      <c r="F34" s="73"/>
      <c r="G34" s="73"/>
      <c r="H34" s="76">
        <f>+H33</f>
        <v>14</v>
      </c>
      <c r="N34" s="77"/>
    </row>
    <row r="35" spans="1:14" ht="12.75" customHeight="1">
      <c r="A35" s="91" t="s">
        <v>123</v>
      </c>
      <c r="B35" s="73" t="s">
        <v>137</v>
      </c>
      <c r="C35" s="73"/>
      <c r="D35" s="73"/>
      <c r="E35" s="73"/>
      <c r="F35" s="73"/>
      <c r="G35" s="73"/>
      <c r="H35" s="76">
        <f>+H34+1</f>
        <v>15</v>
      </c>
      <c r="N35" s="77"/>
    </row>
    <row r="36" spans="1:14" ht="12.75" customHeight="1">
      <c r="B36" s="73" t="s">
        <v>101</v>
      </c>
      <c r="C36" s="73"/>
      <c r="D36" s="73"/>
      <c r="E36" s="73"/>
      <c r="F36" s="73"/>
      <c r="G36" s="73"/>
      <c r="H36" s="76">
        <f>+H35</f>
        <v>15</v>
      </c>
      <c r="N36" s="77"/>
    </row>
    <row r="37" spans="1:14" ht="12.75" customHeight="1">
      <c r="A37" s="91" t="s">
        <v>124</v>
      </c>
      <c r="B37" s="73" t="s">
        <v>138</v>
      </c>
      <c r="C37" s="73"/>
      <c r="D37" s="73"/>
      <c r="E37" s="73"/>
      <c r="F37" s="73"/>
      <c r="G37" s="73"/>
      <c r="H37" s="76">
        <f>+H36+1</f>
        <v>16</v>
      </c>
      <c r="N37" s="77"/>
    </row>
    <row r="38" spans="1:14" ht="12.75" customHeight="1">
      <c r="B38" s="73" t="s">
        <v>102</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125</v>
      </c>
      <c r="B40" s="73" t="s">
        <v>170</v>
      </c>
      <c r="C40" s="73"/>
      <c r="D40" s="73"/>
      <c r="E40" s="73"/>
      <c r="F40" s="73"/>
      <c r="G40" s="73"/>
      <c r="H40" s="76">
        <f>+H38+1</f>
        <v>17</v>
      </c>
      <c r="N40" s="77"/>
    </row>
    <row r="41" spans="1:14" ht="12.75" customHeight="1">
      <c r="B41" s="73" t="s">
        <v>171</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176</v>
      </c>
      <c r="B43" s="73" t="s">
        <v>139</v>
      </c>
      <c r="H43" s="76">
        <f>+H40+1</f>
        <v>18</v>
      </c>
      <c r="N43" s="77"/>
    </row>
    <row r="44" spans="1:14" ht="12.75" customHeight="1">
      <c r="B44" s="73" t="s">
        <v>105</v>
      </c>
      <c r="H44" s="76">
        <f>+H43</f>
        <v>18</v>
      </c>
      <c r="N44" s="77"/>
    </row>
    <row r="45" spans="1:14" ht="12.75" customHeight="1">
      <c r="A45" s="91" t="s">
        <v>126</v>
      </c>
      <c r="B45" s="73" t="s">
        <v>140</v>
      </c>
      <c r="H45" s="76">
        <f>+H43+1</f>
        <v>19</v>
      </c>
      <c r="N45" s="77"/>
    </row>
    <row r="46" spans="1:14" ht="12.75" customHeight="1">
      <c r="B46" s="73" t="s">
        <v>103</v>
      </c>
      <c r="H46" s="76">
        <f>+H45</f>
        <v>19</v>
      </c>
      <c r="N46" s="77"/>
    </row>
    <row r="47" spans="1:14" ht="12.75" customHeight="1">
      <c r="A47" s="91"/>
      <c r="B47" s="73"/>
      <c r="C47" s="73"/>
      <c r="D47" s="73"/>
      <c r="E47" s="73"/>
      <c r="F47" s="73"/>
      <c r="G47" s="73"/>
      <c r="H47" s="76"/>
      <c r="N47" s="77"/>
    </row>
    <row r="48" spans="1:14" ht="12.75" customHeight="1">
      <c r="A48" s="91"/>
      <c r="B48" s="73"/>
      <c r="C48" s="73"/>
      <c r="D48" s="73"/>
      <c r="E48" s="73"/>
      <c r="F48" s="73"/>
      <c r="G48" s="73"/>
      <c r="H48" s="76"/>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112"/>
      <c r="F59" s="49"/>
      <c r="G59" s="50"/>
      <c r="H59" s="51"/>
      <c r="N59" s="77"/>
    </row>
    <row r="60" spans="1:14" ht="12.75" customHeight="1">
      <c r="B60" s="52"/>
      <c r="C60" s="52"/>
      <c r="D60" s="52"/>
      <c r="E60" s="52"/>
      <c r="F60" s="52"/>
      <c r="G60" s="52"/>
      <c r="H60" s="52"/>
      <c r="I60" s="77"/>
    </row>
    <row r="61" spans="1:14" ht="12.75" customHeight="1">
      <c r="B61" s="54" t="str">
        <f>+H123</f>
        <v>Finans Norge / Skadestatistikk</v>
      </c>
      <c r="H61" s="142">
        <v>1</v>
      </c>
      <c r="I61" s="77"/>
    </row>
    <row r="62" spans="1:14" ht="12.75" customHeight="1">
      <c r="B62" s="54" t="str">
        <f>+H124</f>
        <v>Skadestatistikk for landbasert forsikring 3. kvartal 2013</v>
      </c>
      <c r="H62" s="143"/>
      <c r="I62" s="77"/>
    </row>
    <row r="63" spans="1:14" ht="12.75" customHeight="1">
      <c r="I63" s="77"/>
    </row>
    <row r="64" spans="1:14" ht="12.75" customHeight="1">
      <c r="I64" s="77"/>
    </row>
    <row r="66" spans="1:13" ht="12.75" customHeight="1">
      <c r="A66" s="91" t="s">
        <v>127</v>
      </c>
      <c r="B66" s="73" t="s">
        <v>141</v>
      </c>
      <c r="H66" s="76">
        <f>+H46+1</f>
        <v>20</v>
      </c>
    </row>
    <row r="67" spans="1:13" ht="12.75" customHeight="1">
      <c r="B67" s="73" t="s">
        <v>104</v>
      </c>
      <c r="H67" s="76">
        <f>H66</f>
        <v>20</v>
      </c>
    </row>
    <row r="69" spans="1:13" ht="12.75" customHeight="1">
      <c r="A69" s="91" t="s">
        <v>128</v>
      </c>
      <c r="B69" s="73" t="s">
        <v>142</v>
      </c>
      <c r="C69" s="73"/>
      <c r="D69" s="73"/>
      <c r="E69" s="73"/>
      <c r="F69" s="73"/>
      <c r="G69" s="73"/>
      <c r="H69" s="76">
        <f>+H67+1</f>
        <v>21</v>
      </c>
    </row>
    <row r="70" spans="1:13" ht="12.75" customHeight="1">
      <c r="B70" s="73" t="s">
        <v>108</v>
      </c>
      <c r="C70" s="73"/>
      <c r="D70" s="73"/>
      <c r="E70" s="73"/>
      <c r="F70" s="73"/>
      <c r="G70" s="73"/>
      <c r="H70" s="76">
        <f>+H69</f>
        <v>21</v>
      </c>
      <c r="J70"/>
      <c r="K70"/>
      <c r="L70"/>
      <c r="M70"/>
    </row>
    <row r="71" spans="1:13" ht="12.75" customHeight="1">
      <c r="J71"/>
      <c r="K71" s="71"/>
      <c r="L71" s="72"/>
      <c r="M71" s="72"/>
    </row>
    <row r="72" spans="1:13" ht="12.75" customHeight="1">
      <c r="A72" s="91" t="s">
        <v>129</v>
      </c>
      <c r="B72" s="73" t="s">
        <v>143</v>
      </c>
      <c r="C72" s="73"/>
      <c r="D72" s="73"/>
      <c r="E72" s="73"/>
      <c r="F72" s="73"/>
      <c r="G72" s="73"/>
      <c r="H72" s="76">
        <f>+H70+1</f>
        <v>22</v>
      </c>
      <c r="J72"/>
      <c r="K72" s="70"/>
      <c r="L72"/>
      <c r="M72"/>
    </row>
    <row r="73" spans="1:13" ht="12.75" customHeight="1">
      <c r="B73" s="73" t="s">
        <v>106</v>
      </c>
      <c r="C73" s="73"/>
      <c r="D73" s="73"/>
      <c r="E73" s="73"/>
      <c r="F73" s="73"/>
      <c r="G73" s="73"/>
      <c r="H73" s="76">
        <f>+H72</f>
        <v>22</v>
      </c>
      <c r="J73"/>
      <c r="K73" s="69"/>
      <c r="L73" s="69"/>
      <c r="M73" s="69"/>
    </row>
    <row r="74" spans="1:13" ht="12.75" customHeight="1">
      <c r="B74" s="73"/>
      <c r="C74" s="73"/>
      <c r="D74" s="73"/>
      <c r="E74" s="73"/>
      <c r="F74" s="73"/>
      <c r="G74" s="73"/>
      <c r="H74" s="76"/>
      <c r="J74"/>
      <c r="K74" s="69"/>
      <c r="L74" s="69"/>
      <c r="M74" s="69"/>
    </row>
    <row r="75" spans="1:13" ht="12.75" customHeight="1">
      <c r="A75" s="91" t="s">
        <v>130</v>
      </c>
      <c r="B75" s="73" t="s">
        <v>144</v>
      </c>
      <c r="C75" s="73"/>
      <c r="D75" s="73"/>
      <c r="E75" s="73"/>
      <c r="F75" s="73"/>
      <c r="G75" s="73"/>
      <c r="H75" s="76">
        <f>+H73+1</f>
        <v>23</v>
      </c>
      <c r="J75"/>
      <c r="K75" s="69"/>
      <c r="L75" s="69"/>
      <c r="M75" s="69"/>
    </row>
    <row r="76" spans="1:13" ht="12.75" customHeight="1">
      <c r="B76" s="73" t="s">
        <v>107</v>
      </c>
      <c r="C76" s="73"/>
      <c r="D76" s="73"/>
      <c r="E76" s="73"/>
      <c r="F76" s="73"/>
      <c r="G76" s="73"/>
      <c r="H76" s="76">
        <f>+H75</f>
        <v>23</v>
      </c>
      <c r="J76"/>
      <c r="K76" s="69"/>
      <c r="L76" s="69"/>
      <c r="M76" s="69"/>
    </row>
    <row r="77" spans="1:13" ht="12.75" customHeight="1">
      <c r="B77"/>
      <c r="C77"/>
      <c r="D77"/>
      <c r="E77"/>
      <c r="F77"/>
      <c r="G77"/>
      <c r="I77"/>
      <c r="J77"/>
      <c r="K77"/>
      <c r="L77"/>
      <c r="M77"/>
    </row>
    <row r="78" spans="1:13" ht="12.75" customHeight="1">
      <c r="A78" s="91" t="s">
        <v>131</v>
      </c>
      <c r="B78" s="73" t="s">
        <v>93</v>
      </c>
      <c r="C78" s="73"/>
      <c r="D78" s="73"/>
      <c r="E78" s="73"/>
      <c r="F78" s="73"/>
      <c r="G78" s="73"/>
      <c r="H78" s="76">
        <f>+H76+1</f>
        <v>24</v>
      </c>
      <c r="I78"/>
      <c r="J78"/>
      <c r="K78"/>
      <c r="L78"/>
      <c r="M78"/>
    </row>
    <row r="79" spans="1:13" ht="12.75" customHeight="1">
      <c r="C79"/>
      <c r="D79"/>
      <c r="E79"/>
      <c r="F79"/>
      <c r="G79"/>
      <c r="I79" s="68"/>
      <c r="J79"/>
      <c r="K79"/>
      <c r="L79"/>
      <c r="M79"/>
    </row>
    <row r="80" spans="1:13" ht="12.75" customHeight="1">
      <c r="C80"/>
      <c r="D80"/>
      <c r="E80"/>
      <c r="F80"/>
      <c r="G80"/>
      <c r="I80" s="68"/>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144">
        <v>2</v>
      </c>
      <c r="H123" s="53" t="str">
        <f>"Finans Norge / " &amp; PROPER(Forside!E13)</f>
        <v>Finans Norge / Skadestatistikk</v>
      </c>
      <c r="I123"/>
      <c r="J123" s="69"/>
      <c r="K123" s="69"/>
      <c r="L123" s="69"/>
    </row>
    <row r="124" spans="2:13" ht="12.75" customHeight="1">
      <c r="B124" s="145"/>
      <c r="H124" s="53" t="str">
        <f>"Skadestatistikk for landbasert forsikring " &amp; Forside!E22</f>
        <v>Skadestatistikk for landbasert forsikring 3. kvartal 2013</v>
      </c>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B123:B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69" location="'Tab15'!A2" display="Tab15"/>
    <hyperlink ref="A72" location="'Tab16'!A2" display="Tab16"/>
    <hyperlink ref="A75" location="'Tab17'!A2" display="Tab17"/>
    <hyperlink ref="A66" location="'Tab14'!A2" display="Tab14"/>
    <hyperlink ref="A78" location="'Tab18'!A2" display="Tab18"/>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110</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110"/>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+Innhold!H123</f>
        <v>Finans Norge / Skadestatistikk</v>
      </c>
      <c r="G52" s="142">
        <v>24</v>
      </c>
      <c r="H52" s="144">
        <v>25</v>
      </c>
      <c r="N52" s="53" t="str">
        <f>+Innhold!H123</f>
        <v>Finans Norge / Skadestatistikk</v>
      </c>
    </row>
    <row r="53" spans="1:14" ht="12.75" customHeight="1">
      <c r="A53" s="54" t="str">
        <f>+Innhold!H124</f>
        <v>Skadestatistikk for landbasert forsikring 3. kvartal 2013</v>
      </c>
      <c r="G53" s="143"/>
      <c r="H53" s="145"/>
      <c r="N53" s="53" t="str">
        <f>+Innhold!H124</f>
        <v>Skadestatistikk for landbasert forsikring 3. kvartal 2013</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H52:H53"/>
    <mergeCell ref="G52:G53"/>
  </mergeCells>
  <phoneticPr fontId="0" type="noConversion"/>
  <hyperlinks>
    <hyperlink ref="A2" location="Innhold!A78"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197</v>
      </c>
      <c r="B46" s="73"/>
      <c r="C46" s="73"/>
      <c r="D46" s="73"/>
      <c r="E46" s="73"/>
      <c r="F46" s="73"/>
      <c r="G46" s="73"/>
      <c r="M46" s="77"/>
    </row>
    <row r="47" spans="1:13" ht="15.6" customHeight="1">
      <c r="A47" s="93" t="s">
        <v>198</v>
      </c>
      <c r="B47" s="73"/>
      <c r="C47" s="73"/>
      <c r="D47" s="73"/>
      <c r="E47" s="73"/>
      <c r="F47" s="73"/>
      <c r="G47" s="73"/>
      <c r="M47" s="77"/>
    </row>
    <row r="48" spans="1:13" ht="15.6" customHeight="1">
      <c r="A48" s="93" t="s">
        <v>199</v>
      </c>
      <c r="B48" s="73"/>
      <c r="C48" s="73"/>
      <c r="D48" s="73"/>
      <c r="E48" s="73"/>
      <c r="F48" s="73"/>
      <c r="G48" s="73"/>
      <c r="M48" s="77"/>
    </row>
    <row r="49" spans="1:13" ht="15.6" customHeight="1">
      <c r="A49" s="93" t="s">
        <v>200</v>
      </c>
      <c r="B49" s="73"/>
      <c r="C49" s="73"/>
      <c r="D49" s="73"/>
      <c r="E49" s="73"/>
      <c r="F49" s="73"/>
      <c r="G49" s="73"/>
      <c r="M49" s="77"/>
    </row>
    <row r="50" spans="1:13" ht="15.6" customHeight="1">
      <c r="A50" s="52"/>
      <c r="B50" s="52"/>
      <c r="C50" s="52"/>
      <c r="D50" s="52"/>
      <c r="E50" s="52"/>
      <c r="F50" s="52"/>
      <c r="G50" s="52"/>
      <c r="H50" s="77"/>
    </row>
    <row r="51" spans="1:13" ht="15.6" customHeight="1">
      <c r="A51" s="54" t="str">
        <f>+Innhold!H123</f>
        <v>Finans Norge / Skadestatistikk</v>
      </c>
      <c r="G51" s="142">
        <v>3</v>
      </c>
      <c r="H51" s="77"/>
    </row>
    <row r="52" spans="1:13" ht="15.6" customHeight="1">
      <c r="A52" s="54" t="str">
        <f>+Innhold!H124</f>
        <v>Skadestatistikk for landbasert forsikring 3. kvartal 2013</v>
      </c>
      <c r="G52" s="143"/>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6"/>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46" t="s">
        <v>91</v>
      </c>
      <c r="B4" s="2"/>
      <c r="C4" s="2"/>
      <c r="D4" s="2"/>
      <c r="E4" s="2"/>
      <c r="F4" s="2"/>
      <c r="G4" s="2"/>
      <c r="H4" s="67"/>
    </row>
    <row r="5" spans="1:36" ht="12.75" customHeight="1">
      <c r="A5" s="146"/>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186</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112"/>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144">
        <v>4</v>
      </c>
      <c r="H61" s="53" t="str">
        <f>+Innhold!H123</f>
        <v>Finans Norge / Skadestatistikk</v>
      </c>
      <c r="I61" s="54" t="str">
        <f>+Innhold!H123</f>
        <v>Finans Norge / Skadestatistikk</v>
      </c>
      <c r="O61" s="142">
        <v>5</v>
      </c>
      <c r="P61" s="144">
        <v>6</v>
      </c>
      <c r="V61" s="53" t="str">
        <f>+Innhold!H123</f>
        <v>Finans Norge / Skadestatistikk</v>
      </c>
      <c r="W61" s="54" t="str">
        <f>+Innhold!H123</f>
        <v>Finans Norge / Skadestatistikk</v>
      </c>
      <c r="AC61" s="142">
        <v>7</v>
      </c>
      <c r="AD61" s="144">
        <v>8</v>
      </c>
      <c r="AJ61" s="53" t="str">
        <f>+Innhold!H123</f>
        <v>Finans Norge / Skadestatistikk</v>
      </c>
    </row>
    <row r="62" spans="1:36">
      <c r="A62" s="145"/>
      <c r="H62" s="53" t="str">
        <f>+Innhold!H124</f>
        <v>Skadestatistikk for landbasert forsikring 3. kvartal 2013</v>
      </c>
      <c r="I62" s="54" t="str">
        <f>+Innhold!H124</f>
        <v>Skadestatistikk for landbasert forsikring 3. kvartal 2013</v>
      </c>
      <c r="O62" s="143"/>
      <c r="P62" s="145"/>
      <c r="V62" s="53" t="str">
        <f>+Innhold!H124</f>
        <v>Skadestatistikk for landbasert forsikring 3. kvartal 2013</v>
      </c>
      <c r="W62" s="54" t="str">
        <f>+Innhold!H124</f>
        <v>Skadestatistikk for landbasert forsikring 3. kvartal 2013</v>
      </c>
      <c r="AC62" s="143"/>
      <c r="AD62" s="145"/>
      <c r="AJ62" s="53" t="str">
        <f>+Innhold!H124</f>
        <v>Skadestatistikk for landbasert forsikring 3. kvartal 2013</v>
      </c>
    </row>
    <row r="66" spans="1:3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row>
    <row r="67" spans="1:31" ht="12.75" customHeight="1">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row>
    <row r="68" spans="1:31" ht="12.75" customHeight="1">
      <c r="A68" s="113"/>
      <c r="B68" s="113"/>
      <c r="C68" s="113"/>
      <c r="D68" s="113"/>
      <c r="E68" s="113"/>
      <c r="F68" s="113"/>
      <c r="G68" s="113"/>
      <c r="H68" s="113"/>
      <c r="I68" s="113"/>
      <c r="J68" s="113"/>
      <c r="K68" s="113"/>
      <c r="L68" s="113"/>
      <c r="M68" s="114" t="s">
        <v>181</v>
      </c>
      <c r="N68" s="113"/>
      <c r="O68" s="113"/>
      <c r="P68" s="114" t="s">
        <v>183</v>
      </c>
      <c r="Q68" s="113"/>
      <c r="R68" s="113"/>
      <c r="S68" s="114" t="s">
        <v>182</v>
      </c>
      <c r="T68" s="113"/>
      <c r="U68" s="113"/>
      <c r="V68" s="113"/>
      <c r="W68" s="113"/>
      <c r="X68" s="113"/>
      <c r="Y68" s="113"/>
      <c r="Z68" s="113"/>
      <c r="AA68" s="113"/>
      <c r="AB68" s="113"/>
      <c r="AC68" s="113"/>
      <c r="AD68" s="113"/>
      <c r="AE68" s="113"/>
    </row>
    <row r="69" spans="1:31">
      <c r="A69" s="115" t="s">
        <v>187</v>
      </c>
      <c r="B69" s="116"/>
      <c r="C69" s="116"/>
      <c r="D69" s="116" t="s">
        <v>74</v>
      </c>
      <c r="E69" s="116"/>
      <c r="F69" s="116"/>
      <c r="G69" s="116"/>
      <c r="H69" s="115"/>
      <c r="I69" s="117">
        <f>131.4</f>
        <v>131.4</v>
      </c>
      <c r="J69" s="118" t="s">
        <v>193</v>
      </c>
      <c r="K69" s="113"/>
      <c r="L69" s="113"/>
      <c r="M69" s="114" t="s">
        <v>165</v>
      </c>
      <c r="N69" s="113"/>
      <c r="O69" s="113"/>
      <c r="P69" s="114" t="s">
        <v>179</v>
      </c>
      <c r="Q69" s="113"/>
      <c r="R69" s="113"/>
      <c r="S69" s="114" t="s">
        <v>180</v>
      </c>
      <c r="T69" s="113"/>
      <c r="U69" s="113"/>
      <c r="V69" s="115" t="s">
        <v>188</v>
      </c>
      <c r="W69" s="116"/>
      <c r="X69" s="116"/>
      <c r="Y69" s="116"/>
      <c r="Z69" s="116"/>
      <c r="AA69" s="113"/>
      <c r="AB69" s="113"/>
      <c r="AC69" s="113"/>
      <c r="AD69" s="113"/>
      <c r="AE69" s="113"/>
    </row>
    <row r="70" spans="1:31">
      <c r="A70" s="116" t="s">
        <v>75</v>
      </c>
      <c r="B70" s="116" t="s">
        <v>76</v>
      </c>
      <c r="C70" s="116" t="s">
        <v>26</v>
      </c>
      <c r="D70" s="116" t="s">
        <v>77</v>
      </c>
      <c r="E70" s="116"/>
      <c r="F70" s="116"/>
      <c r="G70" s="116"/>
      <c r="H70" s="113"/>
      <c r="I70" s="119" t="s">
        <v>163</v>
      </c>
      <c r="J70" s="113"/>
      <c r="K70" s="119" t="s">
        <v>76</v>
      </c>
      <c r="L70" s="119" t="s">
        <v>109</v>
      </c>
      <c r="M70" s="119" t="s">
        <v>161</v>
      </c>
      <c r="N70" s="119" t="s">
        <v>162</v>
      </c>
      <c r="O70" s="119" t="s">
        <v>109</v>
      </c>
      <c r="P70" s="119" t="s">
        <v>161</v>
      </c>
      <c r="Q70" s="119" t="s">
        <v>162</v>
      </c>
      <c r="R70" s="119" t="s">
        <v>109</v>
      </c>
      <c r="S70" s="119" t="s">
        <v>161</v>
      </c>
      <c r="T70" s="119" t="s">
        <v>162</v>
      </c>
      <c r="U70" s="113"/>
      <c r="V70" s="116" t="s">
        <v>81</v>
      </c>
      <c r="W70" s="116"/>
      <c r="X70" s="120" t="str">
        <f>+'Tab3'!C6</f>
        <v>2011</v>
      </c>
      <c r="Y70" s="120" t="str">
        <f>+'Tab3'!D6</f>
        <v>2012</v>
      </c>
      <c r="Z70" s="120" t="str">
        <f>+'Tab3'!E6</f>
        <v>2013</v>
      </c>
      <c r="AA70" s="113"/>
      <c r="AB70" s="113"/>
      <c r="AC70" s="113"/>
      <c r="AD70" s="113"/>
      <c r="AE70" s="113"/>
    </row>
    <row r="71" spans="1:31">
      <c r="A71" s="116">
        <v>1</v>
      </c>
      <c r="B71" s="116">
        <v>1983</v>
      </c>
      <c r="C71" s="116">
        <v>97</v>
      </c>
      <c r="D71" s="116">
        <v>78.3</v>
      </c>
      <c r="E71" s="116"/>
      <c r="F71" s="116"/>
      <c r="G71" s="116"/>
      <c r="H71" s="113"/>
      <c r="I71" s="121">
        <v>53.8</v>
      </c>
      <c r="J71" s="113">
        <v>1</v>
      </c>
      <c r="K71" s="113">
        <v>1983</v>
      </c>
      <c r="L71" s="122">
        <v>11621</v>
      </c>
      <c r="M71" s="121">
        <v>80.900000000000006</v>
      </c>
      <c r="N71" s="121">
        <f t="shared" ref="N71:N102" si="0">M71/I71*$I$69</f>
        <v>197.58847583643126</v>
      </c>
      <c r="O71" s="113"/>
      <c r="P71" s="113"/>
      <c r="Q71" s="113"/>
      <c r="R71" s="113"/>
      <c r="S71" s="113"/>
      <c r="T71" s="113"/>
      <c r="U71" s="113"/>
      <c r="V71" s="116"/>
      <c r="W71" s="116"/>
      <c r="X71" s="116"/>
      <c r="Y71" s="116"/>
      <c r="Z71" s="116"/>
      <c r="AA71" s="113"/>
      <c r="AB71" s="113"/>
      <c r="AC71" s="113"/>
      <c r="AD71" s="113"/>
      <c r="AE71" s="113"/>
    </row>
    <row r="72" spans="1:31">
      <c r="A72" s="116">
        <v>2</v>
      </c>
      <c r="B72" s="116"/>
      <c r="C72" s="116">
        <v>78.8</v>
      </c>
      <c r="D72" s="116">
        <v>61.3</v>
      </c>
      <c r="E72" s="116"/>
      <c r="F72" s="116"/>
      <c r="G72" s="116"/>
      <c r="H72" s="113"/>
      <c r="I72" s="121">
        <v>54.7</v>
      </c>
      <c r="J72" s="113">
        <v>2</v>
      </c>
      <c r="K72" s="113"/>
      <c r="L72" s="122">
        <v>11120</v>
      </c>
      <c r="M72" s="121">
        <v>68.900000000000006</v>
      </c>
      <c r="N72" s="121">
        <f t="shared" si="0"/>
        <v>165.51115173674592</v>
      </c>
      <c r="O72" s="113"/>
      <c r="P72" s="113"/>
      <c r="Q72" s="113"/>
      <c r="R72" s="113"/>
      <c r="S72" s="113"/>
      <c r="T72" s="113"/>
      <c r="U72" s="113"/>
      <c r="V72" s="116" t="s">
        <v>26</v>
      </c>
      <c r="W72" s="116"/>
      <c r="X72" s="123">
        <f>IF('Tab6'!C36="",'Tab6'!C35,'Tab6'!C36)</f>
        <v>8873.0789218175505</v>
      </c>
      <c r="Y72" s="123">
        <f>IF('Tab6'!D36="",'Tab6'!D35,'Tab6'!D36)</f>
        <v>8958.4432729784294</v>
      </c>
      <c r="Z72" s="123">
        <f>IF('Tab6'!E36="",'Tab6'!E35,'Tab6'!E36)</f>
        <v>9190.93197123139</v>
      </c>
      <c r="AA72" s="113"/>
      <c r="AB72" s="113"/>
      <c r="AC72" s="113"/>
      <c r="AD72" s="113"/>
      <c r="AE72" s="113"/>
    </row>
    <row r="73" spans="1:31">
      <c r="A73" s="116">
        <v>3</v>
      </c>
      <c r="B73" s="116"/>
      <c r="C73" s="116">
        <v>84.8</v>
      </c>
      <c r="D73" s="116">
        <v>63</v>
      </c>
      <c r="E73" s="116"/>
      <c r="F73" s="116"/>
      <c r="G73" s="116"/>
      <c r="H73" s="113"/>
      <c r="I73" s="121">
        <v>55.3</v>
      </c>
      <c r="J73" s="113">
        <v>3</v>
      </c>
      <c r="K73" s="113"/>
      <c r="L73" s="122">
        <v>11918</v>
      </c>
      <c r="M73" s="121">
        <v>63.7</v>
      </c>
      <c r="N73" s="121">
        <f t="shared" si="0"/>
        <v>151.35949367088611</v>
      </c>
      <c r="O73" s="113"/>
      <c r="P73" s="113"/>
      <c r="Q73" s="113"/>
      <c r="R73" s="113"/>
      <c r="S73" s="113"/>
      <c r="T73" s="113"/>
      <c r="U73" s="113"/>
      <c r="V73" s="116"/>
      <c r="W73" s="116"/>
      <c r="X73" s="123"/>
      <c r="Y73" s="123"/>
      <c r="Z73" s="123"/>
      <c r="AA73" s="113"/>
      <c r="AB73" s="113"/>
      <c r="AC73" s="113"/>
      <c r="AD73" s="113"/>
      <c r="AE73" s="113"/>
    </row>
    <row r="74" spans="1:31">
      <c r="A74" s="116">
        <v>4</v>
      </c>
      <c r="B74" s="116"/>
      <c r="C74" s="116">
        <v>91.2</v>
      </c>
      <c r="D74" s="116">
        <v>70.8</v>
      </c>
      <c r="E74" s="116"/>
      <c r="F74" s="116"/>
      <c r="G74" s="116"/>
      <c r="H74" s="113"/>
      <c r="I74" s="121">
        <v>56.2</v>
      </c>
      <c r="J74" s="113">
        <v>4</v>
      </c>
      <c r="K74" s="113"/>
      <c r="L74" s="122">
        <v>11905</v>
      </c>
      <c r="M74" s="121">
        <v>79.3</v>
      </c>
      <c r="N74" s="121">
        <f t="shared" si="0"/>
        <v>185.40960854092526</v>
      </c>
      <c r="O74" s="113"/>
      <c r="P74" s="113"/>
      <c r="Q74" s="113"/>
      <c r="R74" s="113"/>
      <c r="S74" s="113"/>
      <c r="T74" s="113"/>
      <c r="U74" s="113"/>
      <c r="V74" s="116" t="s">
        <v>63</v>
      </c>
      <c r="W74" s="116"/>
      <c r="X74" s="123">
        <f>IF('Tab6'!C36="",'Tab6'!C45+'Tab6'!C47,'Tab6'!C46+'Tab6'!C48)</f>
        <v>260.26340744852621</v>
      </c>
      <c r="Y74" s="123">
        <f>IF('Tab6'!D36="",'Tab6'!D45+'Tab6'!D47,'Tab6'!D46+'Tab6'!D48)</f>
        <v>240.79499743918143</v>
      </c>
      <c r="Z74" s="123">
        <f>IF('Tab6'!E36="",'Tab6'!E45+'Tab6'!E47,'Tab6'!E46+'Tab6'!E48)</f>
        <v>211.3529018838876</v>
      </c>
      <c r="AA74" s="113"/>
      <c r="AB74" s="113"/>
      <c r="AC74" s="113"/>
      <c r="AD74" s="113"/>
      <c r="AE74" s="113"/>
    </row>
    <row r="75" spans="1:31">
      <c r="A75" s="116">
        <v>1</v>
      </c>
      <c r="B75" s="116">
        <v>1984</v>
      </c>
      <c r="C75" s="116">
        <v>112.2</v>
      </c>
      <c r="D75" s="116">
        <v>90.4</v>
      </c>
      <c r="E75" s="116"/>
      <c r="F75" s="116"/>
      <c r="G75" s="116"/>
      <c r="H75" s="113"/>
      <c r="I75" s="121">
        <v>57.3</v>
      </c>
      <c r="J75" s="113">
        <v>1</v>
      </c>
      <c r="K75" s="113">
        <v>1984</v>
      </c>
      <c r="L75" s="122">
        <v>13205</v>
      </c>
      <c r="M75" s="121">
        <v>86.7</v>
      </c>
      <c r="N75" s="121">
        <f t="shared" si="0"/>
        <v>198.81989528795816</v>
      </c>
      <c r="O75" s="113"/>
      <c r="P75" s="113"/>
      <c r="Q75" s="113"/>
      <c r="R75" s="113"/>
      <c r="S75" s="113"/>
      <c r="T75" s="113"/>
      <c r="U75" s="113"/>
      <c r="V75" s="116" t="s">
        <v>39</v>
      </c>
      <c r="W75" s="116"/>
      <c r="X75" s="123">
        <f>IF('Tab6'!C36="",'Tab6'!C49,'Tab6'!C50)</f>
        <v>880.08712635245604</v>
      </c>
      <c r="Y75" s="123">
        <f>IF('Tab6'!D36="",'Tab6'!D49,'Tab6'!D50)</f>
        <v>989.90551314148502</v>
      </c>
      <c r="Z75" s="123">
        <f>IF('Tab6'!E36="",'Tab6'!E49,'Tab6'!E50)</f>
        <v>1023.24429006785</v>
      </c>
      <c r="AA75" s="113"/>
      <c r="AB75" s="113"/>
      <c r="AC75" s="113"/>
      <c r="AD75" s="113"/>
      <c r="AE75" s="113"/>
    </row>
    <row r="76" spans="1:31">
      <c r="A76" s="116">
        <v>2</v>
      </c>
      <c r="B76" s="116"/>
      <c r="C76" s="116">
        <v>81.8</v>
      </c>
      <c r="D76" s="116">
        <v>64.400000000000006</v>
      </c>
      <c r="E76" s="116"/>
      <c r="F76" s="116"/>
      <c r="G76" s="116"/>
      <c r="H76" s="113"/>
      <c r="I76" s="121">
        <v>58.2</v>
      </c>
      <c r="J76" s="113">
        <v>2</v>
      </c>
      <c r="K76" s="113"/>
      <c r="L76" s="122">
        <v>12453</v>
      </c>
      <c r="M76" s="121">
        <v>83.3</v>
      </c>
      <c r="N76" s="121">
        <f t="shared" si="0"/>
        <v>188.06907216494844</v>
      </c>
      <c r="O76" s="113"/>
      <c r="P76" s="113"/>
      <c r="Q76" s="113"/>
      <c r="R76" s="113"/>
      <c r="S76" s="113"/>
      <c r="T76" s="113"/>
      <c r="U76" s="113"/>
      <c r="V76" s="116" t="s">
        <v>18</v>
      </c>
      <c r="W76" s="116"/>
      <c r="X76" s="123">
        <f>IF('Tab6'!C36="",'Tab6'!C43,'Tab6'!C44)</f>
        <v>161.39538132441399</v>
      </c>
      <c r="Y76" s="123">
        <f>IF('Tab6'!D36="",'Tab6'!D43,'Tab6'!D44)</f>
        <v>145.07730772923</v>
      </c>
      <c r="Z76" s="123">
        <f>IF('Tab6'!E36="",'Tab6'!E43,'Tab6'!E44)</f>
        <v>159.65656809661201</v>
      </c>
      <c r="AA76" s="113"/>
      <c r="AB76" s="113"/>
      <c r="AC76" s="113"/>
      <c r="AD76" s="113"/>
      <c r="AE76" s="113"/>
    </row>
    <row r="77" spans="1:31">
      <c r="A77" s="116">
        <v>3</v>
      </c>
      <c r="B77" s="116"/>
      <c r="C77" s="116">
        <v>90.4</v>
      </c>
      <c r="D77" s="116">
        <v>71.099999999999994</v>
      </c>
      <c r="E77" s="116"/>
      <c r="F77" s="116"/>
      <c r="G77" s="116"/>
      <c r="H77" s="113"/>
      <c r="I77" s="121">
        <v>58.7</v>
      </c>
      <c r="J77" s="113">
        <v>3</v>
      </c>
      <c r="K77" s="113"/>
      <c r="L77" s="122">
        <v>12278</v>
      </c>
      <c r="M77" s="121">
        <v>83.3</v>
      </c>
      <c r="N77" s="121">
        <f t="shared" si="0"/>
        <v>186.46712095400341</v>
      </c>
      <c r="O77" s="113"/>
      <c r="P77" s="113"/>
      <c r="Q77" s="113"/>
      <c r="R77" s="113"/>
      <c r="S77" s="113"/>
      <c r="T77" s="113"/>
      <c r="U77" s="113"/>
      <c r="V77" s="116" t="s">
        <v>82</v>
      </c>
      <c r="W77" s="116"/>
      <c r="X77" s="123">
        <f>IF('Tab6'!C36="",'Tab6'!C37+'Tab6'!C39,'Tab6'!C38+'Tab6'!C40)</f>
        <v>1422.4789086190169</v>
      </c>
      <c r="Y77" s="123">
        <f>IF('Tab6'!D36="",'Tab6'!D37+'Tab6'!D39,'Tab6'!D38+'Tab6'!D40)</f>
        <v>1533.9141585615721</v>
      </c>
      <c r="Z77" s="123">
        <f>IF('Tab6'!E36="",'Tab6'!E37+'Tab6'!E39,'Tab6'!E38+'Tab6'!E40)</f>
        <v>1611.370920161663</v>
      </c>
      <c r="AA77" s="113"/>
      <c r="AB77" s="113"/>
      <c r="AC77" s="113"/>
      <c r="AD77" s="113"/>
      <c r="AE77" s="113"/>
    </row>
    <row r="78" spans="1:31">
      <c r="A78" s="116">
        <v>4</v>
      </c>
      <c r="B78" s="116"/>
      <c r="C78" s="116">
        <v>92.9</v>
      </c>
      <c r="D78" s="116">
        <v>73.900000000000006</v>
      </c>
      <c r="E78" s="116"/>
      <c r="F78" s="116"/>
      <c r="G78" s="116"/>
      <c r="H78" s="113"/>
      <c r="I78" s="121">
        <v>59.6</v>
      </c>
      <c r="J78" s="113">
        <v>4</v>
      </c>
      <c r="K78" s="113"/>
      <c r="L78" s="122">
        <v>11449</v>
      </c>
      <c r="M78" s="121">
        <v>94.6</v>
      </c>
      <c r="N78" s="121">
        <f t="shared" si="0"/>
        <v>208.56442953020132</v>
      </c>
      <c r="O78" s="113"/>
      <c r="P78" s="113"/>
      <c r="Q78" s="113"/>
      <c r="R78" s="113"/>
      <c r="S78" s="113"/>
      <c r="T78" s="113"/>
      <c r="U78" s="113"/>
      <c r="V78" s="116" t="s">
        <v>83</v>
      </c>
      <c r="W78" s="116"/>
      <c r="X78" s="124">
        <f>X72-X77-X76-X75-X74</f>
        <v>6148.8540980731377</v>
      </c>
      <c r="Y78" s="124">
        <f>Y72-Y77-Y76-Y75-Y74</f>
        <v>6048.7512961069606</v>
      </c>
      <c r="Z78" s="124">
        <f>Z72-Z77-Z76-Z75-Z74</f>
        <v>6185.3072910213778</v>
      </c>
      <c r="AA78" s="113"/>
      <c r="AB78" s="113"/>
      <c r="AC78" s="113"/>
      <c r="AD78" s="113"/>
      <c r="AE78" s="113"/>
    </row>
    <row r="79" spans="1:31">
      <c r="A79" s="116">
        <v>1</v>
      </c>
      <c r="B79" s="116">
        <v>1985</v>
      </c>
      <c r="C79" s="116">
        <v>123.4</v>
      </c>
      <c r="D79" s="116">
        <v>100.8</v>
      </c>
      <c r="E79" s="116"/>
      <c r="F79" s="116"/>
      <c r="G79" s="116"/>
      <c r="H79" s="113"/>
      <c r="I79" s="121">
        <v>60.4</v>
      </c>
      <c r="J79" s="113">
        <v>1</v>
      </c>
      <c r="K79" s="113">
        <v>1985</v>
      </c>
      <c r="L79" s="122">
        <v>16918</v>
      </c>
      <c r="M79" s="121">
        <v>103.6</v>
      </c>
      <c r="N79" s="121">
        <f t="shared" si="0"/>
        <v>225.38145695364238</v>
      </c>
      <c r="O79" s="113"/>
      <c r="P79" s="113"/>
      <c r="Q79" s="113"/>
      <c r="R79" s="113"/>
      <c r="S79" s="113"/>
      <c r="T79" s="113"/>
      <c r="U79" s="113"/>
      <c r="V79" s="116"/>
      <c r="W79" s="116"/>
      <c r="X79" s="116"/>
      <c r="Y79" s="116"/>
      <c r="Z79" s="116"/>
      <c r="AA79" s="113"/>
      <c r="AB79" s="113"/>
      <c r="AC79" s="113"/>
      <c r="AD79" s="113"/>
      <c r="AE79" s="113"/>
    </row>
    <row r="80" spans="1:31">
      <c r="A80" s="116">
        <v>2</v>
      </c>
      <c r="B80" s="116"/>
      <c r="C80" s="116">
        <v>102</v>
      </c>
      <c r="D80" s="116">
        <v>81.099999999999994</v>
      </c>
      <c r="E80" s="116"/>
      <c r="F80" s="116"/>
      <c r="G80" s="116"/>
      <c r="H80" s="113"/>
      <c r="I80" s="121">
        <v>61.5</v>
      </c>
      <c r="J80" s="113">
        <v>2</v>
      </c>
      <c r="K80" s="113"/>
      <c r="L80" s="122">
        <v>14237</v>
      </c>
      <c r="M80" s="121">
        <v>115.3</v>
      </c>
      <c r="N80" s="121">
        <f t="shared" si="0"/>
        <v>246.34829268292683</v>
      </c>
      <c r="O80" s="113"/>
      <c r="P80" s="113"/>
      <c r="Q80" s="113"/>
      <c r="R80" s="113"/>
      <c r="S80" s="113"/>
      <c r="T80" s="113"/>
      <c r="U80" s="113"/>
      <c r="V80" s="115" t="s">
        <v>166</v>
      </c>
      <c r="W80" s="116"/>
      <c r="X80" s="116"/>
      <c r="Y80" s="116"/>
      <c r="Z80" s="113"/>
      <c r="AA80" s="113"/>
      <c r="AB80" s="113"/>
      <c r="AC80" s="113"/>
      <c r="AD80" s="113"/>
      <c r="AE80" s="113"/>
    </row>
    <row r="81" spans="1:31">
      <c r="A81" s="116">
        <v>3</v>
      </c>
      <c r="B81" s="116"/>
      <c r="C81" s="116">
        <v>108.4</v>
      </c>
      <c r="D81" s="116">
        <v>86</v>
      </c>
      <c r="E81" s="116"/>
      <c r="F81" s="116"/>
      <c r="G81" s="116"/>
      <c r="H81" s="113"/>
      <c r="I81" s="121">
        <v>62</v>
      </c>
      <c r="J81" s="113">
        <v>3</v>
      </c>
      <c r="K81" s="113"/>
      <c r="L81" s="122">
        <v>14329</v>
      </c>
      <c r="M81" s="121">
        <v>103</v>
      </c>
      <c r="N81" s="121">
        <f t="shared" si="0"/>
        <v>218.29354838709679</v>
      </c>
      <c r="O81" s="113"/>
      <c r="P81" s="113"/>
      <c r="Q81" s="113"/>
      <c r="R81" s="113"/>
      <c r="S81" s="113"/>
      <c r="T81" s="113"/>
      <c r="U81" s="113"/>
      <c r="V81" s="116"/>
      <c r="W81" s="116"/>
      <c r="X81" s="116"/>
      <c r="Y81" s="116"/>
      <c r="Z81" s="113"/>
      <c r="AA81" s="113"/>
      <c r="AB81" s="113"/>
      <c r="AC81" s="113"/>
      <c r="AD81" s="113"/>
      <c r="AE81" s="113"/>
    </row>
    <row r="82" spans="1:31">
      <c r="A82" s="116">
        <v>4</v>
      </c>
      <c r="B82" s="116"/>
      <c r="C82" s="116">
        <v>109.6</v>
      </c>
      <c r="D82" s="116">
        <v>87.1</v>
      </c>
      <c r="E82" s="116"/>
      <c r="F82" s="116"/>
      <c r="G82" s="116"/>
      <c r="H82" s="113"/>
      <c r="I82" s="121">
        <v>63</v>
      </c>
      <c r="J82" s="113">
        <v>4</v>
      </c>
      <c r="K82" s="113"/>
      <c r="L82" s="122">
        <v>13060</v>
      </c>
      <c r="M82" s="121">
        <v>118.7</v>
      </c>
      <c r="N82" s="121">
        <f t="shared" si="0"/>
        <v>247.57428571428571</v>
      </c>
      <c r="O82" s="113"/>
      <c r="P82" s="113"/>
      <c r="Q82" s="113"/>
      <c r="R82" s="113"/>
      <c r="S82" s="113"/>
      <c r="T82" s="113"/>
      <c r="U82" s="113"/>
      <c r="V82" s="116"/>
      <c r="W82" s="120" t="str">
        <f>+'Tab4'!C6</f>
        <v>2011</v>
      </c>
      <c r="X82" s="120" t="str">
        <f>+'Tab4'!D6</f>
        <v>2012</v>
      </c>
      <c r="Y82" s="120" t="str">
        <f>+'Tab4'!E6</f>
        <v>2013</v>
      </c>
      <c r="Z82" s="113"/>
      <c r="AA82" s="113"/>
      <c r="AB82" s="113"/>
      <c r="AC82" s="113"/>
      <c r="AD82" s="113"/>
      <c r="AE82" s="113"/>
    </row>
    <row r="83" spans="1:31">
      <c r="A83" s="116">
        <v>1</v>
      </c>
      <c r="B83" s="116">
        <v>1986</v>
      </c>
      <c r="C83" s="116">
        <v>141</v>
      </c>
      <c r="D83" s="116">
        <v>115.2</v>
      </c>
      <c r="E83" s="116"/>
      <c r="F83" s="116"/>
      <c r="G83" s="116"/>
      <c r="H83" s="113"/>
      <c r="I83" s="121">
        <v>64</v>
      </c>
      <c r="J83" s="113">
        <v>1</v>
      </c>
      <c r="K83" s="113">
        <v>1986</v>
      </c>
      <c r="L83" s="122">
        <v>14314</v>
      </c>
      <c r="M83" s="121">
        <v>111.8</v>
      </c>
      <c r="N83" s="121">
        <f t="shared" si="0"/>
        <v>229.53937500000001</v>
      </c>
      <c r="O83" s="113"/>
      <c r="P83" s="113"/>
      <c r="Q83" s="113"/>
      <c r="R83" s="113"/>
      <c r="S83" s="113"/>
      <c r="T83" s="113"/>
      <c r="U83" s="113"/>
      <c r="V83" s="116" t="s">
        <v>84</v>
      </c>
      <c r="W83" s="123">
        <f>IF('Tab4'!C14="",'Tab4'!C13,'Tab4'!C14)</f>
        <v>5218.5758676393098</v>
      </c>
      <c r="X83" s="123">
        <f>IF('Tab4'!D14="",'Tab4'!D13,'Tab4'!D14)</f>
        <v>4481.1932546349199</v>
      </c>
      <c r="Y83" s="123">
        <f>IF('Tab4'!E14="",'Tab4'!E13,'Tab4'!E14)</f>
        <v>4830.7343936059297</v>
      </c>
      <c r="Z83" s="113"/>
      <c r="AA83" s="113"/>
      <c r="AB83" s="113"/>
      <c r="AC83" s="113"/>
      <c r="AD83" s="113"/>
      <c r="AE83" s="113"/>
    </row>
    <row r="84" spans="1:31">
      <c r="A84" s="116">
        <v>2</v>
      </c>
      <c r="B84" s="116"/>
      <c r="C84" s="116">
        <v>120.5</v>
      </c>
      <c r="D84" s="116">
        <v>93.2</v>
      </c>
      <c r="E84" s="116"/>
      <c r="F84" s="116"/>
      <c r="G84" s="116"/>
      <c r="H84" s="113"/>
      <c r="I84" s="121">
        <v>65</v>
      </c>
      <c r="J84" s="113">
        <v>2</v>
      </c>
      <c r="K84" s="113"/>
      <c r="L84" s="122">
        <v>13505</v>
      </c>
      <c r="M84" s="121">
        <v>121.5</v>
      </c>
      <c r="N84" s="121">
        <f t="shared" si="0"/>
        <v>245.61692307692309</v>
      </c>
      <c r="O84" s="113"/>
      <c r="P84" s="113"/>
      <c r="Q84" s="113"/>
      <c r="R84" s="113"/>
      <c r="S84" s="113"/>
      <c r="T84" s="113"/>
      <c r="U84" s="113"/>
      <c r="V84" s="116" t="s">
        <v>173</v>
      </c>
      <c r="W84" s="123">
        <f>IF('Tab4'!C16="",'Tab4'!C15,'Tab4'!C16)</f>
        <v>4555.64023053451</v>
      </c>
      <c r="X84" s="123">
        <f>IF('Tab4'!D16="",'Tab4'!D15,'Tab4'!D16)</f>
        <v>3362.85883928259</v>
      </c>
      <c r="Y84" s="123">
        <f>IF('Tab4'!E16="",'Tab4'!E15,'Tab4'!E16)</f>
        <v>3642.4443702063099</v>
      </c>
      <c r="Z84" s="113"/>
      <c r="AA84" s="113"/>
      <c r="AB84" s="113"/>
      <c r="AC84" s="113"/>
      <c r="AD84" s="113"/>
      <c r="AE84" s="113"/>
    </row>
    <row r="85" spans="1:31">
      <c r="A85" s="116">
        <v>3</v>
      </c>
      <c r="B85" s="116"/>
      <c r="C85" s="116">
        <v>115.7</v>
      </c>
      <c r="D85" s="116">
        <v>91.1</v>
      </c>
      <c r="E85" s="116"/>
      <c r="F85" s="116"/>
      <c r="G85" s="116"/>
      <c r="H85" s="113"/>
      <c r="I85" s="121">
        <v>67</v>
      </c>
      <c r="J85" s="113">
        <v>3</v>
      </c>
      <c r="K85" s="113"/>
      <c r="L85" s="122">
        <v>12132</v>
      </c>
      <c r="M85" s="121">
        <v>100.8</v>
      </c>
      <c r="N85" s="121">
        <f t="shared" si="0"/>
        <v>197.68835820895524</v>
      </c>
      <c r="O85" s="113"/>
      <c r="P85" s="113"/>
      <c r="Q85" s="113"/>
      <c r="R85" s="113"/>
      <c r="S85" s="113"/>
      <c r="T85" s="113"/>
      <c r="U85" s="113"/>
      <c r="V85" s="116" t="s">
        <v>7</v>
      </c>
      <c r="W85" s="123">
        <f>IF('Tab4'!C18="",'Tab4'!C17,'Tab4'!C18)</f>
        <v>1782.11540709002</v>
      </c>
      <c r="X85" s="123">
        <f>IF('Tab4'!D18="",'Tab4'!D17,'Tab4'!D18)</f>
        <v>1738.8266912004501</v>
      </c>
      <c r="Y85" s="123">
        <f>IF('Tab4'!E18="",'Tab4'!E17,'Tab4'!E18)</f>
        <v>1909.6254062565899</v>
      </c>
      <c r="Z85" s="113"/>
      <c r="AA85" s="113"/>
      <c r="AB85" s="113"/>
      <c r="AC85" s="113"/>
      <c r="AD85" s="113"/>
      <c r="AE85" s="113"/>
    </row>
    <row r="86" spans="1:31">
      <c r="A86" s="116">
        <v>4</v>
      </c>
      <c r="B86" s="116"/>
      <c r="C86" s="116">
        <v>114.4</v>
      </c>
      <c r="D86" s="116">
        <v>90.8</v>
      </c>
      <c r="E86" s="116"/>
      <c r="F86" s="116"/>
      <c r="G86" s="116"/>
      <c r="H86" s="113"/>
      <c r="I86" s="121">
        <v>68.5</v>
      </c>
      <c r="J86" s="113">
        <v>4</v>
      </c>
      <c r="K86" s="113"/>
      <c r="L86" s="122">
        <v>11763</v>
      </c>
      <c r="M86" s="121">
        <v>120.6</v>
      </c>
      <c r="N86" s="121">
        <f t="shared" si="0"/>
        <v>231.34072992700729</v>
      </c>
      <c r="O86" s="113"/>
      <c r="P86" s="113"/>
      <c r="Q86" s="113"/>
      <c r="R86" s="113"/>
      <c r="S86" s="113"/>
      <c r="T86" s="113"/>
      <c r="U86" s="113"/>
      <c r="V86" s="113" t="s">
        <v>8</v>
      </c>
      <c r="W86" s="123">
        <f>IF('Tab4'!C20="",'Tab4'!C19,'Tab4'!C20)</f>
        <v>1064.5444839941499</v>
      </c>
      <c r="X86" s="123">
        <f>IF('Tab4'!D20="",'Tab4'!D19,'Tab4'!D20)</f>
        <v>1191.4056944198101</v>
      </c>
      <c r="Y86" s="123">
        <f>IF('Tab4'!E20="",'Tab4'!E19,'Tab4'!E20)</f>
        <v>1289.4605870123401</v>
      </c>
      <c r="Z86" s="113"/>
      <c r="AA86" s="113"/>
      <c r="AB86" s="113"/>
      <c r="AC86" s="113"/>
      <c r="AD86" s="113"/>
      <c r="AE86" s="113"/>
    </row>
    <row r="87" spans="1:31">
      <c r="A87" s="116">
        <v>1</v>
      </c>
      <c r="B87" s="116">
        <v>1987</v>
      </c>
      <c r="C87" s="116">
        <v>152.19999999999999</v>
      </c>
      <c r="D87" s="116">
        <v>121.3</v>
      </c>
      <c r="E87" s="116"/>
      <c r="F87" s="116"/>
      <c r="G87" s="116"/>
      <c r="H87" s="113"/>
      <c r="I87" s="121">
        <v>70.5</v>
      </c>
      <c r="J87" s="113">
        <v>1</v>
      </c>
      <c r="K87" s="113">
        <v>1987</v>
      </c>
      <c r="L87" s="122">
        <v>17280</v>
      </c>
      <c r="M87" s="121">
        <v>135.6</v>
      </c>
      <c r="N87" s="121">
        <f t="shared" si="0"/>
        <v>252.73531914893616</v>
      </c>
      <c r="O87" s="113"/>
      <c r="P87" s="113"/>
      <c r="Q87" s="113"/>
      <c r="R87" s="113"/>
      <c r="S87" s="113"/>
      <c r="T87" s="113"/>
      <c r="U87" s="113"/>
      <c r="V87" s="116" t="s">
        <v>9</v>
      </c>
      <c r="W87" s="123">
        <f>IF('Tab4'!C20="",'Tab4'!C21,'Tab4'!C22)</f>
        <v>446.62186203562101</v>
      </c>
      <c r="X87" s="123">
        <f>IF('Tab4'!D20="",'Tab4'!D21,'Tab4'!D22)</f>
        <v>449.80903446908701</v>
      </c>
      <c r="Y87" s="123">
        <f>IF('Tab4'!E20="",'Tab4'!E21,'Tab4'!E22)</f>
        <v>454.61368514410998</v>
      </c>
      <c r="Z87" s="113"/>
      <c r="AA87" s="113"/>
      <c r="AB87" s="113"/>
      <c r="AC87" s="113"/>
      <c r="AD87" s="113"/>
      <c r="AE87" s="113"/>
    </row>
    <row r="88" spans="1:31">
      <c r="A88" s="116">
        <v>2</v>
      </c>
      <c r="B88" s="116"/>
      <c r="C88" s="116">
        <v>109.2</v>
      </c>
      <c r="D88" s="116">
        <v>86.1</v>
      </c>
      <c r="E88" s="116"/>
      <c r="F88" s="116"/>
      <c r="G88" s="116"/>
      <c r="H88" s="113"/>
      <c r="I88" s="121">
        <v>71.599999999999994</v>
      </c>
      <c r="J88" s="113">
        <v>2</v>
      </c>
      <c r="K88" s="113"/>
      <c r="L88" s="122">
        <v>12241</v>
      </c>
      <c r="M88" s="121">
        <v>135.9</v>
      </c>
      <c r="N88" s="121">
        <f t="shared" si="0"/>
        <v>249.40307262569837</v>
      </c>
      <c r="O88" s="113"/>
      <c r="P88" s="113"/>
      <c r="Q88" s="113"/>
      <c r="R88" s="113"/>
      <c r="S88" s="113"/>
      <c r="T88" s="113"/>
      <c r="U88" s="113"/>
      <c r="V88" s="116" t="s">
        <v>10</v>
      </c>
      <c r="W88" s="123">
        <f>IF('Tab4'!C22="",'Tab4'!C23,'Tab4'!C24)</f>
        <v>1174.2048500763599</v>
      </c>
      <c r="X88" s="123">
        <f>IF('Tab4'!D22="",'Tab4'!D23,'Tab4'!D24)</f>
        <v>1250.3457337587899</v>
      </c>
      <c r="Y88" s="123">
        <f>IF('Tab4'!E22="",'Tab4'!E23,'Tab4'!E24)</f>
        <v>1420.39312070593</v>
      </c>
      <c r="Z88" s="113"/>
      <c r="AA88" s="113"/>
      <c r="AB88" s="113"/>
      <c r="AC88" s="113"/>
      <c r="AD88" s="113"/>
      <c r="AE88" s="113"/>
    </row>
    <row r="89" spans="1:31">
      <c r="A89" s="116">
        <v>3</v>
      </c>
      <c r="B89" s="116"/>
      <c r="C89" s="116">
        <v>110.1</v>
      </c>
      <c r="D89" s="116">
        <v>87.3</v>
      </c>
      <c r="E89" s="116"/>
      <c r="F89" s="116"/>
      <c r="G89" s="116"/>
      <c r="H89" s="113"/>
      <c r="I89" s="121">
        <v>72.3</v>
      </c>
      <c r="J89" s="113">
        <v>3</v>
      </c>
      <c r="K89" s="113"/>
      <c r="L89" s="122">
        <v>11506</v>
      </c>
      <c r="M89" s="121">
        <v>112.3</v>
      </c>
      <c r="N89" s="121">
        <f t="shared" si="0"/>
        <v>204.09709543568465</v>
      </c>
      <c r="O89" s="113"/>
      <c r="P89" s="113"/>
      <c r="Q89" s="113"/>
      <c r="R89" s="113"/>
      <c r="S89" s="113"/>
      <c r="T89" s="113"/>
      <c r="U89" s="113"/>
      <c r="V89" s="116" t="s">
        <v>11</v>
      </c>
      <c r="W89" s="123">
        <f>IF('Tab4'!C24="",'Tab4'!C25,'Tab4'!C26)</f>
        <v>321.90775935647298</v>
      </c>
      <c r="X89" s="123">
        <f>IF('Tab4'!D24="",'Tab4'!D25,'Tab4'!D26)</f>
        <v>320.79357679115901</v>
      </c>
      <c r="Y89" s="123">
        <f>IF('Tab4'!E24="",'Tab4'!E25,'Tab4'!E26)</f>
        <v>294.69381432008402</v>
      </c>
      <c r="Z89" s="113"/>
      <c r="AA89" s="113"/>
      <c r="AB89" s="113"/>
      <c r="AC89" s="113"/>
      <c r="AD89" s="113"/>
      <c r="AE89" s="113"/>
    </row>
    <row r="90" spans="1:31">
      <c r="A90" s="116">
        <v>4</v>
      </c>
      <c r="B90" s="116"/>
      <c r="C90" s="116">
        <v>112</v>
      </c>
      <c r="D90" s="116">
        <v>89.8</v>
      </c>
      <c r="E90" s="116"/>
      <c r="F90" s="116"/>
      <c r="G90" s="116"/>
      <c r="H90" s="113"/>
      <c r="I90" s="121">
        <v>73.599999999999994</v>
      </c>
      <c r="J90" s="113">
        <v>4</v>
      </c>
      <c r="K90" s="113"/>
      <c r="L90" s="122">
        <v>12860</v>
      </c>
      <c r="M90" s="121">
        <v>134.5</v>
      </c>
      <c r="N90" s="121">
        <f t="shared" si="0"/>
        <v>240.12635869565219</v>
      </c>
      <c r="O90" s="113"/>
      <c r="P90" s="113"/>
      <c r="Q90" s="113"/>
      <c r="R90" s="113"/>
      <c r="S90" s="113"/>
      <c r="T90" s="113"/>
      <c r="U90" s="113"/>
      <c r="V90" s="116" t="s">
        <v>12</v>
      </c>
      <c r="W90" s="123">
        <f>IF('Tab4'!C26="",'Tab4'!C27,'Tab4'!C28)</f>
        <v>536.25253427371001</v>
      </c>
      <c r="X90" s="123">
        <f>IF('Tab4'!D26="",'Tab4'!D27,'Tab4'!D28)</f>
        <v>634.22520512267704</v>
      </c>
      <c r="Y90" s="123">
        <f>IF('Tab4'!E26="",'Tab4'!E27,'Tab4'!E28)</f>
        <v>618.20821045853995</v>
      </c>
      <c r="Z90" s="113"/>
      <c r="AA90" s="113"/>
      <c r="AB90" s="113"/>
      <c r="AC90" s="113"/>
      <c r="AD90" s="113"/>
      <c r="AE90" s="113"/>
    </row>
    <row r="91" spans="1:31">
      <c r="A91" s="116">
        <v>1</v>
      </c>
      <c r="B91" s="116">
        <v>1988</v>
      </c>
      <c r="C91" s="116">
        <v>134.1</v>
      </c>
      <c r="D91" s="116">
        <v>107.5</v>
      </c>
      <c r="E91" s="116"/>
      <c r="F91" s="116"/>
      <c r="G91" s="116"/>
      <c r="H91" s="113"/>
      <c r="I91" s="121">
        <v>75.2</v>
      </c>
      <c r="J91" s="113">
        <v>1</v>
      </c>
      <c r="K91" s="113">
        <v>1988</v>
      </c>
      <c r="L91" s="122">
        <v>10180</v>
      </c>
      <c r="M91" s="121">
        <v>130.80000000000001</v>
      </c>
      <c r="N91" s="121">
        <f t="shared" si="0"/>
        <v>228.5521276595745</v>
      </c>
      <c r="O91" s="113"/>
      <c r="P91" s="113"/>
      <c r="Q91" s="113"/>
      <c r="R91" s="113"/>
      <c r="S91" s="113"/>
      <c r="T91" s="113"/>
      <c r="U91" s="113"/>
      <c r="V91" s="116" t="s">
        <v>13</v>
      </c>
      <c r="W91" s="123">
        <f>IF('Tab4'!C28="",'Tab4'!C29,'Tab4'!C30)</f>
        <v>89.156319738330794</v>
      </c>
      <c r="X91" s="123">
        <f>IF('Tab4'!D28="",'Tab4'!D29,'Tab4'!D30)</f>
        <v>75.303075636085694</v>
      </c>
      <c r="Y91" s="123">
        <f>IF('Tab4'!E28="",'Tab4'!E29,'Tab4'!E30)</f>
        <v>90.6191654838468</v>
      </c>
      <c r="Z91" s="113"/>
      <c r="AA91" s="113"/>
      <c r="AB91" s="113"/>
      <c r="AC91" s="113"/>
      <c r="AD91" s="113"/>
      <c r="AE91" s="113"/>
    </row>
    <row r="92" spans="1:31">
      <c r="A92" s="116">
        <v>2</v>
      </c>
      <c r="B92" s="116"/>
      <c r="C92" s="116">
        <v>113.7</v>
      </c>
      <c r="D92" s="116">
        <v>90</v>
      </c>
      <c r="E92" s="116"/>
      <c r="F92" s="116"/>
      <c r="G92" s="116"/>
      <c r="H92" s="113"/>
      <c r="I92" s="121">
        <v>76.7</v>
      </c>
      <c r="J92" s="113">
        <v>2</v>
      </c>
      <c r="K92" s="113"/>
      <c r="L92" s="122">
        <v>11081</v>
      </c>
      <c r="M92" s="121">
        <v>95.1</v>
      </c>
      <c r="N92" s="121">
        <f t="shared" si="0"/>
        <v>162.92229465449805</v>
      </c>
      <c r="O92" s="113"/>
      <c r="P92" s="113"/>
      <c r="Q92" s="113"/>
      <c r="R92" s="113"/>
      <c r="S92" s="113"/>
      <c r="T92" s="113"/>
      <c r="U92" s="113"/>
      <c r="V92" s="116" t="s">
        <v>14</v>
      </c>
      <c r="W92" s="123">
        <f>IF('Tab4'!C32="",'Tab4'!C31,'Tab4'!C32)</f>
        <v>470.94817439200619</v>
      </c>
      <c r="X92" s="123">
        <f>IF('Tab4'!D32="",'Tab4'!D31,'Tab4'!D32)</f>
        <v>707.26247875517322</v>
      </c>
      <c r="Y92" s="123">
        <f>IF('Tab4'!E32="",'Tab4'!E31,'Tab4'!E32)</f>
        <v>508.64434519154815</v>
      </c>
      <c r="Z92" s="113"/>
      <c r="AA92" s="113"/>
      <c r="AB92" s="113"/>
      <c r="AC92" s="113"/>
      <c r="AD92" s="113"/>
      <c r="AE92" s="113"/>
    </row>
    <row r="93" spans="1:31">
      <c r="A93" s="116">
        <v>3</v>
      </c>
      <c r="B93" s="116"/>
      <c r="C93" s="116">
        <v>116.3</v>
      </c>
      <c r="D93" s="116">
        <v>93.1</v>
      </c>
      <c r="E93" s="116"/>
      <c r="F93" s="116"/>
      <c r="G93" s="116"/>
      <c r="H93" s="113"/>
      <c r="I93" s="121">
        <v>77</v>
      </c>
      <c r="J93" s="113">
        <v>3</v>
      </c>
      <c r="K93" s="113"/>
      <c r="L93" s="122">
        <v>15987</v>
      </c>
      <c r="M93" s="121">
        <v>148.69999999999999</v>
      </c>
      <c r="N93" s="121">
        <f t="shared" si="0"/>
        <v>253.75558441558442</v>
      </c>
      <c r="O93" s="113"/>
      <c r="P93" s="113"/>
      <c r="Q93" s="113"/>
      <c r="R93" s="113"/>
      <c r="S93" s="113"/>
      <c r="T93" s="113"/>
      <c r="U93" s="113"/>
      <c r="V93" s="116" t="s">
        <v>85</v>
      </c>
      <c r="W93" s="124">
        <f>SUM(W83:W92)</f>
        <v>15659.967489130489</v>
      </c>
      <c r="X93" s="124">
        <f>SUM(X83:X92)</f>
        <v>14212.023584070739</v>
      </c>
      <c r="Y93" s="124">
        <f>SUM(Y83:Y92)</f>
        <v>15059.43709838523</v>
      </c>
      <c r="Z93" s="113"/>
      <c r="AA93" s="113"/>
      <c r="AB93" s="113"/>
      <c r="AC93" s="113"/>
      <c r="AD93" s="113"/>
      <c r="AE93" s="113"/>
    </row>
    <row r="94" spans="1:31">
      <c r="A94" s="116">
        <v>4</v>
      </c>
      <c r="B94" s="116"/>
      <c r="C94" s="116">
        <v>115.2</v>
      </c>
      <c r="D94" s="116">
        <v>93.4</v>
      </c>
      <c r="E94" s="116"/>
      <c r="F94" s="116"/>
      <c r="G94" s="116"/>
      <c r="H94" s="113"/>
      <c r="I94" s="121">
        <v>78.099999999999994</v>
      </c>
      <c r="J94" s="113">
        <v>4</v>
      </c>
      <c r="K94" s="113"/>
      <c r="L94" s="122">
        <v>12493</v>
      </c>
      <c r="M94" s="121">
        <v>199.8</v>
      </c>
      <c r="N94" s="121">
        <f t="shared" si="0"/>
        <v>336.15518565941107</v>
      </c>
      <c r="O94" s="113"/>
      <c r="P94" s="113"/>
      <c r="Q94" s="113"/>
      <c r="R94" s="113"/>
      <c r="S94" s="113"/>
      <c r="T94" s="113"/>
      <c r="U94" s="113"/>
      <c r="V94" s="116"/>
      <c r="W94" s="116"/>
      <c r="X94" s="116"/>
      <c r="Y94" s="116"/>
      <c r="Z94" s="113"/>
      <c r="AA94" s="113"/>
      <c r="AB94" s="113"/>
      <c r="AC94" s="113"/>
      <c r="AD94" s="113"/>
      <c r="AE94" s="113"/>
    </row>
    <row r="95" spans="1:31">
      <c r="A95" s="116">
        <v>1</v>
      </c>
      <c r="B95" s="116">
        <v>1989</v>
      </c>
      <c r="C95" s="116">
        <v>106.6</v>
      </c>
      <c r="D95" s="116">
        <v>86.4</v>
      </c>
      <c r="E95" s="116"/>
      <c r="F95" s="116"/>
      <c r="G95" s="116"/>
      <c r="H95" s="113"/>
      <c r="I95" s="121">
        <v>78.900000000000006</v>
      </c>
      <c r="J95" s="113">
        <v>1</v>
      </c>
      <c r="K95" s="113">
        <v>1989</v>
      </c>
      <c r="L95" s="122">
        <v>10988</v>
      </c>
      <c r="M95" s="121">
        <v>142.6</v>
      </c>
      <c r="N95" s="121">
        <f t="shared" si="0"/>
        <v>237.48593155893536</v>
      </c>
      <c r="O95" s="113"/>
      <c r="P95" s="113"/>
      <c r="Q95" s="113"/>
      <c r="R95" s="113"/>
      <c r="S95" s="113"/>
      <c r="T95" s="113"/>
      <c r="U95" s="113"/>
      <c r="V95" s="116" t="s">
        <v>174</v>
      </c>
      <c r="W95" s="125">
        <f>+W93+X72</f>
        <v>24533.046410948038</v>
      </c>
      <c r="X95" s="125">
        <f>+X93+Y72</f>
        <v>23170.46685704917</v>
      </c>
      <c r="Y95" s="125">
        <f>+Y93+Z72</f>
        <v>24250.36906961662</v>
      </c>
      <c r="Z95" s="113"/>
      <c r="AA95" s="113"/>
      <c r="AB95" s="113"/>
      <c r="AC95" s="113"/>
      <c r="AD95" s="113"/>
      <c r="AE95" s="113"/>
    </row>
    <row r="96" spans="1:31">
      <c r="A96" s="116">
        <v>2</v>
      </c>
      <c r="B96" s="116"/>
      <c r="C96" s="116">
        <v>98</v>
      </c>
      <c r="D96" s="116">
        <v>79.599999999999994</v>
      </c>
      <c r="E96" s="116"/>
      <c r="F96" s="116"/>
      <c r="G96" s="116"/>
      <c r="H96" s="113"/>
      <c r="I96" s="121">
        <v>80.3</v>
      </c>
      <c r="J96" s="113">
        <v>2</v>
      </c>
      <c r="K96" s="113"/>
      <c r="L96" s="122">
        <v>10292</v>
      </c>
      <c r="M96" s="121">
        <v>117.3</v>
      </c>
      <c r="N96" s="121">
        <f t="shared" si="0"/>
        <v>191.94545454545457</v>
      </c>
      <c r="O96" s="113"/>
      <c r="P96" s="113"/>
      <c r="Q96" s="113"/>
      <c r="R96" s="113"/>
      <c r="S96" s="113"/>
      <c r="T96" s="113"/>
      <c r="U96" s="113"/>
      <c r="V96" s="113"/>
      <c r="W96" s="113"/>
      <c r="X96" s="113"/>
      <c r="Y96" s="113"/>
      <c r="Z96" s="113"/>
      <c r="AA96" s="113"/>
      <c r="AB96" s="113"/>
      <c r="AC96" s="113"/>
      <c r="AD96" s="113"/>
      <c r="AE96" s="113"/>
    </row>
    <row r="97" spans="1:31">
      <c r="A97" s="116">
        <v>3</v>
      </c>
      <c r="B97" s="116"/>
      <c r="C97" s="116">
        <v>96.9</v>
      </c>
      <c r="D97" s="116">
        <v>79</v>
      </c>
      <c r="E97" s="116"/>
      <c r="F97" s="116"/>
      <c r="G97" s="116"/>
      <c r="H97" s="113"/>
      <c r="I97" s="121">
        <v>80.599999999999994</v>
      </c>
      <c r="J97" s="113">
        <v>3</v>
      </c>
      <c r="K97" s="113"/>
      <c r="L97" s="122">
        <v>11352</v>
      </c>
      <c r="M97" s="121">
        <v>103.6</v>
      </c>
      <c r="N97" s="121">
        <f t="shared" si="0"/>
        <v>168.89627791563274</v>
      </c>
      <c r="O97" s="113"/>
      <c r="P97" s="113"/>
      <c r="Q97" s="113"/>
      <c r="R97" s="113"/>
      <c r="S97" s="113"/>
      <c r="T97" s="113"/>
      <c r="U97" s="113"/>
      <c r="V97" s="113"/>
      <c r="W97" s="113"/>
      <c r="X97" s="113"/>
      <c r="Y97" s="116"/>
      <c r="Z97" s="113"/>
      <c r="AA97" s="113"/>
      <c r="AB97" s="113"/>
      <c r="AC97" s="113"/>
      <c r="AD97" s="113"/>
      <c r="AE97" s="113"/>
    </row>
    <row r="98" spans="1:31">
      <c r="A98" s="116">
        <v>4</v>
      </c>
      <c r="B98" s="116"/>
      <c r="C98" s="116">
        <v>93.4</v>
      </c>
      <c r="D98" s="116">
        <v>76.8</v>
      </c>
      <c r="E98" s="116"/>
      <c r="F98" s="116"/>
      <c r="G98" s="116"/>
      <c r="H98" s="113"/>
      <c r="I98" s="121">
        <v>81.400000000000006</v>
      </c>
      <c r="J98" s="113">
        <v>4</v>
      </c>
      <c r="K98" s="113"/>
      <c r="L98" s="122">
        <v>11958</v>
      </c>
      <c r="M98" s="121">
        <v>132</v>
      </c>
      <c r="N98" s="121">
        <f t="shared" si="0"/>
        <v>213.08108108108107</v>
      </c>
      <c r="O98" s="113"/>
      <c r="P98" s="113"/>
      <c r="Q98" s="113"/>
      <c r="R98" s="113"/>
      <c r="S98" s="113"/>
      <c r="T98" s="113"/>
      <c r="U98" s="113"/>
      <c r="V98" s="115" t="s">
        <v>189</v>
      </c>
      <c r="W98" s="116"/>
      <c r="X98" s="116"/>
      <c r="Y98" s="116"/>
      <c r="Z98" s="113"/>
      <c r="AA98" s="113"/>
      <c r="AB98" s="113"/>
      <c r="AC98" s="113"/>
      <c r="AD98" s="113"/>
      <c r="AE98" s="113"/>
    </row>
    <row r="99" spans="1:31">
      <c r="A99" s="116">
        <v>1</v>
      </c>
      <c r="B99" s="116">
        <v>1990</v>
      </c>
      <c r="C99" s="116">
        <v>99.4</v>
      </c>
      <c r="D99" s="116">
        <v>81.3</v>
      </c>
      <c r="E99" s="116"/>
      <c r="F99" s="116"/>
      <c r="G99" s="116"/>
      <c r="H99" s="113"/>
      <c r="I99" s="121">
        <v>82.3</v>
      </c>
      <c r="J99" s="113">
        <v>1</v>
      </c>
      <c r="K99" s="113">
        <v>1990</v>
      </c>
      <c r="L99" s="122">
        <v>13741</v>
      </c>
      <c r="M99" s="121">
        <v>142.9</v>
      </c>
      <c r="N99" s="121">
        <f t="shared" si="0"/>
        <v>228.15382746051037</v>
      </c>
      <c r="O99" s="113"/>
      <c r="P99" s="113"/>
      <c r="Q99" s="113"/>
      <c r="R99" s="113"/>
      <c r="S99" s="113"/>
      <c r="T99" s="113"/>
      <c r="U99" s="113"/>
      <c r="V99" s="116"/>
      <c r="W99" s="113"/>
      <c r="X99" s="116"/>
      <c r="Y99" s="116"/>
      <c r="Z99" s="113"/>
      <c r="AA99" s="113"/>
      <c r="AB99" s="113"/>
      <c r="AC99" s="113"/>
      <c r="AD99" s="113"/>
      <c r="AE99" s="113"/>
    </row>
    <row r="100" spans="1:31">
      <c r="A100" s="116">
        <v>2</v>
      </c>
      <c r="B100" s="116"/>
      <c r="C100" s="116">
        <v>88.6</v>
      </c>
      <c r="D100" s="116">
        <v>73.099999999999994</v>
      </c>
      <c r="E100" s="116"/>
      <c r="F100" s="116"/>
      <c r="G100" s="116"/>
      <c r="H100" s="113"/>
      <c r="I100" s="121">
        <v>83.4</v>
      </c>
      <c r="J100" s="113">
        <v>2</v>
      </c>
      <c r="K100" s="113"/>
      <c r="L100" s="122">
        <v>10045</v>
      </c>
      <c r="M100" s="121">
        <v>116.5</v>
      </c>
      <c r="N100" s="121">
        <f t="shared" si="0"/>
        <v>183.55035971223023</v>
      </c>
      <c r="O100" s="113"/>
      <c r="P100" s="113"/>
      <c r="Q100" s="113"/>
      <c r="R100" s="113"/>
      <c r="S100" s="113"/>
      <c r="T100" s="113"/>
      <c r="U100" s="113"/>
      <c r="V100" s="116"/>
      <c r="W100" s="120" t="str">
        <f>+W82</f>
        <v>2011</v>
      </c>
      <c r="X100" s="120" t="str">
        <f>+X82</f>
        <v>2012</v>
      </c>
      <c r="Y100" s="120" t="str">
        <f>+Y82</f>
        <v>2013</v>
      </c>
      <c r="Z100" s="113"/>
      <c r="AA100" s="113"/>
      <c r="AB100" s="113"/>
      <c r="AC100" s="113"/>
      <c r="AD100" s="113"/>
      <c r="AE100" s="113"/>
    </row>
    <row r="101" spans="1:31">
      <c r="A101" s="116">
        <v>3</v>
      </c>
      <c r="B101" s="116"/>
      <c r="C101" s="116">
        <v>88.2</v>
      </c>
      <c r="D101" s="116">
        <v>72.5</v>
      </c>
      <c r="E101" s="116"/>
      <c r="F101" s="116"/>
      <c r="G101" s="116"/>
      <c r="H101" s="113"/>
      <c r="I101" s="121">
        <v>83.7</v>
      </c>
      <c r="J101" s="113">
        <v>3</v>
      </c>
      <c r="K101" s="113"/>
      <c r="L101" s="122">
        <v>10870</v>
      </c>
      <c r="M101" s="121">
        <v>101.4</v>
      </c>
      <c r="N101" s="121">
        <f t="shared" si="0"/>
        <v>159.18709677419358</v>
      </c>
      <c r="O101" s="113"/>
      <c r="P101" s="113"/>
      <c r="Q101" s="113"/>
      <c r="R101" s="113"/>
      <c r="S101" s="113"/>
      <c r="T101" s="113"/>
      <c r="U101" s="113"/>
      <c r="V101" s="116" t="s">
        <v>18</v>
      </c>
      <c r="W101" s="126">
        <f>IF('Tab7'!C10="",+'Tab7'!C9+'Tab11'!C9,+'Tab7'!C10+'Tab11'!C10)</f>
        <v>23654</v>
      </c>
      <c r="X101" s="126">
        <f>IF('Tab7'!D10="",+'Tab7'!D9+'Tab11'!D9,+'Tab7'!D10+'Tab11'!D10)</f>
        <v>18489.05363973865</v>
      </c>
      <c r="Y101" s="126">
        <f>IF('Tab7'!E10="",+'Tab7'!E9+'Tab11'!E9,+'Tab7'!E10+'Tab11'!E10)</f>
        <v>23401.955434782609</v>
      </c>
      <c r="Z101" s="113"/>
      <c r="AA101" s="113"/>
      <c r="AB101" s="113"/>
      <c r="AC101" s="113"/>
      <c r="AD101" s="113"/>
      <c r="AE101" s="113"/>
    </row>
    <row r="102" spans="1:31">
      <c r="A102" s="116">
        <v>4</v>
      </c>
      <c r="B102" s="116"/>
      <c r="C102" s="116">
        <v>84.8</v>
      </c>
      <c r="D102" s="116">
        <v>70.2</v>
      </c>
      <c r="E102" s="116"/>
      <c r="F102" s="116"/>
      <c r="G102" s="116"/>
      <c r="H102" s="113"/>
      <c r="I102" s="121">
        <v>85.1</v>
      </c>
      <c r="J102" s="113">
        <v>4</v>
      </c>
      <c r="K102" s="113"/>
      <c r="L102" s="122">
        <v>11076</v>
      </c>
      <c r="M102" s="121">
        <v>120</v>
      </c>
      <c r="N102" s="121">
        <f t="shared" si="0"/>
        <v>185.28789659224444</v>
      </c>
      <c r="O102" s="113"/>
      <c r="P102" s="113"/>
      <c r="Q102" s="113"/>
      <c r="R102" s="113"/>
      <c r="S102" s="113"/>
      <c r="T102" s="113"/>
      <c r="U102" s="113"/>
      <c r="V102" s="116" t="s">
        <v>86</v>
      </c>
      <c r="W102" s="126">
        <f>IF('Tab7'!C12="",+'Tab7'!C11+'Tab11'!C11,+'Tab7'!C12+'Tab11'!C12)</f>
        <v>69101</v>
      </c>
      <c r="X102" s="126">
        <f>IF('Tab7'!D12="",+'Tab7'!D11+'Tab11'!D11,+'Tab7'!D12+'Tab11'!D12)</f>
        <v>53604.460714285698</v>
      </c>
      <c r="Y102" s="126">
        <f>IF('Tab7'!E12="",+'Tab7'!E11+'Tab11'!E11,+'Tab7'!E12+'Tab11'!E12)</f>
        <v>64323.581422924901</v>
      </c>
      <c r="Z102" s="113"/>
      <c r="AA102" s="113"/>
      <c r="AB102" s="113"/>
      <c r="AC102" s="113"/>
      <c r="AD102" s="113"/>
      <c r="AE102" s="113"/>
    </row>
    <row r="103" spans="1:31">
      <c r="A103" s="116">
        <v>1</v>
      </c>
      <c r="B103" s="116">
        <v>1991</v>
      </c>
      <c r="C103" s="116">
        <v>97.5</v>
      </c>
      <c r="D103" s="116">
        <v>82.4</v>
      </c>
      <c r="E103" s="116"/>
      <c r="F103" s="116"/>
      <c r="G103" s="116"/>
      <c r="H103" s="113"/>
      <c r="I103" s="121">
        <v>85.5</v>
      </c>
      <c r="J103" s="113">
        <v>1</v>
      </c>
      <c r="K103" s="113">
        <v>1991</v>
      </c>
      <c r="L103" s="122">
        <v>10172</v>
      </c>
      <c r="M103" s="121">
        <v>130.10000000000002</v>
      </c>
      <c r="N103" s="121">
        <f t="shared" ref="N103:N106" si="1">M103/I103*$I$69</f>
        <v>199.94315789473688</v>
      </c>
      <c r="O103" s="122">
        <v>6727</v>
      </c>
      <c r="P103" s="121">
        <v>376.9</v>
      </c>
      <c r="Q103" s="121">
        <f>P103/I103*$I$69</f>
        <v>579.23578947368412</v>
      </c>
      <c r="R103" s="122">
        <v>9077</v>
      </c>
      <c r="S103" s="121">
        <v>139.9</v>
      </c>
      <c r="T103" s="121">
        <f>S103/I103*$I$69</f>
        <v>215.0042105263158</v>
      </c>
      <c r="U103" s="113"/>
      <c r="V103" s="116" t="s">
        <v>63</v>
      </c>
      <c r="W103" s="126">
        <f>IF('Tab7'!C14="",+'Tab7'!C13+'Tab11'!C13,+'Tab7'!C14+'Tab11'!C14)</f>
        <v>27088</v>
      </c>
      <c r="X103" s="126">
        <f>IF('Tab7'!D14="",+'Tab7'!D13+'Tab11'!D13,+'Tab7'!D14+'Tab11'!D14)</f>
        <v>28444.781177428838</v>
      </c>
      <c r="Y103" s="126">
        <f>IF('Tab7'!E14="",+'Tab7'!E13+'Tab11'!E13,+'Tab7'!E14+'Tab11'!E14)</f>
        <v>27899.02326086957</v>
      </c>
      <c r="Z103" s="113"/>
      <c r="AA103" s="113"/>
      <c r="AB103" s="113"/>
      <c r="AC103" s="113"/>
      <c r="AD103" s="113"/>
      <c r="AE103" s="113"/>
    </row>
    <row r="104" spans="1:31">
      <c r="A104" s="116">
        <v>2</v>
      </c>
      <c r="B104" s="116"/>
      <c r="C104" s="116">
        <v>93.9</v>
      </c>
      <c r="D104" s="116">
        <v>78</v>
      </c>
      <c r="E104" s="116"/>
      <c r="F104" s="116"/>
      <c r="G104" s="116"/>
      <c r="H104" s="113"/>
      <c r="I104" s="121">
        <v>86.6</v>
      </c>
      <c r="J104" s="113">
        <v>2</v>
      </c>
      <c r="K104" s="113"/>
      <c r="L104" s="122">
        <v>10188</v>
      </c>
      <c r="M104" s="121">
        <v>126.69999999999993</v>
      </c>
      <c r="N104" s="121">
        <f t="shared" si="1"/>
        <v>192.24457274826784</v>
      </c>
      <c r="O104" s="122">
        <v>5864</v>
      </c>
      <c r="P104" s="121">
        <v>369.29999999999995</v>
      </c>
      <c r="Q104" s="121">
        <f t="shared" ref="Q104:Q167" si="2">P104/I104*$I$69</f>
        <v>560.34665127020787</v>
      </c>
      <c r="R104" s="122">
        <v>12525</v>
      </c>
      <c r="S104" s="121">
        <v>176.29999999999998</v>
      </c>
      <c r="T104" s="121">
        <f t="shared" ref="T104:T167" si="3">S104/I104*$I$69</f>
        <v>267.5036951501155</v>
      </c>
      <c r="U104" s="113"/>
      <c r="V104" s="116" t="s">
        <v>14</v>
      </c>
      <c r="W104" s="127">
        <f>+W106-SUM(W101:W103)</f>
        <v>119816</v>
      </c>
      <c r="X104" s="127">
        <f>+X106-SUM(X101:X103)</f>
        <v>113738.51800302984</v>
      </c>
      <c r="Y104" s="127">
        <f>+Y106-SUM(Y101:Y103)</f>
        <v>120329.90858663073</v>
      </c>
      <c r="Z104" s="113"/>
      <c r="AA104" s="113"/>
      <c r="AB104" s="113"/>
      <c r="AC104" s="113"/>
      <c r="AD104" s="113"/>
      <c r="AE104" s="113"/>
    </row>
    <row r="105" spans="1:31">
      <c r="A105" s="116">
        <v>3</v>
      </c>
      <c r="B105" s="116"/>
      <c r="C105" s="116">
        <v>90.2</v>
      </c>
      <c r="D105" s="116">
        <v>76.099999999999994</v>
      </c>
      <c r="E105" s="116"/>
      <c r="F105" s="116"/>
      <c r="G105" s="116"/>
      <c r="H105" s="113"/>
      <c r="I105" s="121">
        <v>86.6</v>
      </c>
      <c r="J105" s="113">
        <v>3</v>
      </c>
      <c r="K105" s="113"/>
      <c r="L105" s="122">
        <v>10621</v>
      </c>
      <c r="M105" s="121">
        <v>132.60000000000002</v>
      </c>
      <c r="N105" s="121">
        <f t="shared" si="1"/>
        <v>201.19676674364899</v>
      </c>
      <c r="O105" s="122">
        <v>7951</v>
      </c>
      <c r="P105" s="121">
        <v>430.9</v>
      </c>
      <c r="Q105" s="121">
        <f t="shared" si="2"/>
        <v>653.81362586605076</v>
      </c>
      <c r="R105" s="122">
        <v>14126</v>
      </c>
      <c r="S105" s="121">
        <v>204.90000000000003</v>
      </c>
      <c r="T105" s="121">
        <f t="shared" si="3"/>
        <v>310.89907621247119</v>
      </c>
      <c r="U105" s="113"/>
      <c r="V105" s="116"/>
      <c r="W105" s="116"/>
      <c r="X105" s="116"/>
      <c r="Y105" s="116"/>
      <c r="Z105" s="113"/>
      <c r="AA105" s="113"/>
      <c r="AB105" s="113"/>
      <c r="AC105" s="113"/>
      <c r="AD105" s="113"/>
      <c r="AE105" s="113"/>
    </row>
    <row r="106" spans="1:31">
      <c r="A106" s="116">
        <v>4</v>
      </c>
      <c r="B106" s="116"/>
      <c r="C106" s="116">
        <v>92.6</v>
      </c>
      <c r="D106" s="116">
        <v>78.099999999999994</v>
      </c>
      <c r="E106" s="116"/>
      <c r="F106" s="116"/>
      <c r="G106" s="116"/>
      <c r="H106" s="113"/>
      <c r="I106" s="121">
        <v>87.3</v>
      </c>
      <c r="J106" s="113">
        <v>4</v>
      </c>
      <c r="K106" s="113"/>
      <c r="L106" s="122">
        <v>11640</v>
      </c>
      <c r="M106" s="121">
        <v>138.20000000000005</v>
      </c>
      <c r="N106" s="121">
        <f t="shared" si="1"/>
        <v>208.0123711340207</v>
      </c>
      <c r="O106" s="122">
        <v>13048</v>
      </c>
      <c r="P106" s="121">
        <v>427.00000000000023</v>
      </c>
      <c r="Q106" s="121">
        <f t="shared" si="2"/>
        <v>642.70103092783552</v>
      </c>
      <c r="R106" s="122">
        <v>13048</v>
      </c>
      <c r="S106" s="121">
        <v>185</v>
      </c>
      <c r="T106" s="121">
        <f t="shared" si="3"/>
        <v>278.45360824742272</v>
      </c>
      <c r="U106" s="113"/>
      <c r="V106" s="116" t="s">
        <v>87</v>
      </c>
      <c r="W106" s="126">
        <f>IF('Tab7'!C8="",+'Tab7'!C7+'Tab11'!C7,+'Tab7'!C8+'Tab11'!C8)</f>
        <v>239659</v>
      </c>
      <c r="X106" s="126">
        <f>IF('Tab7'!D8="",+'Tab7'!D7+'Tab11'!D7,+'Tab7'!D8+'Tab11'!D8)</f>
        <v>214276.81353448302</v>
      </c>
      <c r="Y106" s="126">
        <f>IF('Tab7'!E8="",+'Tab7'!E7+'Tab11'!E7,+'Tab7'!E8+'Tab11'!E8)</f>
        <v>235954.46870520781</v>
      </c>
      <c r="Z106" s="113"/>
      <c r="AA106" s="113"/>
      <c r="AB106" s="113"/>
      <c r="AC106" s="113"/>
      <c r="AD106" s="113"/>
      <c r="AE106" s="113"/>
    </row>
    <row r="107" spans="1:31">
      <c r="A107" s="116">
        <v>1</v>
      </c>
      <c r="B107" s="116">
        <v>1992</v>
      </c>
      <c r="C107" s="116">
        <v>102</v>
      </c>
      <c r="D107" s="116">
        <v>87.1</v>
      </c>
      <c r="E107" s="116"/>
      <c r="F107" s="116"/>
      <c r="G107" s="116"/>
      <c r="H107" s="113"/>
      <c r="I107" s="121">
        <v>87.5</v>
      </c>
      <c r="J107" s="113">
        <v>1</v>
      </c>
      <c r="K107" s="113">
        <v>1992</v>
      </c>
      <c r="L107" s="122">
        <v>10520</v>
      </c>
      <c r="M107" s="121">
        <v>129.4</v>
      </c>
      <c r="N107" s="121">
        <f>M107/I107*$I$69</f>
        <v>194.32182857142857</v>
      </c>
      <c r="O107" s="122">
        <v>6509</v>
      </c>
      <c r="P107" s="121">
        <v>409.5</v>
      </c>
      <c r="Q107" s="121">
        <f t="shared" si="2"/>
        <v>614.952</v>
      </c>
      <c r="R107" s="122">
        <v>11030</v>
      </c>
      <c r="S107" s="121">
        <v>180.5</v>
      </c>
      <c r="T107" s="121">
        <f t="shared" si="3"/>
        <v>271.05942857142855</v>
      </c>
      <c r="U107" s="113"/>
      <c r="V107" s="113"/>
      <c r="W107" s="113"/>
      <c r="X107" s="113"/>
      <c r="Y107" s="113"/>
      <c r="Z107" s="113"/>
      <c r="AA107" s="113"/>
      <c r="AB107" s="113"/>
      <c r="AC107" s="113"/>
      <c r="AD107" s="113"/>
      <c r="AE107" s="113"/>
    </row>
    <row r="108" spans="1:31">
      <c r="A108" s="116">
        <v>2</v>
      </c>
      <c r="B108" s="116"/>
      <c r="C108" s="116">
        <v>92.2</v>
      </c>
      <c r="D108" s="116">
        <v>78.900000000000006</v>
      </c>
      <c r="E108" s="116"/>
      <c r="F108" s="116"/>
      <c r="G108" s="116"/>
      <c r="H108" s="113"/>
      <c r="I108" s="121">
        <v>88.6</v>
      </c>
      <c r="J108" s="113">
        <v>2</v>
      </c>
      <c r="K108" s="113"/>
      <c r="L108" s="122">
        <v>10661</v>
      </c>
      <c r="M108" s="121">
        <v>112.9</v>
      </c>
      <c r="N108" s="121">
        <f t="shared" ref="N108:N171" si="4">M108/I108*$I$69</f>
        <v>167.43860045146729</v>
      </c>
      <c r="O108" s="122">
        <v>5632</v>
      </c>
      <c r="P108" s="121">
        <v>412</v>
      </c>
      <c r="Q108" s="121">
        <f t="shared" si="2"/>
        <v>611.02483069977427</v>
      </c>
      <c r="R108" s="122">
        <v>13252</v>
      </c>
      <c r="S108" s="121">
        <v>167</v>
      </c>
      <c r="T108" s="121">
        <f t="shared" si="3"/>
        <v>247.67268623024833</v>
      </c>
      <c r="U108" s="113"/>
      <c r="V108" s="113"/>
      <c r="W108" s="113"/>
      <c r="X108" s="113"/>
      <c r="Y108" s="113"/>
      <c r="Z108" s="113"/>
      <c r="AA108" s="113"/>
      <c r="AB108" s="113"/>
      <c r="AC108" s="113"/>
      <c r="AD108" s="113"/>
      <c r="AE108" s="113"/>
    </row>
    <row r="109" spans="1:31">
      <c r="A109" s="116">
        <v>3</v>
      </c>
      <c r="B109" s="116"/>
      <c r="C109" s="116">
        <v>93.3</v>
      </c>
      <c r="D109" s="116">
        <v>79.900000000000006</v>
      </c>
      <c r="E109" s="116"/>
      <c r="F109" s="116"/>
      <c r="G109" s="116"/>
      <c r="H109" s="113"/>
      <c r="I109" s="121">
        <v>88.7</v>
      </c>
      <c r="J109" s="113">
        <v>3</v>
      </c>
      <c r="K109" s="113"/>
      <c r="L109" s="122">
        <v>11590</v>
      </c>
      <c r="M109" s="121">
        <v>130.59999999999997</v>
      </c>
      <c r="N109" s="121">
        <f t="shared" si="4"/>
        <v>193.47057497181504</v>
      </c>
      <c r="O109" s="122">
        <v>8642</v>
      </c>
      <c r="P109" s="121">
        <v>440.40000000000009</v>
      </c>
      <c r="Q109" s="121">
        <f t="shared" si="2"/>
        <v>652.40766629086829</v>
      </c>
      <c r="R109" s="122">
        <v>15450</v>
      </c>
      <c r="S109" s="121">
        <v>219.10000000000002</v>
      </c>
      <c r="T109" s="121">
        <f t="shared" si="3"/>
        <v>324.57429537767757</v>
      </c>
      <c r="U109" s="113"/>
      <c r="V109" s="115" t="s">
        <v>190</v>
      </c>
      <c r="W109" s="116"/>
      <c r="X109" s="116"/>
      <c r="Y109" s="116"/>
      <c r="Z109" s="113"/>
      <c r="AA109" s="113"/>
      <c r="AB109" s="113"/>
      <c r="AC109" s="113"/>
      <c r="AD109" s="113"/>
      <c r="AE109" s="113"/>
    </row>
    <row r="110" spans="1:31">
      <c r="A110" s="116">
        <v>4</v>
      </c>
      <c r="B110" s="116"/>
      <c r="C110" s="116">
        <v>90.8</v>
      </c>
      <c r="D110" s="116">
        <v>77.599999999999994</v>
      </c>
      <c r="E110" s="116"/>
      <c r="F110" s="116"/>
      <c r="G110" s="116"/>
      <c r="H110" s="113"/>
      <c r="I110" s="121">
        <v>89.3</v>
      </c>
      <c r="J110" s="113">
        <v>4</v>
      </c>
      <c r="K110" s="113"/>
      <c r="L110" s="122">
        <v>11917</v>
      </c>
      <c r="M110" s="121">
        <v>108.50000000000006</v>
      </c>
      <c r="N110" s="121">
        <f t="shared" si="4"/>
        <v>159.65173572228451</v>
      </c>
      <c r="O110" s="122">
        <v>7139</v>
      </c>
      <c r="P110" s="121">
        <v>425.59999999999991</v>
      </c>
      <c r="Q110" s="121">
        <f t="shared" si="2"/>
        <v>626.24680851063817</v>
      </c>
      <c r="R110" s="122">
        <v>12309</v>
      </c>
      <c r="S110" s="121">
        <v>109.39999999999998</v>
      </c>
      <c r="T110" s="121">
        <f t="shared" si="3"/>
        <v>160.9760358342665</v>
      </c>
      <c r="U110" s="113"/>
      <c r="V110" s="116"/>
      <c r="W110" s="116"/>
      <c r="X110" s="116"/>
      <c r="Y110" s="116"/>
      <c r="Z110" s="113"/>
      <c r="AA110" s="113"/>
      <c r="AB110" s="113"/>
      <c r="AC110" s="113"/>
      <c r="AD110" s="113"/>
      <c r="AE110" s="113"/>
    </row>
    <row r="111" spans="1:31">
      <c r="A111" s="116">
        <v>1</v>
      </c>
      <c r="B111" s="116">
        <v>1993</v>
      </c>
      <c r="C111" s="116">
        <v>112.6</v>
      </c>
      <c r="D111" s="116">
        <v>96.5</v>
      </c>
      <c r="E111" s="116"/>
      <c r="F111" s="116"/>
      <c r="G111" s="116"/>
      <c r="H111" s="113"/>
      <c r="I111" s="121">
        <v>89.8</v>
      </c>
      <c r="J111" s="113">
        <v>1</v>
      </c>
      <c r="K111" s="113">
        <v>1993</v>
      </c>
      <c r="L111" s="122">
        <v>11275</v>
      </c>
      <c r="M111" s="121">
        <v>136.89999999999998</v>
      </c>
      <c r="N111" s="121">
        <f t="shared" si="4"/>
        <v>200.31915367483293</v>
      </c>
      <c r="O111" s="122">
        <v>6982</v>
      </c>
      <c r="P111" s="121">
        <v>449.4</v>
      </c>
      <c r="Q111" s="121">
        <f t="shared" si="2"/>
        <v>657.58530066815149</v>
      </c>
      <c r="R111" s="122">
        <v>10571</v>
      </c>
      <c r="S111" s="121">
        <v>175.5</v>
      </c>
      <c r="T111" s="121">
        <f t="shared" si="3"/>
        <v>256.80066815144767</v>
      </c>
      <c r="U111" s="113"/>
      <c r="V111" s="116"/>
      <c r="W111" s="120" t="str">
        <f>+W100</f>
        <v>2011</v>
      </c>
      <c r="X111" s="120" t="str">
        <f>+X100</f>
        <v>2012</v>
      </c>
      <c r="Y111" s="120" t="str">
        <f>+Y100</f>
        <v>2013</v>
      </c>
      <c r="Z111" s="113"/>
      <c r="AA111" s="113"/>
      <c r="AB111" s="113"/>
      <c r="AC111" s="113"/>
      <c r="AD111" s="113"/>
      <c r="AE111" s="113"/>
    </row>
    <row r="112" spans="1:31">
      <c r="A112" s="116">
        <v>2</v>
      </c>
      <c r="B112" s="116"/>
      <c r="C112" s="116">
        <f>205.6-C111</f>
        <v>93</v>
      </c>
      <c r="D112" s="116">
        <f>176.6-D111</f>
        <v>80.099999999999994</v>
      </c>
      <c r="E112" s="116"/>
      <c r="F112" s="116"/>
      <c r="G112" s="116"/>
      <c r="H112" s="113"/>
      <c r="I112" s="121">
        <v>90.8</v>
      </c>
      <c r="J112" s="113">
        <v>2</v>
      </c>
      <c r="K112" s="113"/>
      <c r="L112" s="122">
        <v>10076</v>
      </c>
      <c r="M112" s="121">
        <v>115.20000000000002</v>
      </c>
      <c r="N112" s="121">
        <f t="shared" si="4"/>
        <v>166.71013215859037</v>
      </c>
      <c r="O112" s="122">
        <v>6332</v>
      </c>
      <c r="P112" s="121">
        <v>352.9</v>
      </c>
      <c r="Q112" s="121">
        <f t="shared" si="2"/>
        <v>510.69449339207051</v>
      </c>
      <c r="R112" s="122">
        <v>12919</v>
      </c>
      <c r="S112" s="121">
        <v>191.20000000000005</v>
      </c>
      <c r="T112" s="121">
        <f t="shared" si="3"/>
        <v>276.69251101321595</v>
      </c>
      <c r="U112" s="113"/>
      <c r="V112" s="116" t="s">
        <v>175</v>
      </c>
      <c r="W112" s="125" t="e">
        <f>IF('Tab7'!C38="",+'Tab7'!C37+'Tab11'!C37+'Tab11'!#REF!,+'Tab7'!C38+'Tab11'!C38+'Tab11'!#REF!)</f>
        <v>#REF!</v>
      </c>
      <c r="X112" s="125" t="e">
        <f>IF('Tab7'!D38="",+'Tab7'!D37+'Tab11'!D37+'Tab11'!#REF!,+'Tab7'!D38+'Tab11'!D38+'Tab11'!#REF!)</f>
        <v>#REF!</v>
      </c>
      <c r="Y112" s="125" t="e">
        <f>IF('Tab7'!E38="",+'Tab7'!E37+'Tab11'!E37+'Tab11'!#REF!,+'Tab7'!E38+'Tab11'!E38+'Tab11'!#REF!)</f>
        <v>#REF!</v>
      </c>
      <c r="Z112" s="113"/>
      <c r="AA112" s="113"/>
      <c r="AB112" s="113"/>
      <c r="AC112" s="113"/>
      <c r="AD112" s="113"/>
      <c r="AE112" s="113"/>
    </row>
    <row r="113" spans="1:31">
      <c r="A113" s="116">
        <v>3</v>
      </c>
      <c r="B113" s="116"/>
      <c r="C113" s="116">
        <f>293.1-C112-C111</f>
        <v>87.500000000000028</v>
      </c>
      <c r="D113" s="116">
        <f>250.2-D112-D111</f>
        <v>73.599999999999994</v>
      </c>
      <c r="E113" s="116"/>
      <c r="F113" s="116"/>
      <c r="G113" s="116"/>
      <c r="H113" s="113"/>
      <c r="I113" s="121">
        <v>90.6</v>
      </c>
      <c r="J113" s="113">
        <v>3</v>
      </c>
      <c r="K113" s="113"/>
      <c r="L113" s="122">
        <v>11766</v>
      </c>
      <c r="M113" s="121">
        <v>132.79999999999998</v>
      </c>
      <c r="N113" s="121">
        <f t="shared" si="4"/>
        <v>192.60397350993378</v>
      </c>
      <c r="O113" s="122">
        <v>6675</v>
      </c>
      <c r="P113" s="121">
        <v>388.50000000000023</v>
      </c>
      <c r="Q113" s="121">
        <f t="shared" si="2"/>
        <v>563.45364238410627</v>
      </c>
      <c r="R113" s="122">
        <v>14800</v>
      </c>
      <c r="S113" s="121">
        <v>216.89999999999998</v>
      </c>
      <c r="T113" s="121">
        <f t="shared" si="3"/>
        <v>314.57682119205299</v>
      </c>
      <c r="U113" s="113"/>
      <c r="V113" s="116" t="s">
        <v>86</v>
      </c>
      <c r="W113" s="125">
        <f>IF('Tab7'!C40="",+'Tab7'!C39+'Tab11'!C39,+'Tab7'!C40+'Tab11'!C40)</f>
        <v>2752.6507380689268</v>
      </c>
      <c r="X113" s="125">
        <f>IF('Tab7'!D40="",+'Tab7'!D39+'Tab11'!D39,+'Tab7'!D40+'Tab11'!D40)</f>
        <v>2369.3598134586759</v>
      </c>
      <c r="Y113" s="125">
        <f>IF('Tab7'!E40="",+'Tab7'!E39+'Tab11'!E39,+'Tab7'!E40+'Tab11'!E40)</f>
        <v>2770.1880581445903</v>
      </c>
      <c r="Z113" s="113"/>
      <c r="AA113" s="113"/>
      <c r="AB113" s="113"/>
      <c r="AC113" s="113"/>
      <c r="AD113" s="113"/>
      <c r="AE113" s="113"/>
    </row>
    <row r="114" spans="1:31">
      <c r="A114" s="116">
        <v>4</v>
      </c>
      <c r="B114" s="116"/>
      <c r="C114" s="116">
        <f>413.2-C113-C112-C111</f>
        <v>120.09999999999994</v>
      </c>
      <c r="D114" s="116">
        <f>356.8-D113-D112-D111</f>
        <v>106.60000000000005</v>
      </c>
      <c r="E114" s="116"/>
      <c r="F114" s="116"/>
      <c r="G114" s="116"/>
      <c r="H114" s="113"/>
      <c r="I114" s="121">
        <v>91</v>
      </c>
      <c r="J114" s="113">
        <v>4</v>
      </c>
      <c r="K114" s="113"/>
      <c r="L114" s="122">
        <v>12707</v>
      </c>
      <c r="M114" s="121">
        <v>157.79999999999995</v>
      </c>
      <c r="N114" s="121">
        <f t="shared" si="4"/>
        <v>227.85626373626366</v>
      </c>
      <c r="O114" s="122">
        <v>6319</v>
      </c>
      <c r="P114" s="121">
        <v>466.99999999999977</v>
      </c>
      <c r="Q114" s="121">
        <f t="shared" si="2"/>
        <v>674.32747252747231</v>
      </c>
      <c r="R114" s="122">
        <v>11391</v>
      </c>
      <c r="S114" s="121">
        <v>164.5</v>
      </c>
      <c r="T114" s="121">
        <f t="shared" si="3"/>
        <v>237.53076923076924</v>
      </c>
      <c r="U114" s="113"/>
      <c r="V114" s="116" t="s">
        <v>63</v>
      </c>
      <c r="W114" s="125">
        <f>IF('Tab7'!C42="",+'Tab7'!C41+'Tab11'!C41,+'Tab7'!C42+'Tab11'!C42)</f>
        <v>521.58573141160502</v>
      </c>
      <c r="X114" s="125">
        <f>IF('Tab7'!D42="",+'Tab7'!D41+'Tab11'!D41,+'Tab7'!D42+'Tab11'!D42)</f>
        <v>549.97371188519605</v>
      </c>
      <c r="Y114" s="125">
        <f>IF('Tab7'!E42="",+'Tab7'!E41+'Tab11'!E41,+'Tab7'!E42+'Tab11'!E42)</f>
        <v>516.43314093947504</v>
      </c>
      <c r="Z114" s="113"/>
      <c r="AA114" s="113"/>
      <c r="AB114" s="113"/>
      <c r="AC114" s="113"/>
      <c r="AD114" s="113"/>
      <c r="AE114" s="113"/>
    </row>
    <row r="115" spans="1:31">
      <c r="A115" s="116">
        <v>1</v>
      </c>
      <c r="B115" s="116">
        <v>1994</v>
      </c>
      <c r="C115" s="116">
        <v>138.4</v>
      </c>
      <c r="D115" s="116">
        <v>120</v>
      </c>
      <c r="E115" s="116"/>
      <c r="F115" s="116"/>
      <c r="G115" s="116"/>
      <c r="H115" s="113"/>
      <c r="I115" s="121">
        <v>91</v>
      </c>
      <c r="J115" s="113">
        <v>1</v>
      </c>
      <c r="K115" s="113">
        <v>1994</v>
      </c>
      <c r="L115" s="122">
        <v>15224</v>
      </c>
      <c r="M115" s="121">
        <v>189</v>
      </c>
      <c r="N115" s="121">
        <f t="shared" si="4"/>
        <v>272.90769230769234</v>
      </c>
      <c r="O115" s="122">
        <v>6291</v>
      </c>
      <c r="P115" s="121">
        <v>427.6</v>
      </c>
      <c r="Q115" s="121">
        <f t="shared" si="2"/>
        <v>617.4356043956044</v>
      </c>
      <c r="R115" s="122">
        <v>8795</v>
      </c>
      <c r="S115" s="121">
        <v>161.69999999999999</v>
      </c>
      <c r="T115" s="121">
        <f t="shared" si="3"/>
        <v>233.4876923076923</v>
      </c>
      <c r="U115" s="113"/>
      <c r="V115" s="116" t="s">
        <v>14</v>
      </c>
      <c r="W115" s="128" t="e">
        <f>+W117-SUM(W112:W114)</f>
        <v>#REF!</v>
      </c>
      <c r="X115" s="128" t="e">
        <f>+X117-SUM(X112:X114)</f>
        <v>#REF!</v>
      </c>
      <c r="Y115" s="128" t="e">
        <f>+Y117-SUM(Y112:Y114)</f>
        <v>#REF!</v>
      </c>
      <c r="Z115" s="113"/>
      <c r="AA115" s="113"/>
      <c r="AB115" s="113"/>
      <c r="AC115" s="113"/>
      <c r="AD115" s="113"/>
      <c r="AE115" s="113"/>
    </row>
    <row r="116" spans="1:31">
      <c r="A116" s="116">
        <v>2</v>
      </c>
      <c r="B116" s="116"/>
      <c r="C116" s="116">
        <f>252.9-C115</f>
        <v>114.5</v>
      </c>
      <c r="D116" s="116">
        <f>218.1-D115</f>
        <v>98.1</v>
      </c>
      <c r="E116" s="116"/>
      <c r="F116" s="116"/>
      <c r="G116" s="116"/>
      <c r="H116" s="113"/>
      <c r="I116" s="121">
        <v>91.7</v>
      </c>
      <c r="J116" s="113">
        <v>2</v>
      </c>
      <c r="K116" s="113"/>
      <c r="L116" s="122">
        <v>13585</v>
      </c>
      <c r="M116" s="121">
        <v>166.5</v>
      </c>
      <c r="N116" s="121">
        <f t="shared" si="4"/>
        <v>238.58342420937842</v>
      </c>
      <c r="O116" s="122">
        <v>5517</v>
      </c>
      <c r="P116" s="121">
        <v>494.30000000000007</v>
      </c>
      <c r="Q116" s="121">
        <f t="shared" si="2"/>
        <v>708.29901853871331</v>
      </c>
      <c r="R116" s="122">
        <v>13449</v>
      </c>
      <c r="S116" s="121">
        <v>196.2</v>
      </c>
      <c r="T116" s="121">
        <f t="shared" si="3"/>
        <v>281.14154852780808</v>
      </c>
      <c r="U116" s="113"/>
      <c r="V116" s="116"/>
      <c r="W116" s="125"/>
      <c r="X116" s="125"/>
      <c r="Y116" s="125"/>
      <c r="Z116" s="113"/>
      <c r="AA116" s="113"/>
      <c r="AB116" s="113"/>
      <c r="AC116" s="113"/>
      <c r="AD116" s="113"/>
      <c r="AE116" s="113"/>
    </row>
    <row r="117" spans="1:31">
      <c r="A117" s="116">
        <v>3</v>
      </c>
      <c r="B117" s="116"/>
      <c r="C117" s="116">
        <f>365.7-C115-C116</f>
        <v>112.79999999999998</v>
      </c>
      <c r="D117" s="116">
        <f>316.9-D115-D116</f>
        <v>98.799999999999983</v>
      </c>
      <c r="E117" s="116"/>
      <c r="F117" s="116"/>
      <c r="G117" s="116"/>
      <c r="H117" s="113"/>
      <c r="I117" s="121">
        <v>92.1</v>
      </c>
      <c r="J117" s="113">
        <v>3</v>
      </c>
      <c r="K117" s="113"/>
      <c r="L117" s="122">
        <v>13956</v>
      </c>
      <c r="M117" s="121">
        <v>169.89999999999998</v>
      </c>
      <c r="N117" s="121">
        <f t="shared" si="4"/>
        <v>242.39804560260586</v>
      </c>
      <c r="O117" s="122">
        <v>8952</v>
      </c>
      <c r="P117" s="121">
        <v>425.5</v>
      </c>
      <c r="Q117" s="121">
        <f t="shared" si="2"/>
        <v>607.06514657980472</v>
      </c>
      <c r="R117" s="122">
        <v>15669</v>
      </c>
      <c r="S117" s="121">
        <v>219.80000000000007</v>
      </c>
      <c r="T117" s="121">
        <f t="shared" si="3"/>
        <v>313.5908794788275</v>
      </c>
      <c r="U117" s="113"/>
      <c r="V117" s="116" t="s">
        <v>87</v>
      </c>
      <c r="W117" s="125">
        <f>IF('Tab7'!C36="",+'Tab7'!C35+'Tab11'!C35,+'Tab7'!C36+'Tab11'!C36)</f>
        <v>9774.2160981738198</v>
      </c>
      <c r="X117" s="125">
        <f>IF('Tab7'!D36="",+'Tab7'!D35+'Tab11'!D35,+'Tab7'!D36+'Tab11'!D36)</f>
        <v>7844.0520939175094</v>
      </c>
      <c r="Y117" s="125">
        <f>IF('Tab7'!E36="",+'Tab7'!E35+'Tab11'!E35,+'Tab7'!E36+'Tab11'!E36)</f>
        <v>8473.1787638122405</v>
      </c>
      <c r="Z117" s="113"/>
      <c r="AA117" s="113"/>
      <c r="AB117" s="113"/>
      <c r="AC117" s="113"/>
      <c r="AD117" s="113"/>
      <c r="AE117" s="113"/>
    </row>
    <row r="118" spans="1:31">
      <c r="A118" s="116">
        <v>4</v>
      </c>
      <c r="B118" s="116"/>
      <c r="C118" s="116">
        <f>480.2-C115-C116-C117</f>
        <v>114.49999999999997</v>
      </c>
      <c r="D118" s="116">
        <f>417.1-D115-D116-D117</f>
        <v>100.20000000000005</v>
      </c>
      <c r="E118" s="116"/>
      <c r="F118" s="116"/>
      <c r="G118" s="116"/>
      <c r="H118" s="113"/>
      <c r="I118" s="121">
        <v>92.6</v>
      </c>
      <c r="J118" s="113">
        <v>4</v>
      </c>
      <c r="K118" s="113"/>
      <c r="L118" s="122">
        <v>14006</v>
      </c>
      <c r="M118" s="121">
        <v>140.80000000000007</v>
      </c>
      <c r="N118" s="121">
        <f t="shared" si="4"/>
        <v>199.79611231101524</v>
      </c>
      <c r="O118" s="122">
        <v>8189</v>
      </c>
      <c r="P118" s="121">
        <v>390.59999999999991</v>
      </c>
      <c r="Q118" s="121">
        <f t="shared" si="2"/>
        <v>554.26393088552913</v>
      </c>
      <c r="R118" s="122">
        <v>14139</v>
      </c>
      <c r="S118" s="121">
        <v>214.39999999999998</v>
      </c>
      <c r="T118" s="121">
        <f t="shared" si="3"/>
        <v>304.23498920086394</v>
      </c>
      <c r="U118" s="113"/>
      <c r="V118" s="116"/>
      <c r="W118" s="113"/>
      <c r="X118" s="116"/>
      <c r="Y118" s="113"/>
      <c r="Z118" s="113"/>
      <c r="AA118" s="113"/>
      <c r="AB118" s="113"/>
      <c r="AC118" s="113"/>
      <c r="AD118" s="113"/>
      <c r="AE118" s="113"/>
    </row>
    <row r="119" spans="1:31">
      <c r="A119" s="116">
        <v>1</v>
      </c>
      <c r="B119" s="116">
        <v>1995</v>
      </c>
      <c r="C119" s="116">
        <v>137.19999999999999</v>
      </c>
      <c r="D119" s="116">
        <v>119.3</v>
      </c>
      <c r="E119" s="116"/>
      <c r="F119" s="116"/>
      <c r="G119" s="116"/>
      <c r="H119" s="113"/>
      <c r="I119" s="121">
        <v>93.4</v>
      </c>
      <c r="J119" s="113">
        <v>1</v>
      </c>
      <c r="K119" s="113">
        <v>1995</v>
      </c>
      <c r="L119" s="122">
        <v>13188</v>
      </c>
      <c r="M119" s="121">
        <v>171.1</v>
      </c>
      <c r="N119" s="121">
        <f t="shared" si="4"/>
        <v>240.71241970021413</v>
      </c>
      <c r="O119" s="122">
        <v>7699</v>
      </c>
      <c r="P119" s="121">
        <v>543</v>
      </c>
      <c r="Q119" s="121">
        <f t="shared" si="2"/>
        <v>763.92077087794439</v>
      </c>
      <c r="R119" s="122">
        <v>11007</v>
      </c>
      <c r="S119" s="121">
        <v>183.1</v>
      </c>
      <c r="T119" s="121">
        <f t="shared" si="3"/>
        <v>257.59464668094216</v>
      </c>
      <c r="U119" s="113"/>
      <c r="V119" s="115" t="s">
        <v>184</v>
      </c>
      <c r="W119" s="113"/>
      <c r="X119" s="113"/>
      <c r="Y119" s="113"/>
      <c r="Z119" s="113"/>
      <c r="AA119" s="113"/>
      <c r="AB119" s="113"/>
      <c r="AC119" s="113"/>
      <c r="AD119" s="113"/>
      <c r="AE119" s="113"/>
    </row>
    <row r="120" spans="1:31">
      <c r="A120" s="116">
        <v>2</v>
      </c>
      <c r="B120" s="116"/>
      <c r="C120" s="116">
        <f>248.2-C119</f>
        <v>111</v>
      </c>
      <c r="D120" s="116">
        <f>214.7-D119</f>
        <v>95.399999999999991</v>
      </c>
      <c r="E120" s="116"/>
      <c r="F120" s="116"/>
      <c r="G120" s="116"/>
      <c r="H120" s="113"/>
      <c r="I120" s="121">
        <v>94.1</v>
      </c>
      <c r="J120" s="113">
        <v>2</v>
      </c>
      <c r="K120" s="113"/>
      <c r="L120" s="122">
        <v>11077</v>
      </c>
      <c r="M120" s="121">
        <v>148.30000000000004</v>
      </c>
      <c r="N120" s="121">
        <f t="shared" si="4"/>
        <v>207.08416578108404</v>
      </c>
      <c r="O120" s="122">
        <v>5465</v>
      </c>
      <c r="P120" s="121">
        <v>462.40000000000009</v>
      </c>
      <c r="Q120" s="121">
        <f t="shared" si="2"/>
        <v>645.68926673751344</v>
      </c>
      <c r="R120" s="122">
        <v>13915</v>
      </c>
      <c r="S120" s="121">
        <v>213.4</v>
      </c>
      <c r="T120" s="121">
        <f t="shared" si="3"/>
        <v>297.98894792773649</v>
      </c>
      <c r="U120" s="113"/>
      <c r="V120" s="113"/>
      <c r="W120" s="113"/>
      <c r="X120" s="113"/>
      <c r="Y120" s="113"/>
      <c r="Z120" s="113"/>
      <c r="AA120" s="113"/>
      <c r="AB120" s="113"/>
      <c r="AC120" s="113"/>
      <c r="AD120" s="113"/>
      <c r="AE120" s="113"/>
    </row>
    <row r="121" spans="1:31">
      <c r="A121" s="116">
        <v>3</v>
      </c>
      <c r="B121" s="116"/>
      <c r="C121" s="116">
        <f>364.1-C119-C120</f>
        <v>115.90000000000003</v>
      </c>
      <c r="D121" s="116">
        <f>315.7-D119-D120</f>
        <v>100.99999999999999</v>
      </c>
      <c r="E121" s="116"/>
      <c r="F121" s="116"/>
      <c r="G121" s="116"/>
      <c r="H121" s="113"/>
      <c r="I121" s="121">
        <v>94.1</v>
      </c>
      <c r="J121" s="113">
        <v>3</v>
      </c>
      <c r="K121" s="113"/>
      <c r="L121" s="122">
        <v>13937</v>
      </c>
      <c r="M121" s="121">
        <v>180.19999999999993</v>
      </c>
      <c r="N121" s="121">
        <f t="shared" si="4"/>
        <v>251.62890541976614</v>
      </c>
      <c r="O121" s="122">
        <v>9139</v>
      </c>
      <c r="P121" s="121">
        <v>487.89999999999986</v>
      </c>
      <c r="Q121" s="121">
        <f t="shared" si="2"/>
        <v>681.29713071200831</v>
      </c>
      <c r="R121" s="122">
        <v>17436</v>
      </c>
      <c r="S121" s="121">
        <v>224.09999999999991</v>
      </c>
      <c r="T121" s="121">
        <f t="shared" si="3"/>
        <v>312.93028692879903</v>
      </c>
      <c r="U121" s="113"/>
      <c r="V121" s="116"/>
      <c r="W121" s="120" t="str">
        <f>+'Tab3'!C6</f>
        <v>2011</v>
      </c>
      <c r="X121" s="120" t="str">
        <f>+'Tab3'!D6</f>
        <v>2012</v>
      </c>
      <c r="Y121" s="120" t="str">
        <f>+'Tab3'!E6</f>
        <v>2013</v>
      </c>
      <c r="Z121" s="113"/>
      <c r="AA121" s="113"/>
      <c r="AB121" s="113"/>
      <c r="AC121" s="113"/>
      <c r="AD121" s="113"/>
      <c r="AE121" s="113"/>
    </row>
    <row r="122" spans="1:31">
      <c r="A122" s="116">
        <v>4</v>
      </c>
      <c r="B122" s="116"/>
      <c r="C122" s="116">
        <f>482.9-C119-C120-C121</f>
        <v>118.79999999999995</v>
      </c>
      <c r="D122" s="116">
        <f>420.1-D119-D120-D121</f>
        <v>104.40000000000005</v>
      </c>
      <c r="E122" s="116"/>
      <c r="F122" s="116"/>
      <c r="G122" s="116"/>
      <c r="H122" s="113"/>
      <c r="I122" s="121">
        <v>94.6</v>
      </c>
      <c r="J122" s="113">
        <v>4</v>
      </c>
      <c r="K122" s="113"/>
      <c r="L122" s="122">
        <v>13920</v>
      </c>
      <c r="M122" s="121">
        <v>172.00000000000006</v>
      </c>
      <c r="N122" s="121">
        <f t="shared" si="4"/>
        <v>238.90909090909099</v>
      </c>
      <c r="O122" s="122">
        <v>7500</v>
      </c>
      <c r="P122" s="121">
        <v>369.89999999999986</v>
      </c>
      <c r="Q122" s="121">
        <f t="shared" si="2"/>
        <v>513.79344608879478</v>
      </c>
      <c r="R122" s="122">
        <v>15130</v>
      </c>
      <c r="S122" s="121">
        <v>206.30000000000018</v>
      </c>
      <c r="T122" s="121">
        <f t="shared" si="3"/>
        <v>286.55200845665991</v>
      </c>
      <c r="U122" s="113"/>
      <c r="V122" s="116" t="s">
        <v>10</v>
      </c>
      <c r="W122" s="120">
        <f>IF('Tab3'!C22="",'Tab3'!C23,'Tab3'!C24)</f>
        <v>206568</v>
      </c>
      <c r="X122" s="120">
        <f>IF('Tab3'!D22="",'Tab3'!D23,'Tab3'!D24)</f>
        <v>220772.454545455</v>
      </c>
      <c r="Y122" s="120">
        <f>IF('Tab3'!E22="",'Tab3'!E23,'Tab3'!E24)</f>
        <v>231444.56730769199</v>
      </c>
      <c r="Z122" s="113"/>
      <c r="AA122" s="113"/>
      <c r="AB122" s="113"/>
      <c r="AC122" s="113"/>
      <c r="AD122" s="113"/>
      <c r="AE122" s="113"/>
    </row>
    <row r="123" spans="1:31">
      <c r="A123" s="116">
        <v>1</v>
      </c>
      <c r="B123" s="116">
        <v>1996</v>
      </c>
      <c r="C123" s="116">
        <v>143.9</v>
      </c>
      <c r="D123" s="116">
        <v>126.9</v>
      </c>
      <c r="E123" s="116"/>
      <c r="F123" s="116"/>
      <c r="G123" s="116"/>
      <c r="H123" s="113"/>
      <c r="I123" s="121">
        <v>94.2</v>
      </c>
      <c r="J123" s="113">
        <v>1</v>
      </c>
      <c r="K123" s="113">
        <v>1996</v>
      </c>
      <c r="L123" s="122">
        <v>29850</v>
      </c>
      <c r="M123" s="121">
        <v>375.59999999999997</v>
      </c>
      <c r="N123" s="121">
        <f t="shared" si="4"/>
        <v>523.92611464968149</v>
      </c>
      <c r="O123" s="122">
        <v>7239</v>
      </c>
      <c r="P123" s="121">
        <v>479.9</v>
      </c>
      <c r="Q123" s="121">
        <f t="shared" si="2"/>
        <v>669.41464968152866</v>
      </c>
      <c r="R123" s="122">
        <v>11785</v>
      </c>
      <c r="S123" s="121">
        <v>198.60000000000002</v>
      </c>
      <c r="T123" s="121">
        <f t="shared" si="3"/>
        <v>277.02802547770705</v>
      </c>
      <c r="U123" s="113"/>
      <c r="V123" s="113" t="s">
        <v>113</v>
      </c>
      <c r="W123" s="120">
        <f>IF('Tab9'!C8="",'Tab9'!C7,'Tab9'!C8)</f>
        <v>85229</v>
      </c>
      <c r="X123" s="120">
        <f>IF('Tab9'!D8="",'Tab9'!D7,'Tab9'!D8)</f>
        <v>75898.022857142903</v>
      </c>
      <c r="Y123" s="120">
        <f>IF('Tab9'!E8="",'Tab9'!E7,'Tab9'!E8)</f>
        <v>79751</v>
      </c>
      <c r="Z123" s="113"/>
      <c r="AA123" s="113"/>
      <c r="AB123" s="113"/>
      <c r="AC123" s="113"/>
      <c r="AD123" s="113"/>
      <c r="AE123" s="113"/>
    </row>
    <row r="124" spans="1:31">
      <c r="A124" s="116">
        <v>2</v>
      </c>
      <c r="B124" s="116"/>
      <c r="C124" s="116">
        <f>275.5-C123</f>
        <v>131.6</v>
      </c>
      <c r="D124" s="116">
        <f>242.6-D123</f>
        <v>115.69999999999999</v>
      </c>
      <c r="E124" s="116"/>
      <c r="F124" s="116"/>
      <c r="G124" s="116"/>
      <c r="H124" s="113"/>
      <c r="I124" s="121">
        <v>95.1</v>
      </c>
      <c r="J124" s="113">
        <v>2</v>
      </c>
      <c r="K124" s="113"/>
      <c r="L124" s="122">
        <v>17799</v>
      </c>
      <c r="M124" s="121">
        <v>234.8</v>
      </c>
      <c r="N124" s="121">
        <f t="shared" si="4"/>
        <v>324.42397476340699</v>
      </c>
      <c r="O124" s="122">
        <v>6503</v>
      </c>
      <c r="P124" s="121">
        <v>585.30000000000007</v>
      </c>
      <c r="Q124" s="121">
        <f t="shared" si="2"/>
        <v>808.71104100946388</v>
      </c>
      <c r="R124" s="122">
        <v>14642</v>
      </c>
      <c r="S124" s="121">
        <v>220.09999999999997</v>
      </c>
      <c r="T124" s="121">
        <f t="shared" si="3"/>
        <v>304.1129337539432</v>
      </c>
      <c r="U124" s="113"/>
      <c r="V124" s="113" t="s">
        <v>112</v>
      </c>
      <c r="W124" s="120">
        <f>IF('Tab8'!C8="",'Tab8'!C7,'Tab8'!C8)</f>
        <v>94424</v>
      </c>
      <c r="X124" s="120">
        <f>IF('Tab8'!D8="",'Tab8'!D7,'Tab8'!D8)</f>
        <v>83319.354285714304</v>
      </c>
      <c r="Y124" s="120">
        <f>IF('Tab8'!E8="",'Tab8'!E7,'Tab8'!E8)</f>
        <v>83488</v>
      </c>
      <c r="Z124" s="113"/>
      <c r="AA124" s="113"/>
      <c r="AB124" s="113"/>
      <c r="AC124" s="113"/>
      <c r="AD124" s="113"/>
      <c r="AE124" s="113"/>
    </row>
    <row r="125" spans="1:31">
      <c r="A125" s="116">
        <v>3</v>
      </c>
      <c r="B125" s="116"/>
      <c r="C125" s="116">
        <f>387.5-C123-C124</f>
        <v>112</v>
      </c>
      <c r="D125" s="116">
        <f>339.3-D123-D124</f>
        <v>96.700000000000017</v>
      </c>
      <c r="E125" s="116"/>
      <c r="F125" s="116"/>
      <c r="G125" s="116"/>
      <c r="H125" s="113"/>
      <c r="I125" s="121">
        <v>95.5</v>
      </c>
      <c r="J125" s="113">
        <v>3</v>
      </c>
      <c r="K125" s="113"/>
      <c r="L125" s="122">
        <v>16263</v>
      </c>
      <c r="M125" s="121">
        <v>240.00000000000011</v>
      </c>
      <c r="N125" s="121">
        <f t="shared" si="4"/>
        <v>330.21989528795831</v>
      </c>
      <c r="O125" s="122">
        <v>8934</v>
      </c>
      <c r="P125" s="121">
        <v>581.89999999999986</v>
      </c>
      <c r="Q125" s="121">
        <f t="shared" si="2"/>
        <v>800.64565445026165</v>
      </c>
      <c r="R125" s="122">
        <v>17198</v>
      </c>
      <c r="S125" s="121">
        <v>233.2</v>
      </c>
      <c r="T125" s="121">
        <f t="shared" si="3"/>
        <v>320.86366492146595</v>
      </c>
      <c r="U125" s="113"/>
      <c r="V125" s="116" t="s">
        <v>173</v>
      </c>
      <c r="W125" s="120">
        <f>IF('Tab3'!C16="",'Tab3'!C15,'Tab3'!C16)</f>
        <v>35634</v>
      </c>
      <c r="X125" s="120">
        <f>IF('Tab3'!D16="",'Tab3'!D15,'Tab3'!D16)</f>
        <v>29692.207820197</v>
      </c>
      <c r="Y125" s="120">
        <f>IF('Tab3'!E16="",'Tab3'!E15,'Tab3'!E16)</f>
        <v>37080.468705207801</v>
      </c>
      <c r="Z125" s="113"/>
      <c r="AA125" s="113"/>
      <c r="AB125" s="113"/>
      <c r="AC125" s="113"/>
      <c r="AD125" s="113"/>
      <c r="AE125" s="113"/>
    </row>
    <row r="126" spans="1:31">
      <c r="A126" s="116">
        <v>4</v>
      </c>
      <c r="B126" s="116"/>
      <c r="C126" s="116">
        <f>520-C123-C124-C125</f>
        <v>132.50000000000003</v>
      </c>
      <c r="D126" s="116">
        <f>452.4-D123-D124-D125</f>
        <v>113.1</v>
      </c>
      <c r="E126" s="116"/>
      <c r="F126" s="116"/>
      <c r="G126" s="116"/>
      <c r="H126" s="113"/>
      <c r="I126" s="121">
        <v>96.3</v>
      </c>
      <c r="J126" s="113">
        <v>4</v>
      </c>
      <c r="K126" s="113"/>
      <c r="L126" s="122">
        <v>16638</v>
      </c>
      <c r="M126" s="121">
        <v>233.40000000000009</v>
      </c>
      <c r="N126" s="121">
        <f t="shared" si="4"/>
        <v>318.47102803738329</v>
      </c>
      <c r="O126" s="122">
        <v>7966</v>
      </c>
      <c r="P126" s="121">
        <v>665.80000000000018</v>
      </c>
      <c r="Q126" s="121">
        <f t="shared" si="2"/>
        <v>908.47476635514056</v>
      </c>
      <c r="R126" s="122">
        <v>13841</v>
      </c>
      <c r="S126" s="121">
        <v>188.00000000000011</v>
      </c>
      <c r="T126" s="121">
        <f t="shared" si="3"/>
        <v>256.52336448598146</v>
      </c>
      <c r="U126" s="113"/>
      <c r="V126" s="113"/>
      <c r="W126" s="113"/>
      <c r="X126" s="113"/>
      <c r="Y126" s="113"/>
      <c r="Z126" s="113"/>
      <c r="AA126" s="113"/>
      <c r="AB126" s="113"/>
      <c r="AC126" s="113"/>
      <c r="AD126" s="113"/>
      <c r="AE126" s="113"/>
    </row>
    <row r="127" spans="1:31">
      <c r="A127" s="116">
        <v>1</v>
      </c>
      <c r="B127" s="116">
        <v>1997</v>
      </c>
      <c r="C127" s="116">
        <v>142.6</v>
      </c>
      <c r="D127" s="116">
        <v>124.8</v>
      </c>
      <c r="E127" s="116"/>
      <c r="F127" s="116"/>
      <c r="G127" s="116"/>
      <c r="H127" s="113"/>
      <c r="I127" s="121">
        <v>97.3</v>
      </c>
      <c r="J127" s="113">
        <v>1</v>
      </c>
      <c r="K127" s="113">
        <v>1997</v>
      </c>
      <c r="L127" s="122">
        <v>17837</v>
      </c>
      <c r="M127" s="121">
        <v>255.29999999999998</v>
      </c>
      <c r="N127" s="121">
        <f t="shared" si="4"/>
        <v>344.7730729701953</v>
      </c>
      <c r="O127" s="122">
        <v>7574</v>
      </c>
      <c r="P127" s="121">
        <v>625.70000000000005</v>
      </c>
      <c r="Q127" s="121">
        <f t="shared" si="2"/>
        <v>844.98437821171638</v>
      </c>
      <c r="R127" s="122">
        <v>10571</v>
      </c>
      <c r="S127" s="121">
        <v>187.8</v>
      </c>
      <c r="T127" s="121">
        <f t="shared" si="3"/>
        <v>253.61685508735872</v>
      </c>
      <c r="U127" s="113"/>
      <c r="V127" s="115" t="s">
        <v>185</v>
      </c>
      <c r="W127" s="113"/>
      <c r="X127" s="113"/>
      <c r="Y127" s="113"/>
      <c r="Z127" s="113"/>
      <c r="AA127" s="113"/>
      <c r="AB127" s="113"/>
      <c r="AC127" s="113"/>
      <c r="AD127" s="113"/>
      <c r="AE127" s="113"/>
    </row>
    <row r="128" spans="1:31">
      <c r="A128" s="116">
        <v>2</v>
      </c>
      <c r="B128" s="116"/>
      <c r="C128" s="116">
        <f>284.4-C127</f>
        <v>141.79999999999998</v>
      </c>
      <c r="D128" s="116">
        <f>247.3-D127</f>
        <v>122.50000000000001</v>
      </c>
      <c r="E128" s="116"/>
      <c r="F128" s="116"/>
      <c r="G128" s="116"/>
      <c r="H128" s="113"/>
      <c r="I128" s="121">
        <v>97.7</v>
      </c>
      <c r="J128" s="113">
        <v>2</v>
      </c>
      <c r="K128" s="113"/>
      <c r="L128" s="122">
        <v>16872</v>
      </c>
      <c r="M128" s="121">
        <v>281.30000000000007</v>
      </c>
      <c r="N128" s="121">
        <f t="shared" si="4"/>
        <v>378.3297850562949</v>
      </c>
      <c r="O128" s="122">
        <v>7284</v>
      </c>
      <c r="P128" s="121">
        <v>664.39999999999986</v>
      </c>
      <c r="Q128" s="121">
        <f t="shared" si="2"/>
        <v>893.57379733879202</v>
      </c>
      <c r="R128" s="122">
        <v>14837</v>
      </c>
      <c r="S128" s="121">
        <v>224.59999999999997</v>
      </c>
      <c r="T128" s="121">
        <f t="shared" si="3"/>
        <v>302.07205731832136</v>
      </c>
      <c r="U128" s="113"/>
      <c r="V128" s="113"/>
      <c r="W128" s="120" t="str">
        <f>+'Tab3'!C6</f>
        <v>2011</v>
      </c>
      <c r="X128" s="120" t="str">
        <f>+'Tab3'!D6</f>
        <v>2012</v>
      </c>
      <c r="Y128" s="120" t="str">
        <f>+'Tab3'!E6</f>
        <v>2013</v>
      </c>
      <c r="Z128" s="113"/>
      <c r="AA128" s="113"/>
      <c r="AB128" s="113"/>
      <c r="AC128" s="113"/>
      <c r="AD128" s="113"/>
      <c r="AE128" s="113"/>
    </row>
    <row r="129" spans="1:31">
      <c r="A129" s="116">
        <v>3</v>
      </c>
      <c r="B129" s="116"/>
      <c r="C129" s="116">
        <f>419.8-C127-C128</f>
        <v>135.40000000000006</v>
      </c>
      <c r="D129" s="116">
        <f>364.6-D127-D128</f>
        <v>117.3</v>
      </c>
      <c r="E129" s="116"/>
      <c r="F129" s="116" t="s">
        <v>74</v>
      </c>
      <c r="G129" s="116"/>
      <c r="H129" s="113"/>
      <c r="I129" s="121">
        <v>97.7</v>
      </c>
      <c r="J129" s="113">
        <v>3</v>
      </c>
      <c r="K129" s="113"/>
      <c r="L129" s="122">
        <v>17873</v>
      </c>
      <c r="M129" s="121">
        <v>297.89999999999998</v>
      </c>
      <c r="N129" s="121">
        <f t="shared" si="4"/>
        <v>400.65568065506653</v>
      </c>
      <c r="O129" s="122">
        <v>14581</v>
      </c>
      <c r="P129" s="121">
        <v>720.30000000000018</v>
      </c>
      <c r="Q129" s="121">
        <f t="shared" si="2"/>
        <v>968.75557830092146</v>
      </c>
      <c r="R129" s="122">
        <v>15670</v>
      </c>
      <c r="S129" s="121">
        <v>198.80000000000007</v>
      </c>
      <c r="T129" s="121">
        <f t="shared" si="3"/>
        <v>267.37277379733888</v>
      </c>
      <c r="U129" s="113"/>
      <c r="V129" s="116" t="s">
        <v>11</v>
      </c>
      <c r="W129" s="120">
        <f>IF('Tab3'!C24="",'Tab3'!C25,'Tab3'!C26)</f>
        <v>7349</v>
      </c>
      <c r="X129" s="120">
        <f>IF('Tab3'!D24="",'Tab3'!D25,'Tab3'!D26)</f>
        <v>7393.6223776223796</v>
      </c>
      <c r="Y129" s="120">
        <f>IF('Tab3'!E24="",'Tab3'!E25,'Tab3'!E26)</f>
        <v>6629</v>
      </c>
      <c r="Z129" s="113"/>
      <c r="AA129" s="113"/>
      <c r="AB129" s="113"/>
      <c r="AC129" s="113"/>
      <c r="AD129" s="113"/>
      <c r="AE129" s="113"/>
    </row>
    <row r="130" spans="1:31">
      <c r="A130" s="116">
        <v>4</v>
      </c>
      <c r="B130" s="116"/>
      <c r="C130" s="116">
        <f>550.4-C127-C128-C129</f>
        <v>130.59999999999994</v>
      </c>
      <c r="D130" s="116">
        <f>478.3-D127-D128-D129</f>
        <v>113.7</v>
      </c>
      <c r="E130" s="116"/>
      <c r="F130" s="116"/>
      <c r="G130" s="116"/>
      <c r="H130" s="113"/>
      <c r="I130" s="121">
        <v>98.4</v>
      </c>
      <c r="J130" s="113">
        <v>4</v>
      </c>
      <c r="K130" s="113"/>
      <c r="L130" s="122">
        <v>15493</v>
      </c>
      <c r="M130" s="121">
        <v>267.70000000000005</v>
      </c>
      <c r="N130" s="121">
        <f t="shared" si="4"/>
        <v>357.47743902439026</v>
      </c>
      <c r="O130" s="122">
        <v>9445</v>
      </c>
      <c r="P130" s="121">
        <v>564</v>
      </c>
      <c r="Q130" s="121">
        <f t="shared" si="2"/>
        <v>753.14634146341461</v>
      </c>
      <c r="R130" s="122">
        <v>13087</v>
      </c>
      <c r="S130" s="121">
        <v>185.09999999999991</v>
      </c>
      <c r="T130" s="121">
        <f t="shared" si="3"/>
        <v>247.17621951219499</v>
      </c>
      <c r="U130" s="113"/>
      <c r="V130" s="116" t="s">
        <v>12</v>
      </c>
      <c r="W130" s="120">
        <f>IF('Tab3'!C26="",'Tab3'!C27,'Tab3'!C28)</f>
        <v>4615</v>
      </c>
      <c r="X130" s="120">
        <f>IF('Tab3'!D26="",'Tab3'!D27,'Tab3'!D28)</f>
        <v>4587.7753846153801</v>
      </c>
      <c r="Y130" s="120">
        <f>IF('Tab3'!E26="",'Tab3'!E27,'Tab3'!E28)</f>
        <v>5540.2820000000002</v>
      </c>
      <c r="Z130" s="113"/>
      <c r="AA130" s="113"/>
      <c r="AB130" s="113"/>
      <c r="AC130" s="113"/>
      <c r="AD130" s="113"/>
      <c r="AE130" s="113"/>
    </row>
    <row r="131" spans="1:31">
      <c r="A131" s="116">
        <v>1</v>
      </c>
      <c r="B131" s="116">
        <v>1998</v>
      </c>
      <c r="C131" s="116">
        <v>150</v>
      </c>
      <c r="D131" s="116">
        <v>131.9</v>
      </c>
      <c r="E131" s="116"/>
      <c r="F131" s="116" t="s">
        <v>78</v>
      </c>
      <c r="G131" s="116"/>
      <c r="H131" s="113"/>
      <c r="I131" s="121">
        <v>99.3</v>
      </c>
      <c r="J131" s="113">
        <v>1</v>
      </c>
      <c r="K131" s="113">
        <v>1998</v>
      </c>
      <c r="L131" s="122">
        <v>17629</v>
      </c>
      <c r="M131" s="121">
        <v>285</v>
      </c>
      <c r="N131" s="121">
        <f t="shared" si="4"/>
        <v>377.12990936555889</v>
      </c>
      <c r="O131" s="122">
        <v>7614</v>
      </c>
      <c r="P131" s="121">
        <v>599.6</v>
      </c>
      <c r="Q131" s="121">
        <f t="shared" si="2"/>
        <v>793.42839879154087</v>
      </c>
      <c r="R131" s="122">
        <v>11958</v>
      </c>
      <c r="S131" s="121">
        <v>185.4</v>
      </c>
      <c r="T131" s="121">
        <f t="shared" si="3"/>
        <v>245.33293051359522</v>
      </c>
      <c r="U131" s="113"/>
      <c r="V131" s="116" t="s">
        <v>7</v>
      </c>
      <c r="W131" s="120">
        <f>IF('Tab3'!C18="",'Tab3'!C17,'Tab3'!C18)</f>
        <v>7042</v>
      </c>
      <c r="X131" s="120">
        <f>IF('Tab3'!D18="",'Tab3'!D17,'Tab3'!D18)</f>
        <v>6517.3324523437504</v>
      </c>
      <c r="Y131" s="120">
        <f>IF('Tab3'!E18="",'Tab3'!E17,'Tab3'!E18)</f>
        <v>6811.7805877551</v>
      </c>
      <c r="Z131" s="113"/>
      <c r="AA131" s="113"/>
      <c r="AB131" s="113"/>
      <c r="AC131" s="113"/>
      <c r="AD131" s="113"/>
      <c r="AE131" s="113"/>
    </row>
    <row r="132" spans="1:31">
      <c r="A132" s="116">
        <v>2</v>
      </c>
      <c r="B132" s="116"/>
      <c r="C132" s="116">
        <f>289.8-C131</f>
        <v>139.80000000000001</v>
      </c>
      <c r="D132" s="116">
        <f>253.9-D131</f>
        <v>122</v>
      </c>
      <c r="E132" s="116"/>
      <c r="F132" s="116" t="s">
        <v>79</v>
      </c>
      <c r="G132" s="116" t="s">
        <v>80</v>
      </c>
      <c r="H132" s="113"/>
      <c r="I132" s="121">
        <v>99.7</v>
      </c>
      <c r="J132" s="113">
        <v>2</v>
      </c>
      <c r="K132" s="113"/>
      <c r="L132" s="122">
        <v>14484</v>
      </c>
      <c r="M132" s="121">
        <v>253.5</v>
      </c>
      <c r="N132" s="121">
        <f t="shared" si="4"/>
        <v>334.10130391173522</v>
      </c>
      <c r="O132" s="122">
        <v>6009</v>
      </c>
      <c r="P132" s="121">
        <v>576.9</v>
      </c>
      <c r="Q132" s="121">
        <f t="shared" si="2"/>
        <v>760.32758274824471</v>
      </c>
      <c r="R132" s="122">
        <v>15060</v>
      </c>
      <c r="S132" s="121">
        <v>204.20000000000002</v>
      </c>
      <c r="T132" s="121">
        <f t="shared" si="3"/>
        <v>269.12617853560681</v>
      </c>
      <c r="U132" s="113"/>
      <c r="V132" s="113" t="s">
        <v>114</v>
      </c>
      <c r="W132" s="120">
        <f>IF('Tab10'!C8="",'Tab10'!C7,'Tab10'!C8)</f>
        <v>11793</v>
      </c>
      <c r="X132" s="120">
        <f>IF('Tab10'!D8="",'Tab10'!D7,'Tab10'!D8)</f>
        <v>11029.2742857143</v>
      </c>
      <c r="Y132" s="120">
        <f>IF('Tab10'!E8="",'Tab10'!E7,'Tab10'!E8)</f>
        <v>10929</v>
      </c>
      <c r="Z132" s="113"/>
      <c r="AA132" s="113"/>
      <c r="AB132" s="113"/>
      <c r="AC132" s="113"/>
      <c r="AD132" s="113"/>
      <c r="AE132" s="113"/>
    </row>
    <row r="133" spans="1:31">
      <c r="A133" s="116">
        <v>3</v>
      </c>
      <c r="B133" s="116"/>
      <c r="C133" s="116">
        <f>+E133-C131-C132</f>
        <v>128.09999999999997</v>
      </c>
      <c r="D133" s="116">
        <f>+G133-D131-D132</f>
        <v>112.1</v>
      </c>
      <c r="E133" s="116">
        <v>417.9</v>
      </c>
      <c r="F133" s="113"/>
      <c r="G133" s="116">
        <v>366</v>
      </c>
      <c r="H133" s="113"/>
      <c r="I133" s="125">
        <v>99.8</v>
      </c>
      <c r="J133" s="113">
        <v>3</v>
      </c>
      <c r="K133" s="113"/>
      <c r="L133" s="122">
        <v>15693</v>
      </c>
      <c r="M133" s="121">
        <v>257.89999999999998</v>
      </c>
      <c r="N133" s="121">
        <f t="shared" si="4"/>
        <v>339.55971943887778</v>
      </c>
      <c r="O133" s="122">
        <v>8328</v>
      </c>
      <c r="P133" s="121">
        <v>432.80000000000018</v>
      </c>
      <c r="Q133" s="121">
        <f t="shared" si="2"/>
        <v>569.83887775551136</v>
      </c>
      <c r="R133" s="122">
        <v>17098</v>
      </c>
      <c r="S133" s="121">
        <v>209.60000000000002</v>
      </c>
      <c r="T133" s="121">
        <f t="shared" si="3"/>
        <v>275.9663326653307</v>
      </c>
      <c r="U133" s="113"/>
      <c r="V133" s="116" t="s">
        <v>9</v>
      </c>
      <c r="W133" s="120">
        <f>IF('Tab3'!C22="",'Tab3'!C21,'Tab3'!C22)</f>
        <v>10498</v>
      </c>
      <c r="X133" s="120">
        <f>IF('Tab3'!D22="",'Tab3'!D21,'Tab3'!D22)</f>
        <v>11689.759043739299</v>
      </c>
      <c r="Y133" s="120">
        <f>IF('Tab3'!E22="",'Tab3'!E21,'Tab3'!E22)</f>
        <v>13436.6175</v>
      </c>
      <c r="Z133" s="113"/>
      <c r="AA133" s="113"/>
      <c r="AB133" s="113"/>
      <c r="AC133" s="113"/>
      <c r="AD133" s="113"/>
      <c r="AE133" s="113"/>
    </row>
    <row r="134" spans="1:31">
      <c r="A134" s="116">
        <v>4</v>
      </c>
      <c r="B134" s="116"/>
      <c r="C134" s="116">
        <f>+E134-E133</f>
        <v>141.80000000000007</v>
      </c>
      <c r="D134" s="116">
        <f>+G134-G133</f>
        <v>125.60000000000002</v>
      </c>
      <c r="E134" s="116">
        <v>559.70000000000005</v>
      </c>
      <c r="F134" s="113"/>
      <c r="G134" s="116">
        <v>491.6</v>
      </c>
      <c r="H134" s="113"/>
      <c r="I134" s="125">
        <v>100.7</v>
      </c>
      <c r="J134" s="113">
        <v>4</v>
      </c>
      <c r="K134" s="113"/>
      <c r="L134" s="122">
        <v>16502</v>
      </c>
      <c r="M134" s="121">
        <v>299.10000000000002</v>
      </c>
      <c r="N134" s="121">
        <f t="shared" si="4"/>
        <v>390.2854021847071</v>
      </c>
      <c r="O134" s="122">
        <v>7526</v>
      </c>
      <c r="P134" s="121">
        <v>738.59999999999945</v>
      </c>
      <c r="Q134" s="121">
        <f t="shared" si="2"/>
        <v>963.77398212512344</v>
      </c>
      <c r="R134" s="122">
        <v>14647</v>
      </c>
      <c r="S134" s="121">
        <v>205.79999999999995</v>
      </c>
      <c r="T134" s="121">
        <f t="shared" si="3"/>
        <v>268.54141012909628</v>
      </c>
      <c r="U134" s="113"/>
      <c r="V134" s="113"/>
      <c r="W134" s="113"/>
      <c r="X134" s="113"/>
      <c r="Y134" s="113"/>
      <c r="Z134" s="113"/>
      <c r="AA134" s="113"/>
      <c r="AB134" s="113"/>
      <c r="AC134" s="113"/>
      <c r="AD134" s="113"/>
      <c r="AE134" s="113"/>
    </row>
    <row r="135" spans="1:31">
      <c r="A135" s="116">
        <v>1</v>
      </c>
      <c r="B135" s="116">
        <v>1999</v>
      </c>
      <c r="C135" s="116">
        <f>+E135</f>
        <v>154.19999999999999</v>
      </c>
      <c r="D135" s="116">
        <f>+G135</f>
        <v>137.1</v>
      </c>
      <c r="E135" s="116">
        <v>154.19999999999999</v>
      </c>
      <c r="F135" s="113"/>
      <c r="G135" s="116">
        <v>137.1</v>
      </c>
      <c r="H135" s="113"/>
      <c r="I135" s="125">
        <v>101.4</v>
      </c>
      <c r="J135" s="113">
        <v>1</v>
      </c>
      <c r="K135" s="113">
        <v>1999</v>
      </c>
      <c r="L135" s="122">
        <v>18095</v>
      </c>
      <c r="M135" s="121">
        <v>328.50000000000006</v>
      </c>
      <c r="N135" s="121">
        <f t="shared" si="4"/>
        <v>425.6893491124261</v>
      </c>
      <c r="O135" s="122">
        <v>8863</v>
      </c>
      <c r="P135" s="121">
        <v>689.1</v>
      </c>
      <c r="Q135" s="121">
        <f t="shared" si="2"/>
        <v>892.97573964497053</v>
      </c>
      <c r="R135" s="122">
        <v>11175</v>
      </c>
      <c r="S135" s="121">
        <v>162.80000000000001</v>
      </c>
      <c r="T135" s="121">
        <f t="shared" si="3"/>
        <v>210.9656804733728</v>
      </c>
      <c r="U135" s="113"/>
      <c r="V135" s="113"/>
      <c r="W135" s="113"/>
      <c r="X135" s="113"/>
      <c r="Y135" s="113"/>
      <c r="Z135" s="113"/>
      <c r="AA135" s="113"/>
      <c r="AB135" s="113"/>
      <c r="AC135" s="113"/>
      <c r="AD135" s="113"/>
      <c r="AE135" s="113"/>
    </row>
    <row r="136" spans="1:31">
      <c r="A136" s="116">
        <v>2</v>
      </c>
      <c r="B136" s="116"/>
      <c r="C136" s="116">
        <f>+E136-E135</f>
        <v>159.30000000000001</v>
      </c>
      <c r="D136" s="116">
        <f>+G136-G135</f>
        <v>140.70000000000002</v>
      </c>
      <c r="E136" s="116">
        <v>313.5</v>
      </c>
      <c r="F136" s="113"/>
      <c r="G136" s="116">
        <v>277.8</v>
      </c>
      <c r="H136" s="113"/>
      <c r="I136" s="125">
        <v>102.2</v>
      </c>
      <c r="J136" s="113">
        <v>2</v>
      </c>
      <c r="K136" s="113"/>
      <c r="L136" s="122">
        <v>12899</v>
      </c>
      <c r="M136" s="121">
        <v>332.7</v>
      </c>
      <c r="N136" s="121">
        <f t="shared" si="4"/>
        <v>427.75714285714287</v>
      </c>
      <c r="O136" s="122">
        <v>5920</v>
      </c>
      <c r="P136" s="121">
        <v>874.6</v>
      </c>
      <c r="Q136" s="121">
        <f t="shared" si="2"/>
        <v>1124.4857142857143</v>
      </c>
      <c r="R136" s="122">
        <v>12451</v>
      </c>
      <c r="S136" s="121">
        <v>199.09999999999997</v>
      </c>
      <c r="T136" s="121">
        <f t="shared" si="3"/>
        <v>255.98571428571427</v>
      </c>
      <c r="U136" s="113"/>
      <c r="V136" s="113"/>
      <c r="W136" s="113"/>
      <c r="X136" s="113"/>
      <c r="Y136" s="113"/>
      <c r="Z136" s="113"/>
      <c r="AA136" s="113"/>
      <c r="AB136" s="113"/>
      <c r="AC136" s="113"/>
      <c r="AD136" s="113"/>
      <c r="AE136" s="113"/>
    </row>
    <row r="137" spans="1:31">
      <c r="A137" s="116">
        <v>3</v>
      </c>
      <c r="B137" s="116"/>
      <c r="C137" s="116">
        <f>+E137-E136</f>
        <v>146.30000000000001</v>
      </c>
      <c r="D137" s="116">
        <f>+G137-G136</f>
        <v>128.69999999999999</v>
      </c>
      <c r="E137" s="116">
        <v>459.8</v>
      </c>
      <c r="F137" s="113"/>
      <c r="G137" s="116">
        <v>406.5</v>
      </c>
      <c r="H137" s="113"/>
      <c r="I137" s="125">
        <v>101.7</v>
      </c>
      <c r="J137" s="113">
        <v>3</v>
      </c>
      <c r="K137" s="113"/>
      <c r="L137" s="122">
        <v>23305</v>
      </c>
      <c r="M137" s="121">
        <v>445.5</v>
      </c>
      <c r="N137" s="121">
        <f t="shared" si="4"/>
        <v>575.60176991150433</v>
      </c>
      <c r="O137" s="122">
        <v>11181</v>
      </c>
      <c r="P137" s="121">
        <v>566.99999999999977</v>
      </c>
      <c r="Q137" s="121">
        <f t="shared" si="2"/>
        <v>732.58407079645986</v>
      </c>
      <c r="R137" s="122">
        <v>18817</v>
      </c>
      <c r="S137" s="121">
        <v>227.70000000000005</v>
      </c>
      <c r="T137" s="121">
        <f t="shared" si="3"/>
        <v>294.19646017699125</v>
      </c>
      <c r="U137" s="113"/>
      <c r="V137" s="113"/>
      <c r="W137" s="113"/>
      <c r="X137" s="113"/>
      <c r="Y137" s="113"/>
      <c r="Z137" s="113"/>
      <c r="AA137" s="113"/>
      <c r="AB137" s="113"/>
      <c r="AC137" s="113"/>
      <c r="AD137" s="113"/>
      <c r="AE137" s="113"/>
    </row>
    <row r="138" spans="1:31">
      <c r="A138" s="116">
        <v>4</v>
      </c>
      <c r="B138" s="116"/>
      <c r="C138" s="116">
        <f>+E138-E137</f>
        <v>141.90000000000003</v>
      </c>
      <c r="D138" s="116">
        <f>+G138-G137</f>
        <v>126.39999999999998</v>
      </c>
      <c r="E138" s="116">
        <v>601.70000000000005</v>
      </c>
      <c r="F138" s="113"/>
      <c r="G138" s="116">
        <v>532.9</v>
      </c>
      <c r="H138" s="113"/>
      <c r="I138" s="121">
        <v>103.5</v>
      </c>
      <c r="J138" s="113">
        <v>4</v>
      </c>
      <c r="K138" s="113"/>
      <c r="L138" s="122">
        <v>18359</v>
      </c>
      <c r="M138" s="121">
        <v>410.59999999999968</v>
      </c>
      <c r="N138" s="121">
        <f t="shared" si="4"/>
        <v>521.28347826086917</v>
      </c>
      <c r="O138" s="122">
        <v>9544</v>
      </c>
      <c r="P138" s="121">
        <v>935.5</v>
      </c>
      <c r="Q138" s="121">
        <f t="shared" si="2"/>
        <v>1187.6782608695653</v>
      </c>
      <c r="R138" s="122">
        <v>13692</v>
      </c>
      <c r="S138" s="121">
        <v>192.19999999999993</v>
      </c>
      <c r="T138" s="121">
        <f t="shared" si="3"/>
        <v>244.01043478260863</v>
      </c>
      <c r="U138" s="113"/>
      <c r="V138" s="113"/>
      <c r="W138" s="113"/>
      <c r="X138" s="113"/>
      <c r="Y138" s="113"/>
      <c r="Z138" s="113"/>
      <c r="AA138" s="113"/>
      <c r="AB138" s="113"/>
      <c r="AC138" s="113"/>
      <c r="AD138" s="113"/>
      <c r="AE138" s="113"/>
    </row>
    <row r="139" spans="1:31">
      <c r="A139" s="116">
        <v>1</v>
      </c>
      <c r="B139" s="116">
        <v>2000</v>
      </c>
      <c r="C139" s="116">
        <f>+E139</f>
        <v>169.1</v>
      </c>
      <c r="D139" s="116">
        <f>+G139</f>
        <v>150.9</v>
      </c>
      <c r="E139" s="116">
        <v>169.1</v>
      </c>
      <c r="F139" s="113"/>
      <c r="G139" s="116">
        <v>150.9</v>
      </c>
      <c r="H139" s="113"/>
      <c r="I139" s="121">
        <v>104.6</v>
      </c>
      <c r="J139" s="113">
        <v>1</v>
      </c>
      <c r="K139" s="113">
        <v>2000</v>
      </c>
      <c r="L139" s="122">
        <v>17570</v>
      </c>
      <c r="M139" s="121">
        <v>345.9</v>
      </c>
      <c r="N139" s="121">
        <f t="shared" si="4"/>
        <v>434.52447418738052</v>
      </c>
      <c r="O139" s="122">
        <v>9154</v>
      </c>
      <c r="P139" s="121">
        <v>819.9</v>
      </c>
      <c r="Q139" s="121">
        <f t="shared" si="2"/>
        <v>1029.9699808795413</v>
      </c>
      <c r="R139" s="122">
        <v>12421</v>
      </c>
      <c r="S139" s="121">
        <v>198</v>
      </c>
      <c r="T139" s="121">
        <f t="shared" si="3"/>
        <v>248.73040152963674</v>
      </c>
      <c r="U139" s="113"/>
      <c r="V139" s="113"/>
      <c r="W139" s="113"/>
      <c r="X139" s="113"/>
      <c r="Y139" s="113"/>
      <c r="Z139" s="113"/>
      <c r="AA139" s="113"/>
      <c r="AB139" s="113"/>
      <c r="AC139" s="113"/>
      <c r="AD139" s="113"/>
      <c r="AE139" s="113"/>
    </row>
    <row r="140" spans="1:31">
      <c r="A140" s="116">
        <v>2</v>
      </c>
      <c r="B140" s="116"/>
      <c r="C140" s="116">
        <f>+E140-E139</f>
        <v>151.50000000000003</v>
      </c>
      <c r="D140" s="116">
        <f>+G140-G139</f>
        <v>133.4</v>
      </c>
      <c r="E140" s="116">
        <v>320.60000000000002</v>
      </c>
      <c r="F140" s="113"/>
      <c r="G140" s="116">
        <v>284.3</v>
      </c>
      <c r="H140" s="113"/>
      <c r="I140" s="121">
        <v>105.1</v>
      </c>
      <c r="J140" s="113">
        <v>2</v>
      </c>
      <c r="K140" s="113"/>
      <c r="L140" s="122">
        <v>14069</v>
      </c>
      <c r="M140" s="121">
        <v>252.39999999999998</v>
      </c>
      <c r="N140" s="121">
        <f t="shared" si="4"/>
        <v>315.56003805899144</v>
      </c>
      <c r="O140" s="122">
        <v>10238</v>
      </c>
      <c r="P140" s="121">
        <v>674.19999999999993</v>
      </c>
      <c r="Q140" s="121">
        <f t="shared" si="2"/>
        <v>842.91037107516649</v>
      </c>
      <c r="R140" s="122">
        <v>13950</v>
      </c>
      <c r="S140" s="121">
        <v>184.5</v>
      </c>
      <c r="T140" s="121">
        <f t="shared" si="3"/>
        <v>230.66888677450049</v>
      </c>
      <c r="U140" s="113"/>
      <c r="V140" s="113"/>
      <c r="W140" s="113"/>
      <c r="X140" s="113"/>
      <c r="Y140" s="113"/>
      <c r="Z140" s="113"/>
      <c r="AA140" s="113"/>
      <c r="AB140" s="113"/>
      <c r="AC140" s="113"/>
      <c r="AD140" s="113"/>
      <c r="AE140" s="113"/>
    </row>
    <row r="141" spans="1:31">
      <c r="A141" s="116">
        <v>3</v>
      </c>
      <c r="B141" s="116"/>
      <c r="C141" s="116">
        <f>+E141-E140</f>
        <v>139</v>
      </c>
      <c r="D141" s="116">
        <f>+G141-G140</f>
        <v>123.5</v>
      </c>
      <c r="E141" s="116">
        <v>459.6</v>
      </c>
      <c r="F141" s="113"/>
      <c r="G141" s="116">
        <v>407.8</v>
      </c>
      <c r="H141" s="113"/>
      <c r="I141" s="121">
        <v>105.3</v>
      </c>
      <c r="J141" s="113">
        <v>3</v>
      </c>
      <c r="K141" s="113"/>
      <c r="L141" s="122">
        <v>16329</v>
      </c>
      <c r="M141" s="121">
        <v>313.5</v>
      </c>
      <c r="N141" s="121">
        <f t="shared" si="4"/>
        <v>391.20512820512823</v>
      </c>
      <c r="O141" s="122">
        <v>13877</v>
      </c>
      <c r="P141" s="121">
        <v>706.20000000000027</v>
      </c>
      <c r="Q141" s="121">
        <f t="shared" si="2"/>
        <v>881.241025641026</v>
      </c>
      <c r="R141" s="122">
        <v>14850</v>
      </c>
      <c r="S141" s="121">
        <v>193.89999999999998</v>
      </c>
      <c r="T141" s="121">
        <f t="shared" si="3"/>
        <v>241.96068376068374</v>
      </c>
      <c r="U141" s="113"/>
      <c r="V141" s="113"/>
      <c r="W141" s="113"/>
      <c r="X141" s="113"/>
      <c r="Y141" s="113"/>
      <c r="Z141" s="113"/>
      <c r="AA141" s="113"/>
      <c r="AB141" s="113"/>
      <c r="AC141" s="113"/>
      <c r="AD141" s="113"/>
      <c r="AE141" s="113"/>
    </row>
    <row r="142" spans="1:31">
      <c r="A142" s="116">
        <v>4</v>
      </c>
      <c r="B142" s="116"/>
      <c r="C142" s="116">
        <f>+E142-E141</f>
        <v>135.10000000000002</v>
      </c>
      <c r="D142" s="116">
        <f>+G142-G141</f>
        <v>121.40000000000003</v>
      </c>
      <c r="E142" s="116">
        <v>594.70000000000005</v>
      </c>
      <c r="F142" s="113"/>
      <c r="G142" s="116">
        <v>529.20000000000005</v>
      </c>
      <c r="H142" s="113"/>
      <c r="I142" s="121">
        <v>106.8</v>
      </c>
      <c r="J142" s="113">
        <v>4</v>
      </c>
      <c r="K142" s="113"/>
      <c r="L142" s="122">
        <v>21735</v>
      </c>
      <c r="M142" s="121">
        <v>484.79999999999995</v>
      </c>
      <c r="N142" s="121">
        <f t="shared" si="4"/>
        <v>596.46741573033705</v>
      </c>
      <c r="O142" s="122">
        <v>9978</v>
      </c>
      <c r="P142" s="121">
        <v>739.19999999999982</v>
      </c>
      <c r="Q142" s="121">
        <f t="shared" si="2"/>
        <v>909.46516853932565</v>
      </c>
      <c r="R142" s="122">
        <v>13212</v>
      </c>
      <c r="S142" s="121">
        <v>215</v>
      </c>
      <c r="T142" s="121">
        <f t="shared" si="3"/>
        <v>264.52247191011242</v>
      </c>
      <c r="U142" s="113"/>
      <c r="V142" s="113"/>
      <c r="W142" s="113"/>
      <c r="X142" s="113"/>
      <c r="Y142" s="113"/>
      <c r="Z142" s="113"/>
      <c r="AA142" s="113"/>
      <c r="AB142" s="113"/>
      <c r="AC142" s="113"/>
      <c r="AD142" s="113"/>
      <c r="AE142" s="113"/>
    </row>
    <row r="143" spans="1:31">
      <c r="A143" s="116">
        <v>1</v>
      </c>
      <c r="B143" s="116">
        <v>2001</v>
      </c>
      <c r="C143" s="116">
        <f>+E143</f>
        <v>158.5</v>
      </c>
      <c r="D143" s="116">
        <f>+G143</f>
        <v>143.1</v>
      </c>
      <c r="E143" s="116">
        <v>158.5</v>
      </c>
      <c r="F143" s="113"/>
      <c r="G143" s="116">
        <v>143.1</v>
      </c>
      <c r="H143" s="113"/>
      <c r="I143" s="121">
        <v>108.4</v>
      </c>
      <c r="J143" s="113">
        <v>1</v>
      </c>
      <c r="K143" s="113">
        <v>2001</v>
      </c>
      <c r="L143" s="122">
        <v>27280</v>
      </c>
      <c r="M143" s="121">
        <v>675.3</v>
      </c>
      <c r="N143" s="121">
        <f t="shared" si="4"/>
        <v>818.58321033210325</v>
      </c>
      <c r="O143" s="122">
        <v>7776</v>
      </c>
      <c r="P143" s="121">
        <v>877</v>
      </c>
      <c r="Q143" s="121">
        <f t="shared" si="2"/>
        <v>1063.0793357933578</v>
      </c>
      <c r="R143" s="122">
        <v>10538</v>
      </c>
      <c r="S143" s="121">
        <v>164.1</v>
      </c>
      <c r="T143" s="121">
        <f t="shared" si="3"/>
        <v>198.91826568265682</v>
      </c>
      <c r="U143" s="113"/>
      <c r="V143" s="113"/>
      <c r="W143" s="113"/>
      <c r="X143" s="113"/>
      <c r="Y143" s="113"/>
      <c r="Z143" s="113"/>
      <c r="AA143" s="113"/>
      <c r="AB143" s="113"/>
      <c r="AC143" s="113"/>
      <c r="AD143" s="113"/>
      <c r="AE143" s="113"/>
    </row>
    <row r="144" spans="1:31">
      <c r="A144" s="116">
        <v>2</v>
      </c>
      <c r="B144" s="116"/>
      <c r="C144" s="116">
        <f>+E144-E143</f>
        <v>140.45999999999998</v>
      </c>
      <c r="D144" s="116">
        <f>+G144-G143</f>
        <v>125.70000000000002</v>
      </c>
      <c r="E144" s="116">
        <v>298.95999999999998</v>
      </c>
      <c r="F144" s="113"/>
      <c r="G144" s="116">
        <v>268.8</v>
      </c>
      <c r="H144" s="113"/>
      <c r="I144" s="121">
        <v>109.6</v>
      </c>
      <c r="J144" s="113">
        <v>2</v>
      </c>
      <c r="K144" s="113"/>
      <c r="L144" s="122">
        <v>17111</v>
      </c>
      <c r="M144" s="121">
        <v>452</v>
      </c>
      <c r="N144" s="121">
        <f t="shared" si="4"/>
        <v>541.90510948905114</v>
      </c>
      <c r="O144" s="122">
        <v>5711</v>
      </c>
      <c r="P144" s="121">
        <v>923</v>
      </c>
      <c r="Q144" s="121">
        <f t="shared" si="2"/>
        <v>1106.5894160583941</v>
      </c>
      <c r="R144" s="122">
        <v>11841</v>
      </c>
      <c r="S144" s="121">
        <v>190.29999999999998</v>
      </c>
      <c r="T144" s="121">
        <f t="shared" si="3"/>
        <v>228.15164233576641</v>
      </c>
      <c r="U144" s="113"/>
      <c r="V144" s="113"/>
      <c r="W144" s="113"/>
      <c r="X144" s="113"/>
      <c r="Y144" s="113"/>
      <c r="Z144" s="113"/>
      <c r="AA144" s="113"/>
      <c r="AB144" s="113"/>
      <c r="AC144" s="113"/>
      <c r="AD144" s="113"/>
      <c r="AE144" s="113"/>
    </row>
    <row r="145" spans="1:31">
      <c r="A145" s="116">
        <v>3</v>
      </c>
      <c r="B145" s="113"/>
      <c r="C145" s="116">
        <f>+E145-E144</f>
        <v>134.24</v>
      </c>
      <c r="D145" s="116">
        <f>+G145-G144</f>
        <v>119.19999999999999</v>
      </c>
      <c r="E145" s="116">
        <v>433.2</v>
      </c>
      <c r="F145" s="113"/>
      <c r="G145" s="116">
        <v>388</v>
      </c>
      <c r="H145" s="113"/>
      <c r="I145" s="121">
        <v>108.1</v>
      </c>
      <c r="J145" s="113">
        <v>3</v>
      </c>
      <c r="K145" s="113"/>
      <c r="L145" s="122">
        <v>16407</v>
      </c>
      <c r="M145" s="121">
        <v>400.40000000000009</v>
      </c>
      <c r="N145" s="121">
        <f t="shared" si="4"/>
        <v>486.70268270120272</v>
      </c>
      <c r="O145" s="122">
        <v>15359</v>
      </c>
      <c r="P145" s="121">
        <v>1172.1999999999998</v>
      </c>
      <c r="Q145" s="121">
        <f t="shared" si="2"/>
        <v>1424.8573543015725</v>
      </c>
      <c r="R145" s="122">
        <v>13534</v>
      </c>
      <c r="S145" s="121">
        <v>158.5</v>
      </c>
      <c r="T145" s="121">
        <f t="shared" si="3"/>
        <v>192.66327474560592</v>
      </c>
      <c r="U145" s="113"/>
      <c r="V145" s="113"/>
      <c r="W145" s="113"/>
      <c r="X145" s="113"/>
      <c r="Y145" s="113"/>
      <c r="Z145" s="113"/>
      <c r="AA145" s="113"/>
      <c r="AB145" s="113"/>
      <c r="AC145" s="113"/>
      <c r="AD145" s="113"/>
      <c r="AE145" s="113"/>
    </row>
    <row r="146" spans="1:31">
      <c r="A146" s="116">
        <v>4</v>
      </c>
      <c r="B146" s="113"/>
      <c r="C146" s="116">
        <f>+E146-E145</f>
        <v>137.49520000000001</v>
      </c>
      <c r="D146" s="116">
        <f>+G146-G145</f>
        <v>124.07220000000007</v>
      </c>
      <c r="E146" s="124">
        <v>570.6952</v>
      </c>
      <c r="F146" s="129"/>
      <c r="G146" s="124">
        <v>512.07220000000007</v>
      </c>
      <c r="H146" s="113"/>
      <c r="I146" s="121">
        <v>108.7</v>
      </c>
      <c r="J146" s="113">
        <v>4</v>
      </c>
      <c r="K146" s="113"/>
      <c r="L146" s="122">
        <v>16945</v>
      </c>
      <c r="M146" s="121">
        <v>509.39999999999986</v>
      </c>
      <c r="N146" s="121">
        <f t="shared" si="4"/>
        <v>615.77884084636594</v>
      </c>
      <c r="O146" s="122">
        <v>9601</v>
      </c>
      <c r="P146" s="121">
        <v>803.30000000000018</v>
      </c>
      <c r="Q146" s="121">
        <f t="shared" si="2"/>
        <v>971.05446182152741</v>
      </c>
      <c r="R146" s="122">
        <v>12341</v>
      </c>
      <c r="S146" s="121">
        <v>258.5</v>
      </c>
      <c r="T146" s="121">
        <f t="shared" si="3"/>
        <v>312.48298068077276</v>
      </c>
      <c r="U146" s="113"/>
      <c r="V146" s="113"/>
      <c r="W146" s="113"/>
      <c r="X146" s="113"/>
      <c r="Y146" s="113"/>
      <c r="Z146" s="113"/>
      <c r="AA146" s="113"/>
      <c r="AB146" s="113"/>
      <c r="AC146" s="113"/>
      <c r="AD146" s="113"/>
      <c r="AE146" s="113"/>
    </row>
    <row r="147" spans="1:31">
      <c r="A147" s="116">
        <v>1</v>
      </c>
      <c r="B147" s="116">
        <v>2002</v>
      </c>
      <c r="C147" s="116">
        <f>+E147</f>
        <v>155.81399999999999</v>
      </c>
      <c r="D147" s="116">
        <f>+G147</f>
        <v>141.72399999999999</v>
      </c>
      <c r="E147" s="124">
        <v>155.81399999999999</v>
      </c>
      <c r="F147" s="129"/>
      <c r="G147" s="124">
        <v>141.72399999999999</v>
      </c>
      <c r="H147" s="113"/>
      <c r="I147" s="121">
        <v>109.3</v>
      </c>
      <c r="J147" s="113">
        <v>1</v>
      </c>
      <c r="K147" s="113">
        <v>2002</v>
      </c>
      <c r="L147" s="122">
        <v>17523</v>
      </c>
      <c r="M147" s="121">
        <v>466.5</v>
      </c>
      <c r="N147" s="121">
        <f t="shared" si="4"/>
        <v>560.82433668801468</v>
      </c>
      <c r="O147" s="122">
        <v>6856</v>
      </c>
      <c r="P147" s="121">
        <v>820.40000000000009</v>
      </c>
      <c r="Q147" s="121">
        <f t="shared" si="2"/>
        <v>986.28142726441013</v>
      </c>
      <c r="R147" s="122">
        <v>9371</v>
      </c>
      <c r="S147" s="121">
        <v>197.9</v>
      </c>
      <c r="T147" s="121">
        <f t="shared" si="3"/>
        <v>237.91454711802379</v>
      </c>
      <c r="U147" s="113"/>
      <c r="V147" s="113"/>
      <c r="W147" s="113"/>
      <c r="X147" s="113"/>
      <c r="Y147" s="113"/>
      <c r="Z147" s="113"/>
      <c r="AA147" s="113"/>
      <c r="AB147" s="113"/>
      <c r="AC147" s="113"/>
      <c r="AD147" s="113"/>
      <c r="AE147" s="113"/>
    </row>
    <row r="148" spans="1:31">
      <c r="A148" s="116">
        <v>2</v>
      </c>
      <c r="B148" s="116"/>
      <c r="C148" s="116">
        <f>+E148-E147</f>
        <v>146.54300000000003</v>
      </c>
      <c r="D148" s="116">
        <f>+G148-G147</f>
        <v>133.19</v>
      </c>
      <c r="E148" s="116">
        <v>302.35700000000003</v>
      </c>
      <c r="F148" s="113"/>
      <c r="G148" s="116">
        <v>274.91399999999999</v>
      </c>
      <c r="H148" s="113"/>
      <c r="I148" s="121">
        <v>110</v>
      </c>
      <c r="J148" s="113">
        <v>2</v>
      </c>
      <c r="K148" s="113"/>
      <c r="L148" s="122">
        <v>17469</v>
      </c>
      <c r="M148" s="121">
        <v>408.5</v>
      </c>
      <c r="N148" s="121">
        <f t="shared" si="4"/>
        <v>487.97181818181821</v>
      </c>
      <c r="O148" s="122">
        <v>9323</v>
      </c>
      <c r="P148" s="121">
        <v>689.09999999999991</v>
      </c>
      <c r="Q148" s="121">
        <f t="shared" si="2"/>
        <v>823.1612727272726</v>
      </c>
      <c r="R148" s="122">
        <v>14749</v>
      </c>
      <c r="S148" s="121">
        <v>233.49999999999997</v>
      </c>
      <c r="T148" s="121">
        <f t="shared" si="3"/>
        <v>278.92636363636365</v>
      </c>
      <c r="U148" s="113"/>
      <c r="V148" s="113"/>
      <c r="W148" s="113"/>
      <c r="X148" s="113"/>
      <c r="Y148" s="113"/>
      <c r="Z148" s="113"/>
      <c r="AA148" s="113"/>
      <c r="AB148" s="113"/>
      <c r="AC148" s="113"/>
      <c r="AD148" s="113"/>
      <c r="AE148" s="113"/>
    </row>
    <row r="149" spans="1:31">
      <c r="A149" s="116">
        <v>3</v>
      </c>
      <c r="B149" s="113"/>
      <c r="C149" s="116">
        <f>+E149-E148</f>
        <v>146.23099999999999</v>
      </c>
      <c r="D149" s="116">
        <f>+G149-G148</f>
        <v>127.14100000000002</v>
      </c>
      <c r="E149" s="116">
        <v>448.58800000000002</v>
      </c>
      <c r="F149" s="113"/>
      <c r="G149" s="116">
        <v>402.05500000000001</v>
      </c>
      <c r="H149" s="113"/>
      <c r="I149" s="121">
        <v>109.6</v>
      </c>
      <c r="J149" s="113">
        <v>3</v>
      </c>
      <c r="K149" s="113"/>
      <c r="L149" s="122">
        <v>19641</v>
      </c>
      <c r="M149" s="121">
        <v>503</v>
      </c>
      <c r="N149" s="121">
        <f t="shared" si="4"/>
        <v>603.04927007299273</v>
      </c>
      <c r="O149" s="122">
        <v>17422</v>
      </c>
      <c r="P149" s="121">
        <v>895.90000000000009</v>
      </c>
      <c r="Q149" s="121">
        <f t="shared" si="2"/>
        <v>1074.099087591241</v>
      </c>
      <c r="R149" s="122">
        <v>14722</v>
      </c>
      <c r="S149" s="121">
        <v>184.5</v>
      </c>
      <c r="T149" s="121">
        <f t="shared" si="3"/>
        <v>221.19799270072997</v>
      </c>
      <c r="U149" s="113"/>
      <c r="V149" s="113"/>
      <c r="W149" s="113"/>
      <c r="X149" s="113"/>
      <c r="Y149" s="113"/>
      <c r="Z149" s="113"/>
      <c r="AA149" s="113"/>
      <c r="AB149" s="113"/>
      <c r="AC149" s="113"/>
      <c r="AD149" s="113"/>
      <c r="AE149" s="113"/>
    </row>
    <row r="150" spans="1:31">
      <c r="A150" s="116">
        <v>4</v>
      </c>
      <c r="B150" s="113"/>
      <c r="C150" s="116">
        <f>+E150-E149</f>
        <v>137.96699999999993</v>
      </c>
      <c r="D150" s="116">
        <f>+G150-G149</f>
        <v>124.64100000000002</v>
      </c>
      <c r="E150" s="124">
        <v>586.55499999999995</v>
      </c>
      <c r="F150" s="129"/>
      <c r="G150" s="124">
        <v>526.69600000000003</v>
      </c>
      <c r="H150" s="113"/>
      <c r="I150" s="121">
        <v>111</v>
      </c>
      <c r="J150" s="113">
        <v>4</v>
      </c>
      <c r="K150" s="113"/>
      <c r="L150" s="122">
        <v>17442</v>
      </c>
      <c r="M150" s="121">
        <v>464.20000000000005</v>
      </c>
      <c r="N150" s="121">
        <f t="shared" si="4"/>
        <v>549.51243243243255</v>
      </c>
      <c r="O150" s="122">
        <v>8123</v>
      </c>
      <c r="P150" s="121">
        <v>938.5</v>
      </c>
      <c r="Q150" s="121">
        <f t="shared" si="2"/>
        <v>1110.9810810810811</v>
      </c>
      <c r="R150" s="122">
        <v>14689</v>
      </c>
      <c r="S150" s="121">
        <v>194.00000000000011</v>
      </c>
      <c r="T150" s="121">
        <f t="shared" si="3"/>
        <v>229.6540540540542</v>
      </c>
      <c r="U150" s="113"/>
      <c r="V150" s="113"/>
      <c r="W150" s="113"/>
      <c r="X150" s="113"/>
      <c r="Y150" s="113"/>
      <c r="Z150" s="113"/>
      <c r="AA150" s="113"/>
      <c r="AB150" s="113"/>
      <c r="AC150" s="113"/>
      <c r="AD150" s="113"/>
      <c r="AE150" s="113"/>
    </row>
    <row r="151" spans="1:31">
      <c r="A151" s="116">
        <v>1</v>
      </c>
      <c r="B151" s="116">
        <v>2003</v>
      </c>
      <c r="C151" s="124">
        <f>+E151</f>
        <v>165.679</v>
      </c>
      <c r="D151" s="116">
        <f>+G151</f>
        <v>150.81100000000001</v>
      </c>
      <c r="E151" s="124">
        <v>165.679</v>
      </c>
      <c r="F151" s="129"/>
      <c r="G151" s="124">
        <v>150.81100000000001</v>
      </c>
      <c r="H151" s="113"/>
      <c r="I151" s="121">
        <v>114.6</v>
      </c>
      <c r="J151" s="113">
        <v>1</v>
      </c>
      <c r="K151" s="113">
        <v>2003</v>
      </c>
      <c r="L151" s="122">
        <v>22781</v>
      </c>
      <c r="M151" s="121">
        <v>626.79999999999995</v>
      </c>
      <c r="N151" s="121">
        <f t="shared" si="4"/>
        <v>718.68691099476439</v>
      </c>
      <c r="O151" s="122">
        <v>6823</v>
      </c>
      <c r="P151" s="121">
        <v>1087.2</v>
      </c>
      <c r="Q151" s="121">
        <f t="shared" si="2"/>
        <v>1246.5801047120422</v>
      </c>
      <c r="R151" s="122">
        <v>10626</v>
      </c>
      <c r="S151" s="121">
        <v>183</v>
      </c>
      <c r="T151" s="121">
        <f t="shared" si="3"/>
        <v>209.82722513089007</v>
      </c>
      <c r="U151" s="113"/>
      <c r="V151" s="113"/>
      <c r="W151" s="113"/>
      <c r="X151" s="113"/>
      <c r="Y151" s="113"/>
      <c r="Z151" s="113"/>
      <c r="AA151" s="113"/>
      <c r="AB151" s="113"/>
      <c r="AC151" s="113"/>
      <c r="AD151" s="113"/>
      <c r="AE151" s="113"/>
    </row>
    <row r="152" spans="1:31">
      <c r="A152" s="116">
        <v>2</v>
      </c>
      <c r="B152" s="116"/>
      <c r="C152" s="124">
        <f>+E152-E151</f>
        <v>135.02099999999999</v>
      </c>
      <c r="D152" s="116">
        <f>+G152-G151</f>
        <v>121.10099999999997</v>
      </c>
      <c r="E152" s="116">
        <v>300.7</v>
      </c>
      <c r="F152" s="113"/>
      <c r="G152" s="116">
        <v>271.91199999999998</v>
      </c>
      <c r="H152" s="113"/>
      <c r="I152" s="121">
        <v>112.3</v>
      </c>
      <c r="J152" s="113">
        <v>2</v>
      </c>
      <c r="K152" s="113"/>
      <c r="L152" s="122">
        <v>15417</v>
      </c>
      <c r="M152" s="121">
        <v>406.10000000000014</v>
      </c>
      <c r="N152" s="121">
        <f t="shared" si="4"/>
        <v>475.16954585930563</v>
      </c>
      <c r="O152" s="122">
        <v>5618</v>
      </c>
      <c r="P152" s="121">
        <v>817.8</v>
      </c>
      <c r="Q152" s="121">
        <f t="shared" si="2"/>
        <v>956.8915405164737</v>
      </c>
      <c r="R152" s="122">
        <v>12719</v>
      </c>
      <c r="S152" s="121">
        <v>203.2</v>
      </c>
      <c r="T152" s="121">
        <f t="shared" si="3"/>
        <v>237.76028495102403</v>
      </c>
      <c r="U152" s="113"/>
      <c r="V152" s="113"/>
      <c r="W152" s="113"/>
      <c r="X152" s="113"/>
      <c r="Y152" s="113"/>
      <c r="Z152" s="113"/>
      <c r="AA152" s="113"/>
      <c r="AB152" s="113"/>
      <c r="AC152" s="113"/>
      <c r="AD152" s="113"/>
      <c r="AE152" s="113"/>
    </row>
    <row r="153" spans="1:31">
      <c r="A153" s="116">
        <v>3</v>
      </c>
      <c r="B153" s="116"/>
      <c r="C153" s="124">
        <f>+E153-E152</f>
        <v>134.11099999999999</v>
      </c>
      <c r="D153" s="116">
        <f>+G153-G152</f>
        <v>119.49100000000004</v>
      </c>
      <c r="E153" s="116">
        <v>434.81099999999998</v>
      </c>
      <c r="F153" s="113"/>
      <c r="G153" s="116">
        <v>391.40300000000002</v>
      </c>
      <c r="H153" s="113"/>
      <c r="I153" s="121">
        <v>111.9</v>
      </c>
      <c r="J153" s="113">
        <v>3</v>
      </c>
      <c r="K153" s="113"/>
      <c r="L153" s="122">
        <v>18848</v>
      </c>
      <c r="M153" s="121">
        <v>430.5</v>
      </c>
      <c r="N153" s="121">
        <f t="shared" si="4"/>
        <v>505.52010723860587</v>
      </c>
      <c r="O153" s="122">
        <v>16056</v>
      </c>
      <c r="P153" s="121">
        <v>860.19999999999982</v>
      </c>
      <c r="Q153" s="121">
        <f t="shared" si="2"/>
        <v>1010.100804289544</v>
      </c>
      <c r="R153" s="122">
        <v>13690</v>
      </c>
      <c r="S153" s="121">
        <v>188.8</v>
      </c>
      <c r="T153" s="121">
        <f t="shared" si="3"/>
        <v>221.70080428954424</v>
      </c>
      <c r="U153" s="113"/>
      <c r="V153" s="113"/>
      <c r="W153" s="113"/>
      <c r="X153" s="113"/>
      <c r="Y153" s="113"/>
      <c r="Z153" s="113"/>
      <c r="AA153" s="113"/>
      <c r="AB153" s="113"/>
      <c r="AC153" s="113"/>
      <c r="AD153" s="113"/>
      <c r="AE153" s="113"/>
    </row>
    <row r="154" spans="1:31">
      <c r="A154" s="116">
        <v>4</v>
      </c>
      <c r="B154" s="116"/>
      <c r="C154" s="124">
        <f>+E154-E153</f>
        <v>142.01299999999998</v>
      </c>
      <c r="D154" s="116">
        <f>+G154-G153</f>
        <v>125.95899999999995</v>
      </c>
      <c r="E154" s="116">
        <v>576.82399999999996</v>
      </c>
      <c r="F154" s="113"/>
      <c r="G154" s="116">
        <v>517.36199999999997</v>
      </c>
      <c r="H154" s="113"/>
      <c r="I154" s="121">
        <v>112.6</v>
      </c>
      <c r="J154" s="113">
        <v>4</v>
      </c>
      <c r="K154" s="113"/>
      <c r="L154" s="122">
        <v>16096</v>
      </c>
      <c r="M154" s="121">
        <v>471.89999999999986</v>
      </c>
      <c r="N154" s="121">
        <f t="shared" si="4"/>
        <v>550.68969804618109</v>
      </c>
      <c r="O154" s="122">
        <v>7652</v>
      </c>
      <c r="P154" s="121">
        <v>762.30000000000018</v>
      </c>
      <c r="Q154" s="121">
        <f t="shared" si="2"/>
        <v>889.57566607460058</v>
      </c>
      <c r="R154" s="122">
        <v>11607</v>
      </c>
      <c r="S154" s="121">
        <v>220.90000000000009</v>
      </c>
      <c r="T154" s="121">
        <f t="shared" si="3"/>
        <v>257.78206039076389</v>
      </c>
      <c r="U154" s="113"/>
      <c r="V154" s="113"/>
      <c r="W154" s="113"/>
      <c r="X154" s="113"/>
      <c r="Y154" s="113"/>
      <c r="Z154" s="113"/>
      <c r="AA154" s="113"/>
      <c r="AB154" s="113"/>
      <c r="AC154" s="113"/>
      <c r="AD154" s="113"/>
      <c r="AE154" s="113"/>
    </row>
    <row r="155" spans="1:31">
      <c r="A155" s="116">
        <v>1</v>
      </c>
      <c r="B155" s="116">
        <v>2004</v>
      </c>
      <c r="C155" s="124">
        <f>+E155</f>
        <v>168.309</v>
      </c>
      <c r="D155" s="116">
        <f>+G155</f>
        <v>153.04300000000001</v>
      </c>
      <c r="E155" s="116">
        <v>168.309</v>
      </c>
      <c r="F155" s="113"/>
      <c r="G155" s="116">
        <v>153.04300000000001</v>
      </c>
      <c r="H155" s="113"/>
      <c r="I155" s="121">
        <v>112.6</v>
      </c>
      <c r="J155" s="113">
        <v>1</v>
      </c>
      <c r="K155" s="113">
        <v>2004</v>
      </c>
      <c r="L155" s="122">
        <v>17805</v>
      </c>
      <c r="M155" s="121">
        <v>517.69999999999993</v>
      </c>
      <c r="N155" s="121">
        <f t="shared" si="4"/>
        <v>604.13658969804612</v>
      </c>
      <c r="O155" s="122">
        <v>7033</v>
      </c>
      <c r="P155" s="121">
        <v>735.2</v>
      </c>
      <c r="Q155" s="121">
        <f t="shared" si="2"/>
        <v>857.95097690941407</v>
      </c>
      <c r="R155" s="122">
        <v>8913</v>
      </c>
      <c r="S155" s="121">
        <v>178.89999999999998</v>
      </c>
      <c r="T155" s="121">
        <f t="shared" si="3"/>
        <v>208.76962699822377</v>
      </c>
      <c r="U155" s="113"/>
      <c r="V155" s="113"/>
      <c r="W155" s="113"/>
      <c r="X155" s="113"/>
      <c r="Y155" s="113"/>
      <c r="Z155" s="113"/>
      <c r="AA155" s="113"/>
      <c r="AB155" s="113"/>
      <c r="AC155" s="113"/>
      <c r="AD155" s="113"/>
      <c r="AE155" s="113"/>
    </row>
    <row r="156" spans="1:31">
      <c r="A156" s="116">
        <v>2</v>
      </c>
      <c r="B156" s="116"/>
      <c r="C156" s="124">
        <f>+E156-E155</f>
        <v>140.26700000000002</v>
      </c>
      <c r="D156" s="116">
        <f>+G156-G155</f>
        <v>125.56799999999998</v>
      </c>
      <c r="E156" s="116">
        <v>308.57600000000002</v>
      </c>
      <c r="F156" s="113"/>
      <c r="G156" s="116">
        <v>278.61099999999999</v>
      </c>
      <c r="H156" s="113"/>
      <c r="I156" s="121">
        <v>113.4</v>
      </c>
      <c r="J156" s="113">
        <v>2</v>
      </c>
      <c r="K156" s="113"/>
      <c r="L156" s="122">
        <v>13855</v>
      </c>
      <c r="M156" s="121">
        <v>344.69999999999993</v>
      </c>
      <c r="N156" s="121">
        <f t="shared" si="4"/>
        <v>399.41428571428565</v>
      </c>
      <c r="O156" s="122">
        <v>6436</v>
      </c>
      <c r="P156" s="121">
        <v>708.3</v>
      </c>
      <c r="Q156" s="121">
        <f t="shared" si="2"/>
        <v>820.7285714285714</v>
      </c>
      <c r="R156" s="122">
        <v>10802</v>
      </c>
      <c r="S156" s="121">
        <v>228.40000000000003</v>
      </c>
      <c r="T156" s="121">
        <f t="shared" si="3"/>
        <v>264.65396825396829</v>
      </c>
      <c r="U156" s="113"/>
      <c r="V156" s="113"/>
      <c r="W156" s="113"/>
      <c r="X156" s="113"/>
      <c r="Y156" s="113"/>
      <c r="Z156" s="113"/>
      <c r="AA156" s="113"/>
      <c r="AB156" s="113"/>
      <c r="AC156" s="113"/>
      <c r="AD156" s="113"/>
      <c r="AE156" s="113"/>
    </row>
    <row r="157" spans="1:31">
      <c r="A157" s="116">
        <v>3</v>
      </c>
      <c r="B157" s="116"/>
      <c r="C157" s="124">
        <f>+E157-E156</f>
        <v>137.76999999999998</v>
      </c>
      <c r="D157" s="116">
        <f>+G157-G156</f>
        <v>123.12100000000004</v>
      </c>
      <c r="E157" s="116">
        <v>446.346</v>
      </c>
      <c r="F157" s="113"/>
      <c r="G157" s="116">
        <v>401.73200000000003</v>
      </c>
      <c r="H157" s="113"/>
      <c r="I157" s="121">
        <v>113</v>
      </c>
      <c r="J157" s="113">
        <v>3</v>
      </c>
      <c r="K157" s="113"/>
      <c r="L157" s="122">
        <v>17630</v>
      </c>
      <c r="M157" s="121">
        <v>454.09999999999991</v>
      </c>
      <c r="N157" s="121">
        <f t="shared" si="4"/>
        <v>528.04194690265479</v>
      </c>
      <c r="O157" s="122">
        <v>11805</v>
      </c>
      <c r="P157" s="121">
        <v>652.69999999999982</v>
      </c>
      <c r="Q157" s="121">
        <f t="shared" si="2"/>
        <v>758.98035398230081</v>
      </c>
      <c r="R157" s="122">
        <v>11365</v>
      </c>
      <c r="S157" s="121">
        <v>160.7999999999999</v>
      </c>
      <c r="T157" s="121">
        <f t="shared" si="3"/>
        <v>186.9833628318583</v>
      </c>
      <c r="U157" s="113"/>
      <c r="V157" s="113"/>
      <c r="W157" s="113"/>
      <c r="X157" s="113"/>
      <c r="Y157" s="113"/>
      <c r="Z157" s="113"/>
      <c r="AA157" s="113"/>
      <c r="AB157" s="113"/>
      <c r="AC157" s="113"/>
      <c r="AD157" s="113"/>
      <c r="AE157" s="113"/>
    </row>
    <row r="158" spans="1:31">
      <c r="A158" s="116">
        <v>4</v>
      </c>
      <c r="B158" s="116"/>
      <c r="C158" s="124">
        <f>+E158-E157</f>
        <v>137.68499999999995</v>
      </c>
      <c r="D158" s="116">
        <f>+G158-G157</f>
        <v>124.50600000000003</v>
      </c>
      <c r="E158" s="116">
        <v>584.03099999999995</v>
      </c>
      <c r="F158" s="113"/>
      <c r="G158" s="116">
        <v>526.23800000000006</v>
      </c>
      <c r="H158" s="113"/>
      <c r="I158" s="121">
        <v>114</v>
      </c>
      <c r="J158" s="113">
        <v>4</v>
      </c>
      <c r="K158" s="113"/>
      <c r="L158" s="122">
        <v>16674</v>
      </c>
      <c r="M158" s="121">
        <v>428.20000000000027</v>
      </c>
      <c r="N158" s="121">
        <f t="shared" si="4"/>
        <v>493.55684210526351</v>
      </c>
      <c r="O158" s="122">
        <v>10088</v>
      </c>
      <c r="P158" s="121">
        <v>709.40000000000055</v>
      </c>
      <c r="Q158" s="121">
        <f t="shared" si="2"/>
        <v>817.67684210526386</v>
      </c>
      <c r="R158" s="122">
        <v>9276</v>
      </c>
      <c r="S158" s="121">
        <v>162.90000000000009</v>
      </c>
      <c r="T158" s="121">
        <f t="shared" si="3"/>
        <v>187.76368421052643</v>
      </c>
      <c r="U158" s="113"/>
      <c r="V158" s="113"/>
      <c r="W158" s="113"/>
      <c r="X158" s="113"/>
      <c r="Y158" s="113"/>
      <c r="Z158" s="113"/>
      <c r="AA158" s="113"/>
      <c r="AB158" s="113"/>
      <c r="AC158" s="113"/>
      <c r="AD158" s="113"/>
      <c r="AE158" s="113"/>
    </row>
    <row r="159" spans="1:31">
      <c r="A159" s="116">
        <v>1</v>
      </c>
      <c r="B159" s="116">
        <v>2005</v>
      </c>
      <c r="C159" s="124">
        <f>+E159</f>
        <v>147.31100000000001</v>
      </c>
      <c r="D159" s="116">
        <f>+G159</f>
        <v>133.756</v>
      </c>
      <c r="E159" s="116">
        <v>147.31100000000001</v>
      </c>
      <c r="F159" s="113"/>
      <c r="G159" s="116">
        <v>133.756</v>
      </c>
      <c r="H159" s="113"/>
      <c r="I159" s="121">
        <v>113.7</v>
      </c>
      <c r="J159" s="113">
        <v>1</v>
      </c>
      <c r="K159" s="113">
        <v>2005</v>
      </c>
      <c r="L159" s="122">
        <v>15151</v>
      </c>
      <c r="M159" s="121">
        <v>418</v>
      </c>
      <c r="N159" s="121">
        <f t="shared" si="4"/>
        <v>483.07124010554088</v>
      </c>
      <c r="O159" s="122">
        <v>7287</v>
      </c>
      <c r="P159" s="121">
        <v>715.2</v>
      </c>
      <c r="Q159" s="121">
        <f t="shared" si="2"/>
        <v>826.53720316622696</v>
      </c>
      <c r="R159" s="122">
        <v>7498</v>
      </c>
      <c r="S159" s="121">
        <v>159.69999999999999</v>
      </c>
      <c r="T159" s="121">
        <f t="shared" si="3"/>
        <v>184.56094986807389</v>
      </c>
      <c r="U159" s="113"/>
      <c r="V159" s="113"/>
      <c r="W159" s="113"/>
      <c r="X159" s="113"/>
      <c r="Y159" s="113"/>
      <c r="Z159" s="113"/>
      <c r="AA159" s="113"/>
      <c r="AB159" s="113"/>
      <c r="AC159" s="113"/>
      <c r="AD159" s="113"/>
      <c r="AE159" s="113"/>
    </row>
    <row r="160" spans="1:31">
      <c r="A160" s="116">
        <v>2</v>
      </c>
      <c r="B160" s="116"/>
      <c r="C160" s="124">
        <f>+E160-E159</f>
        <v>143.51699999999997</v>
      </c>
      <c r="D160" s="116">
        <f>+G160-G159</f>
        <v>128.79</v>
      </c>
      <c r="E160" s="116">
        <v>290.82799999999997</v>
      </c>
      <c r="F160" s="113"/>
      <c r="G160" s="116">
        <v>262.54599999999999</v>
      </c>
      <c r="H160" s="113"/>
      <c r="I160" s="121">
        <v>115.2</v>
      </c>
      <c r="J160" s="113">
        <v>2</v>
      </c>
      <c r="K160" s="113"/>
      <c r="L160" s="122">
        <v>14855</v>
      </c>
      <c r="M160" s="121">
        <v>323.20000000000005</v>
      </c>
      <c r="N160" s="121">
        <f t="shared" si="4"/>
        <v>368.65000000000003</v>
      </c>
      <c r="O160" s="122">
        <v>6172</v>
      </c>
      <c r="P160" s="121">
        <v>745.5</v>
      </c>
      <c r="Q160" s="121">
        <f t="shared" si="2"/>
        <v>850.3359375</v>
      </c>
      <c r="R160" s="122">
        <v>11610</v>
      </c>
      <c r="S160" s="121">
        <v>152.50000000000006</v>
      </c>
      <c r="T160" s="121">
        <f t="shared" si="3"/>
        <v>173.94531250000009</v>
      </c>
      <c r="U160" s="113"/>
      <c r="V160" s="113"/>
      <c r="W160" s="113"/>
      <c r="X160" s="113"/>
      <c r="Y160" s="113"/>
      <c r="Z160" s="113"/>
      <c r="AA160" s="113"/>
      <c r="AB160" s="113"/>
      <c r="AC160" s="113"/>
      <c r="AD160" s="113"/>
      <c r="AE160" s="113"/>
    </row>
    <row r="161" spans="1:31">
      <c r="A161" s="116">
        <v>3</v>
      </c>
      <c r="B161" s="116"/>
      <c r="C161" s="124">
        <f>+E161-E160</f>
        <v>134.78300000000002</v>
      </c>
      <c r="D161" s="116">
        <f>+G161-G160</f>
        <v>120.57100000000003</v>
      </c>
      <c r="E161" s="116">
        <v>425.61099999999999</v>
      </c>
      <c r="F161" s="113"/>
      <c r="G161" s="116">
        <v>383.11700000000002</v>
      </c>
      <c r="H161" s="113"/>
      <c r="I161" s="121">
        <v>115.1</v>
      </c>
      <c r="J161" s="113">
        <v>3</v>
      </c>
      <c r="K161" s="113"/>
      <c r="L161" s="122">
        <v>13014</v>
      </c>
      <c r="M161" s="121">
        <v>448.29999999999995</v>
      </c>
      <c r="N161" s="121">
        <f t="shared" si="4"/>
        <v>511.78644656820154</v>
      </c>
      <c r="O161" s="122">
        <v>6734</v>
      </c>
      <c r="P161" s="121">
        <v>832.10000000000014</v>
      </c>
      <c r="Q161" s="121">
        <f t="shared" si="2"/>
        <v>949.93866203301502</v>
      </c>
      <c r="R161" s="122">
        <v>8742</v>
      </c>
      <c r="S161" s="121">
        <v>152.99999999999994</v>
      </c>
      <c r="T161" s="121">
        <f t="shared" si="3"/>
        <v>174.66724587315372</v>
      </c>
      <c r="U161" s="113"/>
      <c r="V161" s="113"/>
      <c r="W161" s="113"/>
      <c r="X161" s="113"/>
      <c r="Y161" s="113"/>
      <c r="Z161" s="113"/>
      <c r="AA161" s="113"/>
      <c r="AB161" s="113"/>
      <c r="AC161" s="113"/>
      <c r="AD161" s="113"/>
      <c r="AE161" s="113"/>
    </row>
    <row r="162" spans="1:31">
      <c r="A162" s="116">
        <v>4</v>
      </c>
      <c r="B162" s="116"/>
      <c r="C162" s="124">
        <f>+E162-E161</f>
        <v>137.37</v>
      </c>
      <c r="D162" s="116">
        <f>+G162-G161</f>
        <v>124.38200000000001</v>
      </c>
      <c r="E162" s="116">
        <v>562.98099999999999</v>
      </c>
      <c r="F162" s="113"/>
      <c r="G162" s="116">
        <v>507.49900000000002</v>
      </c>
      <c r="H162" s="113"/>
      <c r="I162" s="121">
        <v>116</v>
      </c>
      <c r="J162" s="113">
        <v>4</v>
      </c>
      <c r="K162" s="113"/>
      <c r="L162" s="122">
        <v>22745</v>
      </c>
      <c r="M162" s="121">
        <v>478.79999999999995</v>
      </c>
      <c r="N162" s="121">
        <f t="shared" si="4"/>
        <v>542.36482758620684</v>
      </c>
      <c r="O162" s="122">
        <v>8144</v>
      </c>
      <c r="P162" s="121">
        <v>795.79999999999973</v>
      </c>
      <c r="Q162" s="121">
        <f t="shared" si="2"/>
        <v>901.44931034482727</v>
      </c>
      <c r="R162" s="122">
        <v>11407</v>
      </c>
      <c r="S162" s="121">
        <v>142.00000000000006</v>
      </c>
      <c r="T162" s="121">
        <f t="shared" si="3"/>
        <v>160.85172413793111</v>
      </c>
      <c r="U162" s="113"/>
      <c r="V162" s="113"/>
      <c r="W162" s="113"/>
      <c r="X162" s="113"/>
      <c r="Y162" s="113"/>
      <c r="Z162" s="113"/>
      <c r="AA162" s="113"/>
      <c r="AB162" s="113"/>
      <c r="AC162" s="113"/>
      <c r="AD162" s="113"/>
      <c r="AE162" s="113"/>
    </row>
    <row r="163" spans="1:31">
      <c r="A163" s="116">
        <v>1</v>
      </c>
      <c r="B163" s="116">
        <v>2006</v>
      </c>
      <c r="C163" s="124">
        <f>+E163</f>
        <v>155.21299999999999</v>
      </c>
      <c r="D163" s="116">
        <f>+G163</f>
        <v>139.72800000000001</v>
      </c>
      <c r="E163" s="116">
        <v>155.21299999999999</v>
      </c>
      <c r="F163" s="113"/>
      <c r="G163" s="116">
        <v>139.72800000000001</v>
      </c>
      <c r="H163" s="113"/>
      <c r="I163" s="121">
        <v>116.6</v>
      </c>
      <c r="J163" s="113">
        <v>1</v>
      </c>
      <c r="K163" s="113">
        <v>2006</v>
      </c>
      <c r="L163" s="122">
        <v>18196</v>
      </c>
      <c r="M163" s="121">
        <v>585</v>
      </c>
      <c r="N163" s="121">
        <f t="shared" si="4"/>
        <v>659.25385934819906</v>
      </c>
      <c r="O163" s="122">
        <v>6106</v>
      </c>
      <c r="P163" s="121">
        <v>947.2</v>
      </c>
      <c r="Q163" s="121">
        <f t="shared" si="2"/>
        <v>1067.4277873070328</v>
      </c>
      <c r="R163" s="122">
        <v>7106</v>
      </c>
      <c r="S163" s="121">
        <v>150.6</v>
      </c>
      <c r="T163" s="121">
        <f t="shared" si="3"/>
        <v>169.7156089193825</v>
      </c>
      <c r="U163" s="113"/>
      <c r="V163" s="113"/>
      <c r="W163" s="113"/>
      <c r="X163" s="113"/>
      <c r="Y163" s="113"/>
      <c r="Z163" s="113"/>
      <c r="AA163" s="113"/>
      <c r="AB163" s="113"/>
      <c r="AC163" s="113"/>
      <c r="AD163" s="113"/>
      <c r="AE163" s="113"/>
    </row>
    <row r="164" spans="1:31">
      <c r="A164" s="116">
        <v>2</v>
      </c>
      <c r="B164" s="116"/>
      <c r="C164" s="124">
        <f>+E164-E163</f>
        <v>147.44399999999999</v>
      </c>
      <c r="D164" s="116">
        <f>+G164-G163</f>
        <v>129.572</v>
      </c>
      <c r="E164" s="116">
        <v>302.65699999999998</v>
      </c>
      <c r="F164" s="113"/>
      <c r="G164" s="116">
        <v>269.3</v>
      </c>
      <c r="H164" s="113"/>
      <c r="I164" s="121">
        <v>117.9</v>
      </c>
      <c r="J164" s="113">
        <v>2</v>
      </c>
      <c r="K164" s="113"/>
      <c r="L164" s="122">
        <v>13943</v>
      </c>
      <c r="M164" s="121">
        <v>433.79999999999995</v>
      </c>
      <c r="N164" s="121">
        <f t="shared" si="4"/>
        <v>483.47175572519075</v>
      </c>
      <c r="O164" s="122">
        <v>5246</v>
      </c>
      <c r="P164" s="121">
        <v>811.2</v>
      </c>
      <c r="Q164" s="121">
        <f t="shared" si="2"/>
        <v>904.08549618320615</v>
      </c>
      <c r="R164" s="122">
        <v>9193</v>
      </c>
      <c r="S164" s="121">
        <v>176.1</v>
      </c>
      <c r="T164" s="121">
        <f t="shared" si="3"/>
        <v>196.26412213740457</v>
      </c>
      <c r="U164" s="113"/>
      <c r="V164" s="113"/>
      <c r="W164" s="113"/>
      <c r="X164" s="113"/>
      <c r="Y164" s="113"/>
      <c r="Z164" s="113"/>
      <c r="AA164" s="113"/>
      <c r="AB164" s="113"/>
      <c r="AC164" s="113"/>
      <c r="AD164" s="113"/>
      <c r="AE164" s="113"/>
    </row>
    <row r="165" spans="1:31">
      <c r="A165" s="116">
        <v>3</v>
      </c>
      <c r="B165" s="116"/>
      <c r="C165" s="124">
        <f>+E165-E164</f>
        <v>143.45100000000002</v>
      </c>
      <c r="D165" s="116">
        <f>+G165-G164</f>
        <v>126.00599999999997</v>
      </c>
      <c r="E165" s="116">
        <v>446.108</v>
      </c>
      <c r="F165" s="113"/>
      <c r="G165" s="116">
        <v>395.30599999999998</v>
      </c>
      <c r="H165" s="113"/>
      <c r="I165" s="125">
        <v>117.3</v>
      </c>
      <c r="J165" s="113">
        <v>3</v>
      </c>
      <c r="K165" s="113"/>
      <c r="L165" s="122">
        <v>13690</v>
      </c>
      <c r="M165" s="121">
        <v>496.59999999999991</v>
      </c>
      <c r="N165" s="121">
        <f t="shared" si="4"/>
        <v>556.29360613810729</v>
      </c>
      <c r="O165" s="122">
        <v>9450</v>
      </c>
      <c r="P165" s="121">
        <v>855.90000000000009</v>
      </c>
      <c r="Q165" s="121">
        <f t="shared" si="2"/>
        <v>958.78312020460373</v>
      </c>
      <c r="R165" s="122">
        <v>10840</v>
      </c>
      <c r="S165" s="121">
        <v>167.10000000000002</v>
      </c>
      <c r="T165" s="121">
        <f t="shared" si="3"/>
        <v>187.18618925831206</v>
      </c>
      <c r="U165" s="113"/>
      <c r="V165" s="113"/>
      <c r="W165" s="113"/>
      <c r="X165" s="113"/>
      <c r="Y165" s="113"/>
      <c r="Z165" s="113"/>
      <c r="AA165" s="113"/>
      <c r="AB165" s="113"/>
      <c r="AC165" s="113"/>
      <c r="AD165" s="113"/>
      <c r="AE165" s="113"/>
    </row>
    <row r="166" spans="1:31">
      <c r="A166" s="116">
        <v>4</v>
      </c>
      <c r="B166" s="116"/>
      <c r="C166" s="124">
        <f>+E166-E165</f>
        <v>148.56090999999998</v>
      </c>
      <c r="D166" s="116">
        <f>+G166-G165</f>
        <v>131.19532799999996</v>
      </c>
      <c r="E166" s="116">
        <v>594.66890999999998</v>
      </c>
      <c r="F166" s="113"/>
      <c r="G166" s="116">
        <v>526.50132799999994</v>
      </c>
      <c r="H166" s="113"/>
      <c r="I166" s="125">
        <v>119</v>
      </c>
      <c r="J166" s="113">
        <v>4</v>
      </c>
      <c r="K166" s="113"/>
      <c r="L166" s="122">
        <v>16682</v>
      </c>
      <c r="M166" s="121">
        <v>525.60000000000014</v>
      </c>
      <c r="N166" s="121">
        <f t="shared" si="4"/>
        <v>580.36840336134469</v>
      </c>
      <c r="O166" s="122">
        <v>10233</v>
      </c>
      <c r="P166" s="121">
        <v>826</v>
      </c>
      <c r="Q166" s="121">
        <f t="shared" si="2"/>
        <v>912.07058823529417</v>
      </c>
      <c r="R166" s="122">
        <v>9520</v>
      </c>
      <c r="S166" s="121">
        <v>144.09999999999997</v>
      </c>
      <c r="T166" s="121">
        <f t="shared" si="3"/>
        <v>159.11546218487391</v>
      </c>
      <c r="U166" s="113"/>
      <c r="V166" s="113"/>
      <c r="W166" s="113"/>
      <c r="X166" s="113"/>
      <c r="Y166" s="113"/>
      <c r="Z166" s="113"/>
      <c r="AA166" s="113"/>
      <c r="AB166" s="113"/>
      <c r="AC166" s="113"/>
      <c r="AD166" s="113"/>
      <c r="AE166" s="113"/>
    </row>
    <row r="167" spans="1:31">
      <c r="A167" s="116">
        <v>1</v>
      </c>
      <c r="B167" s="116">
        <v>2007</v>
      </c>
      <c r="C167" s="124">
        <f>+E167</f>
        <v>158.09976</v>
      </c>
      <c r="D167" s="116">
        <f>+G167</f>
        <v>141.08400800000001</v>
      </c>
      <c r="E167" s="116">
        <v>158.09976</v>
      </c>
      <c r="F167" s="113"/>
      <c r="G167" s="116">
        <v>141.08400800000001</v>
      </c>
      <c r="H167" s="113"/>
      <c r="I167" s="125">
        <v>117.5</v>
      </c>
      <c r="J167" s="113">
        <v>1</v>
      </c>
      <c r="K167" s="113">
        <v>2007</v>
      </c>
      <c r="L167" s="122">
        <v>18623</v>
      </c>
      <c r="M167" s="121">
        <v>649.6</v>
      </c>
      <c r="N167" s="121">
        <f t="shared" si="4"/>
        <v>726.44629787234044</v>
      </c>
      <c r="O167" s="122">
        <v>7737</v>
      </c>
      <c r="P167" s="121">
        <v>1092.1999999999998</v>
      </c>
      <c r="Q167" s="121">
        <f t="shared" si="2"/>
        <v>1221.4049361702127</v>
      </c>
      <c r="R167" s="122">
        <v>8112</v>
      </c>
      <c r="S167" s="121">
        <v>167.4</v>
      </c>
      <c r="T167" s="121">
        <f t="shared" si="3"/>
        <v>187.20306382978725</v>
      </c>
      <c r="U167" s="113"/>
      <c r="V167" s="113"/>
      <c r="W167" s="113"/>
      <c r="X167" s="113"/>
      <c r="Y167" s="113"/>
      <c r="Z167" s="113"/>
      <c r="AA167" s="113"/>
      <c r="AB167" s="113"/>
      <c r="AC167" s="113"/>
      <c r="AD167" s="113"/>
      <c r="AE167" s="113"/>
    </row>
    <row r="168" spans="1:31">
      <c r="A168" s="116">
        <v>2</v>
      </c>
      <c r="B168" s="116"/>
      <c r="C168" s="124">
        <f>+E168-E167</f>
        <v>161.61276000000004</v>
      </c>
      <c r="D168" s="116">
        <f>+G168-G167</f>
        <v>142.897008</v>
      </c>
      <c r="E168" s="116">
        <v>319.71252000000004</v>
      </c>
      <c r="F168" s="113"/>
      <c r="G168" s="116">
        <v>283.98101600000001</v>
      </c>
      <c r="H168" s="113"/>
      <c r="I168" s="125">
        <v>118.3</v>
      </c>
      <c r="J168" s="113">
        <v>2</v>
      </c>
      <c r="K168" s="113"/>
      <c r="L168" s="122">
        <v>15831</v>
      </c>
      <c r="M168" s="121">
        <v>514.19999999999993</v>
      </c>
      <c r="N168" s="121">
        <f t="shared" si="4"/>
        <v>571.14015215553684</v>
      </c>
      <c r="O168" s="122">
        <v>5067</v>
      </c>
      <c r="P168" s="121">
        <v>1041.6999999999998</v>
      </c>
      <c r="Q168" s="121">
        <f t="shared" ref="Q168:Q189" si="5">P168/I168*$I$69</f>
        <v>1157.0530853761622</v>
      </c>
      <c r="R168" s="122">
        <v>10608</v>
      </c>
      <c r="S168" s="121">
        <v>160.99999999999997</v>
      </c>
      <c r="T168" s="121">
        <f t="shared" ref="T168:T189" si="6">S168/I168*$I$69</f>
        <v>178.82840236686388</v>
      </c>
      <c r="U168" s="113"/>
      <c r="V168" s="113"/>
      <c r="W168" s="113"/>
      <c r="X168" s="113"/>
      <c r="Y168" s="113"/>
      <c r="Z168" s="113"/>
      <c r="AA168" s="113"/>
      <c r="AB168" s="113"/>
      <c r="AC168" s="113"/>
      <c r="AD168" s="113"/>
      <c r="AE168" s="113"/>
    </row>
    <row r="169" spans="1:31">
      <c r="A169" s="116">
        <v>3</v>
      </c>
      <c r="B169" s="116"/>
      <c r="C169" s="124">
        <f>+E169-E168</f>
        <v>135.82058024999998</v>
      </c>
      <c r="D169" s="116">
        <f>+G169-G168</f>
        <v>119.75308425000003</v>
      </c>
      <c r="E169" s="116">
        <v>455.53310025000002</v>
      </c>
      <c r="F169" s="113"/>
      <c r="G169" s="116">
        <v>403.73410025000004</v>
      </c>
      <c r="H169" s="113"/>
      <c r="I169" s="125">
        <v>117.8</v>
      </c>
      <c r="J169" s="113">
        <v>3</v>
      </c>
      <c r="K169" s="113"/>
      <c r="L169" s="122">
        <v>18428</v>
      </c>
      <c r="M169" s="121">
        <v>654.20000000000027</v>
      </c>
      <c r="N169" s="121">
        <f t="shared" si="4"/>
        <v>729.72733446519567</v>
      </c>
      <c r="O169" s="122">
        <v>6417</v>
      </c>
      <c r="P169" s="121">
        <v>679.60000000000036</v>
      </c>
      <c r="Q169" s="121">
        <f t="shared" si="5"/>
        <v>758.05976230899876</v>
      </c>
      <c r="R169" s="122">
        <v>10319</v>
      </c>
      <c r="S169" s="121">
        <v>152.89999999999998</v>
      </c>
      <c r="T169" s="121">
        <f t="shared" si="6"/>
        <v>170.5522920203735</v>
      </c>
      <c r="U169" s="113"/>
      <c r="V169" s="113"/>
      <c r="W169" s="113"/>
      <c r="X169" s="113"/>
      <c r="Y169" s="113"/>
      <c r="Z169" s="113"/>
      <c r="AA169" s="113"/>
      <c r="AB169" s="113"/>
      <c r="AC169" s="113"/>
      <c r="AD169" s="113"/>
      <c r="AE169" s="113"/>
    </row>
    <row r="170" spans="1:31">
      <c r="A170" s="116">
        <v>4</v>
      </c>
      <c r="B170" s="116"/>
      <c r="C170" s="124">
        <f>+E170-E169</f>
        <v>149.79139924999998</v>
      </c>
      <c r="D170" s="116">
        <f>+G170-G169</f>
        <v>133.49839924999998</v>
      </c>
      <c r="E170" s="116">
        <v>605.3244995</v>
      </c>
      <c r="F170" s="113"/>
      <c r="G170" s="116">
        <v>537.23249950000002</v>
      </c>
      <c r="H170" s="113"/>
      <c r="I170" s="125">
        <v>120.8</v>
      </c>
      <c r="J170" s="113">
        <v>4</v>
      </c>
      <c r="K170" s="113"/>
      <c r="L170" s="122">
        <v>15870</v>
      </c>
      <c r="M170" s="121">
        <v>567.19999999999959</v>
      </c>
      <c r="N170" s="121">
        <f t="shared" si="4"/>
        <v>616.97086092715199</v>
      </c>
      <c r="O170" s="122">
        <v>5114</v>
      </c>
      <c r="P170" s="121">
        <v>911.69999999999982</v>
      </c>
      <c r="Q170" s="121">
        <f t="shared" si="5"/>
        <v>991.70016556291375</v>
      </c>
      <c r="R170" s="122">
        <v>8645</v>
      </c>
      <c r="S170" s="121">
        <v>142.80000000000007</v>
      </c>
      <c r="T170" s="121">
        <f t="shared" si="6"/>
        <v>155.33046357615902</v>
      </c>
      <c r="U170" s="113"/>
      <c r="V170" s="113"/>
      <c r="W170" s="113"/>
      <c r="X170" s="113"/>
      <c r="Y170" s="113"/>
      <c r="Z170" s="113"/>
      <c r="AA170" s="113"/>
      <c r="AB170" s="113"/>
      <c r="AC170" s="113"/>
      <c r="AD170" s="113"/>
      <c r="AE170" s="113"/>
    </row>
    <row r="171" spans="1:31">
      <c r="A171" s="116">
        <v>1</v>
      </c>
      <c r="B171" s="116">
        <v>2008</v>
      </c>
      <c r="C171" s="124">
        <f>+E171</f>
        <v>164.64169099999998</v>
      </c>
      <c r="D171" s="116">
        <f>+G171</f>
        <v>148.61369099999999</v>
      </c>
      <c r="E171" s="116">
        <v>164.64169099999998</v>
      </c>
      <c r="F171" s="113"/>
      <c r="G171" s="116">
        <v>148.61369099999999</v>
      </c>
      <c r="H171" s="113"/>
      <c r="I171" s="125">
        <v>121.9</v>
      </c>
      <c r="J171" s="113">
        <v>1</v>
      </c>
      <c r="K171" s="113">
        <v>2008</v>
      </c>
      <c r="L171" s="122">
        <v>17004</v>
      </c>
      <c r="M171" s="121">
        <v>591.9</v>
      </c>
      <c r="N171" s="121">
        <f t="shared" si="4"/>
        <v>638.02838392124681</v>
      </c>
      <c r="O171" s="122">
        <v>6274</v>
      </c>
      <c r="P171" s="121">
        <v>963.6</v>
      </c>
      <c r="Q171" s="121">
        <f t="shared" si="5"/>
        <v>1038.6959803117311</v>
      </c>
      <c r="R171" s="122">
        <v>7939</v>
      </c>
      <c r="S171" s="121">
        <v>160.1</v>
      </c>
      <c r="T171" s="121">
        <f t="shared" si="6"/>
        <v>172.57703035274815</v>
      </c>
      <c r="U171" s="113"/>
      <c r="V171" s="113"/>
      <c r="W171" s="113"/>
      <c r="X171" s="113"/>
      <c r="Y171" s="113"/>
      <c r="Z171" s="113"/>
      <c r="AA171" s="113"/>
      <c r="AB171" s="113"/>
      <c r="AC171" s="113"/>
      <c r="AD171" s="113"/>
      <c r="AE171" s="113"/>
    </row>
    <row r="172" spans="1:31">
      <c r="A172" s="116">
        <v>2</v>
      </c>
      <c r="B172" s="116"/>
      <c r="C172" s="124">
        <f>+E172-E171</f>
        <v>197.28657850000002</v>
      </c>
      <c r="D172" s="116">
        <f>+G172-G171</f>
        <v>175.71357850000001</v>
      </c>
      <c r="E172" s="116">
        <v>361.9282695</v>
      </c>
      <c r="F172" s="113"/>
      <c r="G172" s="116">
        <v>324.3272695</v>
      </c>
      <c r="H172" s="113"/>
      <c r="I172" s="125">
        <v>122</v>
      </c>
      <c r="J172" s="113">
        <v>2</v>
      </c>
      <c r="K172" s="113"/>
      <c r="L172" s="122">
        <v>14987</v>
      </c>
      <c r="M172" s="121">
        <v>548.4</v>
      </c>
      <c r="N172" s="121">
        <f t="shared" ref="N172:N181" si="7">M172/I172*$I$69</f>
        <v>590.65377049180336</v>
      </c>
      <c r="O172" s="122">
        <v>5831</v>
      </c>
      <c r="P172" s="121">
        <v>1153.8000000000002</v>
      </c>
      <c r="Q172" s="121">
        <f t="shared" si="5"/>
        <v>1242.6993442622954</v>
      </c>
      <c r="R172" s="122">
        <v>10207</v>
      </c>
      <c r="S172" s="121">
        <v>188.4</v>
      </c>
      <c r="T172" s="121">
        <f t="shared" si="6"/>
        <v>202.91606557377051</v>
      </c>
      <c r="U172" s="113"/>
      <c r="V172" s="113"/>
      <c r="W172" s="113"/>
      <c r="X172" s="113"/>
      <c r="Y172" s="113"/>
      <c r="Z172" s="113"/>
      <c r="AA172" s="113"/>
      <c r="AB172" s="113"/>
      <c r="AC172" s="113"/>
      <c r="AD172" s="113"/>
      <c r="AE172" s="113"/>
    </row>
    <row r="173" spans="1:31">
      <c r="A173" s="116">
        <v>3</v>
      </c>
      <c r="B173" s="116"/>
      <c r="C173" s="124">
        <f>+E173-E172</f>
        <v>159.71767174999997</v>
      </c>
      <c r="D173" s="116">
        <f>+G173-G172</f>
        <v>141.40667174999999</v>
      </c>
      <c r="E173" s="116">
        <v>521.64594124999996</v>
      </c>
      <c r="F173" s="113"/>
      <c r="G173" s="116">
        <v>465.73394124999999</v>
      </c>
      <c r="H173" s="113"/>
      <c r="I173" s="125">
        <v>123.1</v>
      </c>
      <c r="J173" s="113">
        <v>3</v>
      </c>
      <c r="K173" s="113"/>
      <c r="L173" s="122">
        <v>19290</v>
      </c>
      <c r="M173" s="121">
        <v>722.70000000000027</v>
      </c>
      <c r="N173" s="121">
        <f t="shared" si="7"/>
        <v>771.42794476035783</v>
      </c>
      <c r="O173" s="122">
        <v>12252</v>
      </c>
      <c r="P173" s="121">
        <v>1486.4999999999995</v>
      </c>
      <c r="Q173" s="121">
        <f t="shared" si="5"/>
        <v>1586.7270511779038</v>
      </c>
      <c r="R173" s="122">
        <v>11007</v>
      </c>
      <c r="S173" s="121">
        <v>186.29999999999995</v>
      </c>
      <c r="T173" s="121">
        <f t="shared" si="6"/>
        <v>198.86125101543456</v>
      </c>
      <c r="U173" s="113"/>
      <c r="V173" s="113"/>
      <c r="W173" s="113"/>
      <c r="X173" s="113"/>
      <c r="Y173" s="113"/>
      <c r="Z173" s="113"/>
      <c r="AA173" s="113"/>
      <c r="AB173" s="113"/>
      <c r="AC173" s="113"/>
      <c r="AD173" s="113"/>
      <c r="AE173" s="113"/>
    </row>
    <row r="174" spans="1:31">
      <c r="A174" s="116">
        <v>4</v>
      </c>
      <c r="B174" s="116"/>
      <c r="C174" s="124">
        <f>+E174-E173</f>
        <v>170.05706974999998</v>
      </c>
      <c r="D174" s="116">
        <f>+G174-G173</f>
        <v>152.54014889999991</v>
      </c>
      <c r="E174" s="116">
        <v>691.70301099999995</v>
      </c>
      <c r="F174" s="113"/>
      <c r="G174" s="116">
        <v>618.27409014999989</v>
      </c>
      <c r="H174" s="113"/>
      <c r="I174" s="121">
        <v>124.7</v>
      </c>
      <c r="J174" s="113">
        <v>4</v>
      </c>
      <c r="K174" s="113"/>
      <c r="L174" s="122">
        <v>16976</v>
      </c>
      <c r="M174" s="121">
        <v>703.10000000000014</v>
      </c>
      <c r="N174" s="121">
        <f t="shared" si="7"/>
        <v>740.87682437850867</v>
      </c>
      <c r="O174" s="122">
        <v>7247</v>
      </c>
      <c r="P174" s="121">
        <v>1160</v>
      </c>
      <c r="Q174" s="121">
        <f t="shared" si="5"/>
        <v>1222.325581395349</v>
      </c>
      <c r="R174" s="122">
        <v>10145</v>
      </c>
      <c r="S174" s="121">
        <v>269.60000000000014</v>
      </c>
      <c r="T174" s="121">
        <f t="shared" si="6"/>
        <v>284.08532477947091</v>
      </c>
      <c r="U174" s="113"/>
      <c r="V174" s="113"/>
      <c r="W174" s="113"/>
      <c r="X174" s="113"/>
      <c r="Y174" s="113"/>
      <c r="Z174" s="113"/>
      <c r="AA174" s="113"/>
      <c r="AB174" s="113"/>
      <c r="AC174" s="113"/>
      <c r="AD174" s="113"/>
      <c r="AE174" s="113"/>
    </row>
    <row r="175" spans="1:31">
      <c r="A175" s="116">
        <v>1</v>
      </c>
      <c r="B175" s="116">
        <v>2009</v>
      </c>
      <c r="C175" s="124">
        <f>+E175</f>
        <v>191.37959499999999</v>
      </c>
      <c r="D175" s="116">
        <f>+G175</f>
        <v>172.55938714999999</v>
      </c>
      <c r="E175" s="116">
        <v>191.37959499999999</v>
      </c>
      <c r="F175" s="113"/>
      <c r="G175" s="116">
        <v>172.55938714999999</v>
      </c>
      <c r="H175" s="113"/>
      <c r="I175" s="121">
        <v>125</v>
      </c>
      <c r="J175" s="113">
        <v>1</v>
      </c>
      <c r="K175" s="113">
        <v>2009</v>
      </c>
      <c r="L175" s="122">
        <v>18865</v>
      </c>
      <c r="M175" s="121">
        <v>739.59999999999991</v>
      </c>
      <c r="N175" s="121">
        <f t="shared" si="7"/>
        <v>777.46751999999992</v>
      </c>
      <c r="O175" s="122">
        <v>6194</v>
      </c>
      <c r="P175" s="121">
        <v>1049.9000000000001</v>
      </c>
      <c r="Q175" s="121">
        <f t="shared" si="5"/>
        <v>1103.65488</v>
      </c>
      <c r="R175" s="122">
        <v>8619</v>
      </c>
      <c r="S175" s="121">
        <v>213.2</v>
      </c>
      <c r="T175" s="121">
        <f t="shared" si="6"/>
        <v>224.11584000000002</v>
      </c>
      <c r="U175" s="113"/>
      <c r="V175" s="113"/>
      <c r="W175" s="113"/>
      <c r="X175" s="113"/>
      <c r="Y175" s="113"/>
      <c r="Z175" s="113"/>
      <c r="AA175" s="113"/>
      <c r="AB175" s="113"/>
      <c r="AC175" s="113"/>
      <c r="AD175" s="113"/>
      <c r="AE175" s="113"/>
    </row>
    <row r="176" spans="1:31">
      <c r="A176" s="116">
        <v>2</v>
      </c>
      <c r="B176" s="116"/>
      <c r="C176" s="124">
        <f>+E176-E175</f>
        <v>178.90604250000001</v>
      </c>
      <c r="D176" s="116">
        <f>+G176-G175</f>
        <v>160.765232725</v>
      </c>
      <c r="E176" s="116">
        <v>370.28563750000001</v>
      </c>
      <c r="F176" s="113"/>
      <c r="G176" s="116">
        <v>333.324619875</v>
      </c>
      <c r="H176" s="113"/>
      <c r="I176" s="121">
        <v>125.7</v>
      </c>
      <c r="J176" s="113">
        <v>2</v>
      </c>
      <c r="K176" s="113"/>
      <c r="L176" s="122">
        <v>14610</v>
      </c>
      <c r="M176" s="121">
        <v>603.80000000000018</v>
      </c>
      <c r="N176" s="121">
        <f t="shared" si="7"/>
        <v>631.17995226730329</v>
      </c>
      <c r="O176" s="122">
        <v>5486</v>
      </c>
      <c r="P176" s="121">
        <v>1077.9000000000001</v>
      </c>
      <c r="Q176" s="121">
        <f t="shared" si="5"/>
        <v>1126.7785202863963</v>
      </c>
      <c r="R176" s="122">
        <v>11296</v>
      </c>
      <c r="S176" s="121">
        <v>235.3</v>
      </c>
      <c r="T176" s="121">
        <f t="shared" si="6"/>
        <v>245.96992840095467</v>
      </c>
      <c r="U176" s="113"/>
      <c r="V176" s="113"/>
      <c r="W176" s="113"/>
      <c r="X176" s="113"/>
      <c r="Y176" s="113"/>
      <c r="Z176" s="113"/>
      <c r="AA176" s="113"/>
      <c r="AB176" s="113"/>
      <c r="AC176" s="113"/>
      <c r="AD176" s="113"/>
      <c r="AE176" s="113"/>
    </row>
    <row r="177" spans="1:31">
      <c r="A177" s="116">
        <v>3</v>
      </c>
      <c r="B177" s="116"/>
      <c r="C177" s="124">
        <f>+E177-E176</f>
        <v>160.23377500000004</v>
      </c>
      <c r="D177" s="116">
        <f>+G177-G176</f>
        <v>142.31202375000004</v>
      </c>
      <c r="E177" s="116">
        <v>530.51941250000004</v>
      </c>
      <c r="F177" s="113"/>
      <c r="G177" s="116">
        <v>475.63664362500003</v>
      </c>
      <c r="H177" s="113"/>
      <c r="I177" s="121">
        <v>125.4</v>
      </c>
      <c r="J177" s="113">
        <v>3</v>
      </c>
      <c r="K177" s="113"/>
      <c r="L177" s="122">
        <v>19220</v>
      </c>
      <c r="M177" s="121">
        <v>795.69999999999982</v>
      </c>
      <c r="N177" s="121">
        <f t="shared" si="7"/>
        <v>833.77177033492808</v>
      </c>
      <c r="O177" s="122">
        <v>13278</v>
      </c>
      <c r="P177" s="121">
        <v>1278.0999999999999</v>
      </c>
      <c r="Q177" s="121">
        <f t="shared" si="5"/>
        <v>1339.2531100478468</v>
      </c>
      <c r="R177" s="122">
        <v>11383</v>
      </c>
      <c r="S177" s="121">
        <v>231.79999999999995</v>
      </c>
      <c r="T177" s="121">
        <f t="shared" si="6"/>
        <v>242.89090909090902</v>
      </c>
      <c r="U177" s="113"/>
      <c r="V177" s="113"/>
      <c r="W177" s="113"/>
      <c r="X177" s="113"/>
      <c r="Y177" s="113"/>
      <c r="Z177" s="113"/>
      <c r="AA177" s="113"/>
      <c r="AB177" s="113"/>
      <c r="AC177" s="113"/>
      <c r="AD177" s="113"/>
      <c r="AE177" s="113"/>
    </row>
    <row r="178" spans="1:31">
      <c r="A178" s="116">
        <v>4</v>
      </c>
      <c r="B178" s="116"/>
      <c r="C178" s="124">
        <f>+E178-E177</f>
        <v>179.8571388695641</v>
      </c>
      <c r="D178" s="116">
        <f>+G178-G177</f>
        <v>163.53199924456408</v>
      </c>
      <c r="E178" s="116">
        <v>710.37655136956414</v>
      </c>
      <c r="F178" s="113"/>
      <c r="G178" s="116">
        <v>639.16864286956411</v>
      </c>
      <c r="H178" s="113"/>
      <c r="I178" s="121">
        <v>126.6</v>
      </c>
      <c r="J178" s="113">
        <v>4</v>
      </c>
      <c r="K178" s="113"/>
      <c r="L178" s="122">
        <v>16838</v>
      </c>
      <c r="M178" s="121">
        <v>759.30000000000018</v>
      </c>
      <c r="N178" s="121">
        <f t="shared" si="7"/>
        <v>788.08862559241732</v>
      </c>
      <c r="O178" s="122">
        <v>6227</v>
      </c>
      <c r="P178" s="121">
        <v>1192.2000000000003</v>
      </c>
      <c r="Q178" s="121">
        <f t="shared" si="5"/>
        <v>1237.4018957345977</v>
      </c>
      <c r="R178" s="122">
        <v>10409</v>
      </c>
      <c r="S178" s="121">
        <v>276.40000000000009</v>
      </c>
      <c r="T178" s="121">
        <f t="shared" si="6"/>
        <v>286.87962085308067</v>
      </c>
      <c r="U178" s="113"/>
      <c r="V178" s="113"/>
      <c r="W178" s="113"/>
      <c r="X178" s="113"/>
      <c r="Y178" s="113"/>
      <c r="Z178" s="113"/>
      <c r="AA178" s="113"/>
      <c r="AB178" s="113"/>
      <c r="AC178" s="113"/>
      <c r="AD178" s="113"/>
      <c r="AE178" s="113"/>
    </row>
    <row r="179" spans="1:31">
      <c r="A179" s="116">
        <v>1</v>
      </c>
      <c r="B179" s="116">
        <v>2010</v>
      </c>
      <c r="C179" s="124">
        <f>+E179</f>
        <v>204.63648875000001</v>
      </c>
      <c r="D179" s="116">
        <f>+G179</f>
        <v>186.506571025</v>
      </c>
      <c r="E179" s="116">
        <v>204.63648875000001</v>
      </c>
      <c r="F179" s="113"/>
      <c r="G179" s="116">
        <v>186.506571025</v>
      </c>
      <c r="H179" s="113"/>
      <c r="I179" s="121">
        <v>128.69999999999999</v>
      </c>
      <c r="J179" s="113">
        <v>1</v>
      </c>
      <c r="K179" s="113">
        <v>2010</v>
      </c>
      <c r="L179" s="122">
        <v>40484.70904761905</v>
      </c>
      <c r="M179" s="121">
        <v>1693.2251146266974</v>
      </c>
      <c r="N179" s="121">
        <f t="shared" si="7"/>
        <v>1728.7473198286561</v>
      </c>
      <c r="O179" s="122">
        <v>6690</v>
      </c>
      <c r="P179" s="121">
        <v>1648.5</v>
      </c>
      <c r="Q179" s="121">
        <f t="shared" si="5"/>
        <v>1683.0839160839164</v>
      </c>
      <c r="R179" s="122">
        <v>7227</v>
      </c>
      <c r="S179" s="121">
        <v>243.10000000000002</v>
      </c>
      <c r="T179" s="121">
        <f t="shared" si="6"/>
        <v>248.20000000000007</v>
      </c>
      <c r="U179" s="113"/>
      <c r="V179" s="113"/>
      <c r="W179" s="113"/>
      <c r="X179" s="113"/>
      <c r="Y179" s="113"/>
      <c r="Z179" s="113"/>
      <c r="AA179" s="113"/>
      <c r="AB179" s="113"/>
      <c r="AC179" s="113"/>
      <c r="AD179" s="113"/>
      <c r="AE179" s="113"/>
    </row>
    <row r="180" spans="1:31">
      <c r="A180" s="116">
        <v>2</v>
      </c>
      <c r="B180" s="116"/>
      <c r="C180" s="124">
        <f>+E180-E179</f>
        <v>188.95691625000001</v>
      </c>
      <c r="D180" s="116">
        <f>+G180-G179</f>
        <v>170.46253197500002</v>
      </c>
      <c r="E180" s="116">
        <v>393.59340500000002</v>
      </c>
      <c r="F180" s="113"/>
      <c r="G180" s="116">
        <v>356.96910300000002</v>
      </c>
      <c r="H180" s="113"/>
      <c r="I180" s="121">
        <v>128.9</v>
      </c>
      <c r="J180" s="113">
        <v>2</v>
      </c>
      <c r="K180" s="113"/>
      <c r="L180" s="122">
        <v>20633.79583333333</v>
      </c>
      <c r="M180" s="121">
        <v>864.97098885712671</v>
      </c>
      <c r="N180" s="121">
        <f t="shared" si="7"/>
        <v>881.74699717475914</v>
      </c>
      <c r="O180" s="122">
        <v>5716</v>
      </c>
      <c r="P180" s="121">
        <v>1381.6999999999998</v>
      </c>
      <c r="Q180" s="121">
        <f t="shared" si="5"/>
        <v>1408.4979053529867</v>
      </c>
      <c r="R180" s="122">
        <v>10696</v>
      </c>
      <c r="S180" s="121">
        <v>201.60000000000002</v>
      </c>
      <c r="T180" s="121">
        <f t="shared" si="6"/>
        <v>205.51000775795194</v>
      </c>
      <c r="U180" s="113"/>
      <c r="V180" s="113"/>
      <c r="W180" s="113"/>
      <c r="X180" s="113"/>
      <c r="Y180" s="113"/>
      <c r="Z180" s="113"/>
      <c r="AA180" s="113"/>
      <c r="AB180" s="113"/>
      <c r="AC180" s="113"/>
      <c r="AD180" s="113"/>
      <c r="AE180" s="113"/>
    </row>
    <row r="181" spans="1:31">
      <c r="A181" s="116">
        <v>3</v>
      </c>
      <c r="B181" s="116"/>
      <c r="C181" s="124">
        <f>+E181-E180</f>
        <v>172.07737875000004</v>
      </c>
      <c r="D181" s="116">
        <f>+G181-G180</f>
        <v>154.15607493749997</v>
      </c>
      <c r="E181" s="116">
        <v>565.67078375000006</v>
      </c>
      <c r="F181" s="113"/>
      <c r="G181" s="116">
        <v>511.12517793749998</v>
      </c>
      <c r="H181" s="113"/>
      <c r="I181" s="121">
        <v>127.8</v>
      </c>
      <c r="J181" s="113">
        <v>3</v>
      </c>
      <c r="K181" s="113"/>
      <c r="L181" s="122">
        <v>19149.335833333338</v>
      </c>
      <c r="M181" s="121">
        <v>861.71516601647909</v>
      </c>
      <c r="N181" s="121">
        <f t="shared" si="7"/>
        <v>885.98883266483074</v>
      </c>
      <c r="O181" s="122">
        <v>9089</v>
      </c>
      <c r="P181" s="121">
        <v>1286.1999999999998</v>
      </c>
      <c r="Q181" s="121">
        <f t="shared" si="5"/>
        <v>1322.430985915493</v>
      </c>
      <c r="R181" s="122">
        <v>11532</v>
      </c>
      <c r="S181" s="121">
        <v>200.69999999999993</v>
      </c>
      <c r="T181" s="121">
        <f t="shared" si="6"/>
        <v>206.35352112676051</v>
      </c>
      <c r="U181" s="113"/>
      <c r="V181" s="113"/>
      <c r="W181" s="113"/>
      <c r="X181" s="113"/>
      <c r="Y181" s="113"/>
      <c r="Z181" s="113"/>
      <c r="AA181" s="113"/>
      <c r="AB181" s="113"/>
      <c r="AC181" s="113"/>
      <c r="AD181" s="113"/>
      <c r="AE181" s="113"/>
    </row>
    <row r="182" spans="1:31">
      <c r="A182" s="116">
        <v>4</v>
      </c>
      <c r="B182" s="116"/>
      <c r="C182" s="124">
        <f>+E182-E181</f>
        <v>192.96143124999992</v>
      </c>
      <c r="D182" s="116">
        <f>+G182-G181</f>
        <v>174.39946771249993</v>
      </c>
      <c r="E182" s="116">
        <v>758.63221499999997</v>
      </c>
      <c r="F182" s="113"/>
      <c r="G182" s="116">
        <v>685.52464564999991</v>
      </c>
      <c r="H182" s="113"/>
      <c r="I182" s="121">
        <v>129</v>
      </c>
      <c r="J182" s="113">
        <v>4</v>
      </c>
      <c r="K182" s="113"/>
      <c r="L182" s="122">
        <v>22322.361666666664</v>
      </c>
      <c r="M182" s="121">
        <v>889.84894905372039</v>
      </c>
      <c r="N182" s="121">
        <f t="shared" ref="N182" si="8">M182/I182*$I$69</f>
        <v>906.4042783384408</v>
      </c>
      <c r="O182" s="122">
        <v>5858</v>
      </c>
      <c r="P182" s="121">
        <v>1310.8000000000011</v>
      </c>
      <c r="Q182" s="121">
        <f t="shared" si="5"/>
        <v>1335.1869767441872</v>
      </c>
      <c r="R182" s="122">
        <v>9548</v>
      </c>
      <c r="S182" s="121">
        <v>205</v>
      </c>
      <c r="T182" s="121">
        <f t="shared" si="6"/>
        <v>208.81395348837211</v>
      </c>
      <c r="U182" s="113"/>
      <c r="V182" s="113"/>
      <c r="W182" s="113"/>
      <c r="X182" s="113"/>
      <c r="Y182" s="113"/>
      <c r="Z182" s="113"/>
      <c r="AA182" s="113"/>
      <c r="AB182" s="113"/>
      <c r="AC182" s="113"/>
      <c r="AD182" s="113"/>
      <c r="AE182" s="113"/>
    </row>
    <row r="183" spans="1:31">
      <c r="A183" s="116">
        <v>1</v>
      </c>
      <c r="B183" s="116">
        <v>2011</v>
      </c>
      <c r="C183" s="124">
        <f>+E183</f>
        <v>204.00503875000001</v>
      </c>
      <c r="D183" s="116">
        <f>+G183</f>
        <v>184.8599929625</v>
      </c>
      <c r="E183" s="116">
        <v>204.00503875000001</v>
      </c>
      <c r="F183" s="113"/>
      <c r="G183" s="116">
        <v>184.8599929625</v>
      </c>
      <c r="H183" s="113"/>
      <c r="I183" s="121">
        <v>130.19999999999999</v>
      </c>
      <c r="J183" s="113">
        <v>1</v>
      </c>
      <c r="K183" s="113">
        <v>2011</v>
      </c>
      <c r="L183" s="122">
        <v>26141.662648809524</v>
      </c>
      <c r="M183" s="121">
        <v>1061.4209517567813</v>
      </c>
      <c r="N183" s="121">
        <f t="shared" ref="N183:N186" si="9">M183/I183*$I$69</f>
        <v>1071.2036333397932</v>
      </c>
      <c r="O183" s="122">
        <v>5959</v>
      </c>
      <c r="P183" s="121">
        <v>1698.7</v>
      </c>
      <c r="Q183" s="121">
        <f t="shared" si="5"/>
        <v>1714.3562211981568</v>
      </c>
      <c r="R183" s="122">
        <v>6732</v>
      </c>
      <c r="S183" s="121">
        <v>156.5</v>
      </c>
      <c r="T183" s="121">
        <f t="shared" si="6"/>
        <v>157.94239631336407</v>
      </c>
      <c r="U183" s="113"/>
      <c r="V183" s="113"/>
      <c r="W183" s="113"/>
      <c r="X183" s="113"/>
      <c r="Y183" s="113"/>
      <c r="Z183" s="113"/>
      <c r="AA183" s="113"/>
      <c r="AB183" s="113"/>
      <c r="AC183" s="113"/>
      <c r="AD183" s="113"/>
      <c r="AE183" s="113"/>
    </row>
    <row r="184" spans="1:31">
      <c r="A184" s="116">
        <v>2</v>
      </c>
      <c r="B184" s="116"/>
      <c r="C184" s="124">
        <f>+E184-E183</f>
        <v>188.74104374999999</v>
      </c>
      <c r="D184" s="116">
        <f>+G184-G183</f>
        <v>171.33320521249996</v>
      </c>
      <c r="E184" s="113">
        <v>392.7460825</v>
      </c>
      <c r="F184" s="113"/>
      <c r="G184" s="113">
        <v>356.19319817499996</v>
      </c>
      <c r="H184" s="113"/>
      <c r="I184" s="121">
        <v>131</v>
      </c>
      <c r="J184" s="113">
        <v>2</v>
      </c>
      <c r="K184" s="113"/>
      <c r="L184" s="130">
        <v>18851.951101190472</v>
      </c>
      <c r="M184" s="131">
        <v>776.58308820124375</v>
      </c>
      <c r="N184" s="121">
        <f t="shared" si="9"/>
        <v>778.95433427208729</v>
      </c>
      <c r="O184" s="122">
        <v>7524</v>
      </c>
      <c r="P184" s="121">
        <v>1533.4000000000003</v>
      </c>
      <c r="Q184" s="121">
        <f t="shared" si="5"/>
        <v>1538.0821374045804</v>
      </c>
      <c r="R184" s="122">
        <v>10017</v>
      </c>
      <c r="S184" s="121">
        <v>197.79999999999995</v>
      </c>
      <c r="T184" s="121">
        <f t="shared" si="6"/>
        <v>198.4039694656488</v>
      </c>
      <c r="U184" s="113"/>
      <c r="V184" s="113"/>
      <c r="W184" s="113"/>
      <c r="X184" s="113"/>
      <c r="Y184" s="113"/>
      <c r="Z184" s="113"/>
      <c r="AA184" s="113"/>
      <c r="AB184" s="113"/>
      <c r="AC184" s="113"/>
      <c r="AD184" s="113"/>
      <c r="AE184" s="113"/>
    </row>
    <row r="185" spans="1:31">
      <c r="A185" s="116">
        <v>3</v>
      </c>
      <c r="B185" s="113"/>
      <c r="C185" s="124">
        <f>+E185-E184</f>
        <v>169.93391749999995</v>
      </c>
      <c r="D185" s="116">
        <f>+G185-G184</f>
        <v>151.69380182500004</v>
      </c>
      <c r="E185" s="113">
        <v>562.67999999999995</v>
      </c>
      <c r="F185" s="113"/>
      <c r="G185" s="113">
        <v>507.887</v>
      </c>
      <c r="H185" s="113"/>
      <c r="I185" s="121">
        <v>129.4</v>
      </c>
      <c r="J185" s="113">
        <v>3</v>
      </c>
      <c r="K185" s="113"/>
      <c r="L185" s="130">
        <v>24107.386250000007</v>
      </c>
      <c r="M185" s="131">
        <v>914.64669811090494</v>
      </c>
      <c r="N185" s="121">
        <f t="shared" si="9"/>
        <v>928.78343223935781</v>
      </c>
      <c r="O185" s="122">
        <v>10171</v>
      </c>
      <c r="P185" s="121">
        <v>1285.3999999999996</v>
      </c>
      <c r="Q185" s="121">
        <f t="shared" si="5"/>
        <v>1305.2670788253474</v>
      </c>
      <c r="R185" s="122">
        <v>10339</v>
      </c>
      <c r="S185" s="121">
        <v>167.29999999999995</v>
      </c>
      <c r="T185" s="121">
        <f t="shared" si="6"/>
        <v>169.88578052550227</v>
      </c>
      <c r="U185" s="113"/>
      <c r="V185" s="113"/>
      <c r="W185" s="113"/>
      <c r="X185" s="113"/>
      <c r="Y185" s="113"/>
      <c r="Z185" s="113"/>
      <c r="AA185" s="113"/>
      <c r="AB185" s="113"/>
      <c r="AC185" s="113"/>
      <c r="AD185" s="113"/>
      <c r="AE185" s="113"/>
    </row>
    <row r="186" spans="1:31">
      <c r="A186" s="113">
        <v>4</v>
      </c>
      <c r="B186" s="113"/>
      <c r="C186" s="124">
        <f>+E186-E185</f>
        <v>202.17554500000006</v>
      </c>
      <c r="D186" s="116">
        <f>+G186-G185</f>
        <v>178.91908595000001</v>
      </c>
      <c r="E186" s="113">
        <v>764.85554500000001</v>
      </c>
      <c r="F186" s="113"/>
      <c r="G186" s="113">
        <v>686.80608595000001</v>
      </c>
      <c r="H186" s="113"/>
      <c r="I186" s="113">
        <v>130.5</v>
      </c>
      <c r="J186" s="113">
        <v>4</v>
      </c>
      <c r="K186" s="113"/>
      <c r="L186" s="130">
        <v>18022.572976190484</v>
      </c>
      <c r="M186" s="121">
        <v>777.38419736292576</v>
      </c>
      <c r="N186" s="121">
        <f t="shared" si="9"/>
        <v>782.74546768956668</v>
      </c>
      <c r="O186" s="130">
        <v>8775.7956028314002</v>
      </c>
      <c r="P186" s="121">
        <v>1286.8626975018997</v>
      </c>
      <c r="Q186" s="121">
        <f t="shared" si="5"/>
        <v>1295.7376126570853</v>
      </c>
      <c r="R186" s="130">
        <v>9645.4866500746648</v>
      </c>
      <c r="S186" s="121">
        <v>181.103452008619</v>
      </c>
      <c r="T186" s="121">
        <f t="shared" si="6"/>
        <v>182.3524413328164</v>
      </c>
      <c r="U186" s="113"/>
      <c r="V186" s="113"/>
      <c r="W186" s="113"/>
      <c r="X186" s="113"/>
      <c r="Y186" s="113"/>
      <c r="Z186" s="113"/>
      <c r="AA186" s="113"/>
      <c r="AB186" s="113"/>
      <c r="AC186" s="113"/>
      <c r="AD186" s="113"/>
      <c r="AE186" s="113"/>
    </row>
    <row r="187" spans="1:31">
      <c r="A187" s="113">
        <v>1</v>
      </c>
      <c r="B187" s="113">
        <v>2012</v>
      </c>
      <c r="C187" s="124">
        <f>+E187</f>
        <v>195.82938625</v>
      </c>
      <c r="D187" s="116">
        <f>+G187</f>
        <v>177.0717714875</v>
      </c>
      <c r="E187" s="113">
        <v>195.82938625</v>
      </c>
      <c r="F187" s="113"/>
      <c r="G187" s="113">
        <v>177.0717714875</v>
      </c>
      <c r="H187" s="113"/>
      <c r="I187" s="113">
        <v>131.69999999999999</v>
      </c>
      <c r="J187" s="113">
        <v>1</v>
      </c>
      <c r="K187" s="113">
        <v>2012</v>
      </c>
      <c r="L187" s="130">
        <v>18517.39324404762</v>
      </c>
      <c r="M187" s="121">
        <v>869.15461769403078</v>
      </c>
      <c r="N187" s="121">
        <f t="shared" ref="N187:N193" si="10">M187/I187*$I$69</f>
        <v>867.17476662866864</v>
      </c>
      <c r="O187" s="122">
        <v>6822.44890070785</v>
      </c>
      <c r="P187" s="121">
        <v>1150.314057295883</v>
      </c>
      <c r="Q187" s="121">
        <f t="shared" si="5"/>
        <v>1147.6937519261887</v>
      </c>
      <c r="R187" s="122">
        <v>7564.3716625186662</v>
      </c>
      <c r="S187" s="121">
        <v>175.73767321176348</v>
      </c>
      <c r="T187" s="121">
        <f t="shared" si="6"/>
        <v>175.33735960535859</v>
      </c>
      <c r="U187" s="113"/>
      <c r="V187" s="113"/>
      <c r="W187" s="113"/>
      <c r="X187" s="113"/>
      <c r="Y187" s="113"/>
      <c r="Z187" s="113"/>
      <c r="AA187" s="113"/>
      <c r="AB187" s="113"/>
      <c r="AC187" s="113"/>
      <c r="AD187" s="113"/>
      <c r="AE187" s="113"/>
    </row>
    <row r="188" spans="1:31">
      <c r="A188" s="113">
        <v>2</v>
      </c>
      <c r="B188" s="113"/>
      <c r="C188" s="124">
        <f>+E188-E187</f>
        <v>182.75061374999999</v>
      </c>
      <c r="D188" s="116">
        <f>+G188-G187</f>
        <v>165.12822851249999</v>
      </c>
      <c r="E188" s="132">
        <v>378.58</v>
      </c>
      <c r="F188" s="113"/>
      <c r="G188" s="132">
        <v>342.2</v>
      </c>
      <c r="H188" s="113"/>
      <c r="I188" s="113">
        <v>131.69999999999999</v>
      </c>
      <c r="J188" s="113">
        <v>2</v>
      </c>
      <c r="K188" s="113"/>
      <c r="L188" s="130">
        <v>14087.60675595238</v>
      </c>
      <c r="M188" s="121">
        <v>635.43152402028181</v>
      </c>
      <c r="N188" s="121">
        <f t="shared" si="10"/>
        <v>633.98407180155687</v>
      </c>
      <c r="O188" s="122">
        <v>4838.55109929215</v>
      </c>
      <c r="P188" s="121">
        <v>1037.7970664905204</v>
      </c>
      <c r="Q188" s="121">
        <f t="shared" si="5"/>
        <v>1035.4330640611572</v>
      </c>
      <c r="R188" s="122">
        <v>10002.628337481334</v>
      </c>
      <c r="S188" s="121">
        <v>184.20744441885319</v>
      </c>
      <c r="T188" s="121">
        <f t="shared" si="6"/>
        <v>183.78783748395833</v>
      </c>
      <c r="U188" s="113"/>
      <c r="V188" s="113"/>
      <c r="W188" s="113"/>
      <c r="X188" s="113"/>
      <c r="Y188" s="113"/>
      <c r="Z188" s="113"/>
      <c r="AA188" s="113"/>
      <c r="AB188" s="113"/>
      <c r="AC188" s="113"/>
      <c r="AD188" s="113"/>
      <c r="AE188" s="113"/>
    </row>
    <row r="189" spans="1:31">
      <c r="A189" s="116">
        <v>3</v>
      </c>
      <c r="B189" s="113"/>
      <c r="C189" s="124">
        <f>+E189-E188</f>
        <v>165.72960875000007</v>
      </c>
      <c r="D189" s="116">
        <f>+G189-G188</f>
        <v>148.24155396250001</v>
      </c>
      <c r="E189" s="113">
        <v>544.30960875000005</v>
      </c>
      <c r="F189" s="113"/>
      <c r="G189" s="113">
        <v>490.4415539625</v>
      </c>
      <c r="H189" s="113"/>
      <c r="I189" s="113">
        <v>130</v>
      </c>
      <c r="J189" s="113">
        <v>3</v>
      </c>
      <c r="K189" s="113"/>
      <c r="L189" s="133">
        <v>20999.460714285713</v>
      </c>
      <c r="M189" s="134">
        <v>864.77367174435972</v>
      </c>
      <c r="N189" s="121">
        <f t="shared" si="10"/>
        <v>874.08661897852971</v>
      </c>
      <c r="O189" s="133">
        <v>6828.0536397386386</v>
      </c>
      <c r="P189" s="134">
        <v>1132.0609213635664</v>
      </c>
      <c r="Q189" s="121">
        <f t="shared" si="5"/>
        <v>1144.2523466705588</v>
      </c>
      <c r="R189" s="133">
        <v>10877.781177428844</v>
      </c>
      <c r="S189" s="134">
        <v>190.02859425457928</v>
      </c>
      <c r="T189" s="121">
        <f t="shared" si="6"/>
        <v>192.07505603885937</v>
      </c>
      <c r="U189" s="113"/>
      <c r="V189" s="113"/>
      <c r="W189" s="113"/>
      <c r="X189" s="113"/>
      <c r="Y189" s="113"/>
      <c r="Z189" s="113"/>
      <c r="AA189" s="113"/>
      <c r="AB189" s="113"/>
      <c r="AC189" s="113"/>
      <c r="AD189" s="113"/>
      <c r="AE189" s="113"/>
    </row>
    <row r="190" spans="1:31">
      <c r="A190" s="116">
        <v>4</v>
      </c>
      <c r="B190" s="113"/>
      <c r="C190" s="124">
        <f>+E190-E189</f>
        <v>166.80539124999996</v>
      </c>
      <c r="D190" s="116">
        <f>+G190-G189</f>
        <v>151.72844603749996</v>
      </c>
      <c r="E190" s="113">
        <v>711.11500000000001</v>
      </c>
      <c r="F190" s="113"/>
      <c r="G190" s="113">
        <v>642.16999999999996</v>
      </c>
      <c r="H190" s="113"/>
      <c r="I190" s="113">
        <v>132</v>
      </c>
      <c r="J190" s="113">
        <v>4</v>
      </c>
      <c r="K190" s="113"/>
      <c r="L190" s="133">
        <v>17946.539285714287</v>
      </c>
      <c r="M190" s="134">
        <v>826.79347775776318</v>
      </c>
      <c r="N190" s="121">
        <f t="shared" si="10"/>
        <v>823.03532558613699</v>
      </c>
      <c r="O190" s="133">
        <v>5621.9463602613596</v>
      </c>
      <c r="P190" s="134">
        <v>1071.0118577206574</v>
      </c>
      <c r="Q190" s="121">
        <f t="shared" ref="Q190:Q193" si="11">P190/I190*$I$69</f>
        <v>1066.1436220037453</v>
      </c>
      <c r="R190" s="133">
        <v>8525.2188225711561</v>
      </c>
      <c r="S190" s="134">
        <v>190.41732478586363</v>
      </c>
      <c r="T190" s="121">
        <f t="shared" ref="T190:T193" si="12">S190/I190*$I$69</f>
        <v>189.55179149138243</v>
      </c>
      <c r="U190" s="113"/>
      <c r="V190" s="113"/>
      <c r="W190" s="113"/>
      <c r="X190" s="113"/>
      <c r="Y190" s="113"/>
      <c r="Z190" s="113"/>
      <c r="AA190" s="113"/>
      <c r="AB190" s="113"/>
      <c r="AC190" s="113"/>
      <c r="AD190" s="113"/>
      <c r="AE190" s="113"/>
    </row>
    <row r="191" spans="1:31">
      <c r="A191" s="113">
        <v>1</v>
      </c>
      <c r="B191" s="113">
        <v>2013</v>
      </c>
      <c r="C191" s="124">
        <f>+E191</f>
        <v>199.180995</v>
      </c>
      <c r="D191" s="116">
        <f>+G191</f>
        <v>183.65288545000001</v>
      </c>
      <c r="E191" s="113">
        <v>199.180995</v>
      </c>
      <c r="F191" s="113"/>
      <c r="G191" s="113">
        <v>183.65288545000001</v>
      </c>
      <c r="H191" s="113"/>
      <c r="I191" s="113">
        <v>133</v>
      </c>
      <c r="J191" s="113">
        <v>1</v>
      </c>
      <c r="K191" s="113">
        <v>2013</v>
      </c>
      <c r="L191" s="133">
        <v>21974.571815476189</v>
      </c>
      <c r="M191" s="134">
        <v>1023.0812127444322</v>
      </c>
      <c r="N191" s="121">
        <f t="shared" si="10"/>
        <v>1010.7734688317172</v>
      </c>
      <c r="O191" s="133">
        <v>5520.4451678348678</v>
      </c>
      <c r="P191" s="134">
        <v>1148.1840804128565</v>
      </c>
      <c r="Q191" s="121">
        <f t="shared" si="11"/>
        <v>1134.3713395958598</v>
      </c>
      <c r="R191" s="133">
        <v>5958.3970505452735</v>
      </c>
      <c r="S191" s="134">
        <v>167.84779905693762</v>
      </c>
      <c r="T191" s="121">
        <f t="shared" si="12"/>
        <v>165.82857741414739</v>
      </c>
      <c r="U191" s="113"/>
      <c r="V191" s="113"/>
      <c r="W191" s="113"/>
      <c r="X191" s="113"/>
      <c r="Y191" s="113"/>
      <c r="Z191" s="113"/>
      <c r="AA191" s="113"/>
      <c r="AB191" s="113"/>
      <c r="AC191" s="113"/>
      <c r="AD191" s="113"/>
      <c r="AE191" s="113"/>
    </row>
    <row r="192" spans="1:31">
      <c r="A192" s="113">
        <v>2</v>
      </c>
      <c r="B192" s="113"/>
      <c r="C192" s="124">
        <f>+E192-E191</f>
        <v>205.01500500000003</v>
      </c>
      <c r="D192" s="116">
        <f>+G192-G191</f>
        <v>185.63411454999996</v>
      </c>
      <c r="E192" s="113">
        <v>404.19600000000003</v>
      </c>
      <c r="F192" s="113"/>
      <c r="G192" s="113">
        <v>369.28699999999998</v>
      </c>
      <c r="H192" s="113"/>
      <c r="I192" s="113">
        <v>134.30000000000001</v>
      </c>
      <c r="J192" s="113">
        <v>2</v>
      </c>
      <c r="K192" s="113"/>
      <c r="L192" s="133">
        <v>23960.428184523811</v>
      </c>
      <c r="M192" s="134">
        <v>1011.581560458749</v>
      </c>
      <c r="N192" s="121">
        <f t="shared" si="10"/>
        <v>989.73802713536577</v>
      </c>
      <c r="O192" s="133">
        <v>6388.5548321651322</v>
      </c>
      <c r="P192" s="134">
        <v>1133.7065185307133</v>
      </c>
      <c r="Q192" s="121">
        <f t="shared" si="11"/>
        <v>1109.2258863360812</v>
      </c>
      <c r="R192" s="133">
        <v>10154.602949454726</v>
      </c>
      <c r="S192" s="134">
        <v>176.1673175310234</v>
      </c>
      <c r="T192" s="121">
        <f t="shared" si="12"/>
        <v>172.36325780771759</v>
      </c>
      <c r="U192" s="113"/>
      <c r="V192" s="113"/>
      <c r="W192" s="113"/>
      <c r="X192" s="113"/>
      <c r="Y192" s="113"/>
      <c r="Z192" s="113"/>
      <c r="AA192" s="113"/>
      <c r="AB192" s="113"/>
      <c r="AC192" s="113"/>
      <c r="AD192" s="113"/>
      <c r="AE192" s="113"/>
    </row>
    <row r="193" spans="1:31">
      <c r="A193" s="113">
        <v>3</v>
      </c>
      <c r="B193" s="113"/>
      <c r="C193" s="124">
        <f>+E193-E192</f>
        <v>172.04383408071794</v>
      </c>
      <c r="D193" s="116">
        <f>+G193-G192</f>
        <v>153.21019910313902</v>
      </c>
      <c r="E193" s="113">
        <v>576.23983408071797</v>
      </c>
      <c r="F193" s="113"/>
      <c r="G193" s="113">
        <v>522.497199103139</v>
      </c>
      <c r="H193" s="113"/>
      <c r="I193" s="113">
        <v>134.19999999999999</v>
      </c>
      <c r="J193" s="113">
        <v>3</v>
      </c>
      <c r="K193" s="113"/>
      <c r="L193" s="133">
        <v>18388.581422924897</v>
      </c>
      <c r="M193" s="134">
        <v>735.52528494140915</v>
      </c>
      <c r="N193" s="121">
        <f t="shared" si="10"/>
        <v>720.17900477869728</v>
      </c>
      <c r="O193" s="133">
        <v>11492.955434782609</v>
      </c>
      <c r="P193" s="134">
        <v>1323.3889549928699</v>
      </c>
      <c r="Q193" s="121">
        <f t="shared" si="11"/>
        <v>1295.7772629363869</v>
      </c>
      <c r="R193" s="133">
        <v>11786.02326086957</v>
      </c>
      <c r="S193" s="134">
        <v>172.41802435151402</v>
      </c>
      <c r="T193" s="121">
        <f t="shared" si="12"/>
        <v>168.82062891049887</v>
      </c>
      <c r="U193" s="113"/>
      <c r="V193" s="113"/>
      <c r="W193" s="113"/>
      <c r="X193" s="113"/>
      <c r="Y193" s="113"/>
      <c r="Z193" s="113"/>
      <c r="AA193" s="113"/>
      <c r="AB193" s="113"/>
      <c r="AC193" s="113"/>
      <c r="AD193" s="113"/>
      <c r="AE193" s="113"/>
    </row>
    <row r="194" spans="1:31">
      <c r="A194" s="113"/>
      <c r="B194" s="113"/>
      <c r="C194" s="113"/>
      <c r="D194" s="113"/>
      <c r="E194" s="117" t="s">
        <v>111</v>
      </c>
      <c r="F194" s="113"/>
      <c r="G194" s="113"/>
      <c r="H194" s="113"/>
      <c r="I194" s="113"/>
      <c r="J194" s="135"/>
      <c r="K194" s="136" t="s">
        <v>164</v>
      </c>
      <c r="L194" s="137">
        <f>L196-L191-L192</f>
        <v>18388.581422924897</v>
      </c>
      <c r="M194" s="137">
        <f>M196-M191-M192</f>
        <v>735.52528494140915</v>
      </c>
      <c r="N194" s="138" t="s">
        <v>178</v>
      </c>
      <c r="O194" s="137">
        <f>O196-O191-O192</f>
        <v>11492.955434782609</v>
      </c>
      <c r="P194" s="137">
        <f>P196-P191-P192</f>
        <v>1323.3889549928699</v>
      </c>
      <c r="Q194" s="138" t="s">
        <v>178</v>
      </c>
      <c r="R194" s="137">
        <f>R196-R191-R192</f>
        <v>11786.02326086957</v>
      </c>
      <c r="S194" s="137">
        <f>S196-S191-S192</f>
        <v>172.41802435151402</v>
      </c>
      <c r="T194" s="139" t="s">
        <v>178</v>
      </c>
      <c r="U194" s="113"/>
      <c r="V194" s="113"/>
      <c r="W194" s="113"/>
      <c r="X194" s="113"/>
      <c r="Y194" s="113"/>
      <c r="Z194" s="113"/>
      <c r="AA194" s="113"/>
      <c r="AB194" s="113"/>
      <c r="AC194" s="113"/>
      <c r="AD194" s="113"/>
      <c r="AE194" s="113"/>
    </row>
    <row r="195" spans="1:31">
      <c r="A195" s="113"/>
      <c r="B195" s="113"/>
      <c r="C195" s="113"/>
      <c r="D195" s="113"/>
      <c r="E195" s="132">
        <f>IF('Tab5'!E8="",'Tab5'!E7,'Tab5'!E8)/1000</f>
        <v>576.23983408071797</v>
      </c>
      <c r="F195" s="113"/>
      <c r="G195" s="132">
        <f>IF('Tab5'!E10="",'Tab5'!E9,'Tab5'!E10)/1000</f>
        <v>522.497199103139</v>
      </c>
      <c r="H195" s="113"/>
      <c r="I195" s="113"/>
      <c r="J195" s="113"/>
      <c r="K195" s="119" t="s">
        <v>192</v>
      </c>
      <c r="L195" s="122">
        <f>SUM('Tab7'!E11,'Tab11'!E11)</f>
        <v>84317.091265614217</v>
      </c>
      <c r="M195" s="121">
        <f>SUM('Tab7'!E39,'Tab11'!E39)</f>
        <v>3677.4584643316671</v>
      </c>
      <c r="N195" s="140" t="s">
        <v>177</v>
      </c>
      <c r="O195" s="122">
        <f>SUM('Tab7'!E9,'Tab11'!E9)</f>
        <v>31040.895228704561</v>
      </c>
      <c r="P195" s="121">
        <f>SUM('Tab7'!E37,'Tab11'!E37)</f>
        <v>4726.8521140227804</v>
      </c>
      <c r="Q195" s="140" t="s">
        <v>177</v>
      </c>
      <c r="R195" s="122">
        <f>SUM('Tab7'!E13,'Tab11'!E13)</f>
        <v>36761.691570878262</v>
      </c>
      <c r="S195" s="121">
        <f>SUM('Tab7'!E41,'Tab11'!E41)</f>
        <v>695.25051294731759</v>
      </c>
      <c r="T195" s="140" t="s">
        <v>177</v>
      </c>
      <c r="U195" s="113"/>
      <c r="V195" s="113"/>
      <c r="W195" s="113"/>
      <c r="X195" s="113"/>
      <c r="Y195" s="113"/>
      <c r="Z195" s="113"/>
      <c r="AA195" s="113"/>
      <c r="AB195" s="113"/>
      <c r="AC195" s="113"/>
      <c r="AD195" s="113"/>
      <c r="AE195" s="113"/>
    </row>
    <row r="196" spans="1:31">
      <c r="A196" s="113"/>
      <c r="B196" s="113"/>
      <c r="C196" s="113"/>
      <c r="D196" s="113"/>
      <c r="E196" s="113"/>
      <c r="F196" s="113"/>
      <c r="G196" s="113"/>
      <c r="H196" s="113"/>
      <c r="I196" s="113"/>
      <c r="J196" s="113"/>
      <c r="K196" s="119" t="s">
        <v>191</v>
      </c>
      <c r="L196" s="122">
        <f>SUM('Tab7'!E12,'Tab11'!E12)</f>
        <v>64323.581422924901</v>
      </c>
      <c r="M196" s="121">
        <f>SUM('Tab7'!E40,'Tab11'!E40)</f>
        <v>2770.1880581445903</v>
      </c>
      <c r="N196" s="140" t="s">
        <v>177</v>
      </c>
      <c r="O196" s="122">
        <f>SUM('Tab7'!E10,'Tab11'!E10)</f>
        <v>23401.955434782609</v>
      </c>
      <c r="P196" s="121">
        <f>SUM('Tab7'!E38,'Tab11'!E38)</f>
        <v>3605.2795539364397</v>
      </c>
      <c r="Q196" s="140" t="s">
        <v>177</v>
      </c>
      <c r="R196" s="122">
        <f>SUM('Tab7'!E14,'Tab11'!E14)</f>
        <v>27899.02326086957</v>
      </c>
      <c r="S196" s="121">
        <f>SUM('Tab7'!E42,'Tab11'!E42)</f>
        <v>516.43314093947504</v>
      </c>
      <c r="T196" s="140" t="s">
        <v>177</v>
      </c>
      <c r="U196" s="113"/>
      <c r="V196" s="113"/>
      <c r="W196" s="113"/>
      <c r="X196" s="113"/>
      <c r="Y196" s="113"/>
      <c r="Z196" s="113"/>
      <c r="AA196" s="113"/>
      <c r="AB196" s="113"/>
      <c r="AC196" s="113"/>
      <c r="AD196" s="113"/>
      <c r="AE196" s="113"/>
    </row>
    <row r="197" spans="1:31">
      <c r="A197" s="113"/>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row>
    <row r="198" spans="1:31">
      <c r="A198" s="113"/>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c r="AA198" s="113"/>
      <c r="AB198" s="113"/>
      <c r="AC198" s="113"/>
      <c r="AD198" s="113"/>
      <c r="AE198" s="113"/>
    </row>
    <row r="199" spans="1:31">
      <c r="A199" s="113"/>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row>
    <row r="200" spans="1:31">
      <c r="A200" s="113"/>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row>
    <row r="201" spans="1:31">
      <c r="A201" s="113"/>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row>
    <row r="202" spans="1:31">
      <c r="A202" s="113"/>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row>
    <row r="203" spans="1:31">
      <c r="A203" s="113"/>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row>
    <row r="204" spans="1:31">
      <c r="A204" s="113"/>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c r="AB204" s="113"/>
      <c r="AC204" s="113"/>
      <c r="AD204" s="113"/>
      <c r="AE204" s="113"/>
    </row>
    <row r="205" spans="1:31">
      <c r="A205" s="113"/>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c r="AB205" s="113"/>
      <c r="AC205" s="113"/>
      <c r="AD205" s="113"/>
      <c r="AE205" s="113"/>
    </row>
    <row r="206" spans="1:31">
      <c r="A206" s="113"/>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2</v>
      </c>
      <c r="B7" s="19" t="s">
        <v>3</v>
      </c>
      <c r="C7" s="20">
        <v>1471717.3398779801</v>
      </c>
      <c r="D7" s="20">
        <v>1482594</v>
      </c>
      <c r="E7" s="79">
        <v>1587133.7123309481</v>
      </c>
      <c r="F7" s="22" t="s">
        <v>206</v>
      </c>
      <c r="G7" s="23">
        <v>7.8422920846021498</v>
      </c>
      <c r="H7" s="24">
        <v>7.0511355321111608</v>
      </c>
    </row>
    <row r="8" spans="1:8">
      <c r="A8" s="150"/>
      <c r="B8" s="25" t="s">
        <v>207</v>
      </c>
      <c r="C8" s="26">
        <v>1088198</v>
      </c>
      <c r="D8" s="26">
        <v>1121650.0173382601</v>
      </c>
      <c r="E8" s="26">
        <v>1191532.90490319</v>
      </c>
      <c r="F8" s="27"/>
      <c r="G8" s="28">
        <v>9.4959653393215149</v>
      </c>
      <c r="H8" s="29">
        <v>6.2303647737434176</v>
      </c>
    </row>
    <row r="9" spans="1:8">
      <c r="A9" s="30" t="s">
        <v>4</v>
      </c>
      <c r="B9" s="31" t="s">
        <v>3</v>
      </c>
      <c r="C9" s="20">
        <v>695200.58140000002</v>
      </c>
      <c r="D9" s="20">
        <v>650088</v>
      </c>
      <c r="E9" s="20">
        <v>698861.4251680118</v>
      </c>
      <c r="F9" s="22" t="s">
        <v>206</v>
      </c>
      <c r="G9" s="32">
        <v>0.5265881338360856</v>
      </c>
      <c r="H9" s="33">
        <v>7.5025881369925003</v>
      </c>
    </row>
    <row r="10" spans="1:8">
      <c r="A10" s="34"/>
      <c r="B10" s="25" t="s">
        <v>207</v>
      </c>
      <c r="C10" s="26">
        <v>514652</v>
      </c>
      <c r="D10" s="26">
        <v>496989.56004999997</v>
      </c>
      <c r="E10" s="26">
        <v>528516.89434977598</v>
      </c>
      <c r="F10" s="27"/>
      <c r="G10" s="28">
        <v>2.6940329290036686</v>
      </c>
      <c r="H10" s="29">
        <v>6.3436612826644136</v>
      </c>
    </row>
    <row r="11" spans="1:8">
      <c r="A11" s="30" t="s">
        <v>5</v>
      </c>
      <c r="B11" s="31" t="s">
        <v>3</v>
      </c>
      <c r="C11" s="20">
        <v>69654.963600000003</v>
      </c>
      <c r="D11" s="20">
        <v>61027</v>
      </c>
      <c r="E11" s="20">
        <v>64101.907906188746</v>
      </c>
      <c r="F11" s="22" t="s">
        <v>206</v>
      </c>
      <c r="G11" s="37">
        <v>-7.972232568665433</v>
      </c>
      <c r="H11" s="33">
        <v>5.0386024320198288</v>
      </c>
    </row>
    <row r="12" spans="1:8">
      <c r="A12" s="34"/>
      <c r="B12" s="25" t="s">
        <v>207</v>
      </c>
      <c r="C12" s="26">
        <v>48028</v>
      </c>
      <c r="D12" s="26">
        <v>47320.048699999999</v>
      </c>
      <c r="E12" s="26">
        <v>47722.939730941704</v>
      </c>
      <c r="F12" s="27"/>
      <c r="G12" s="28">
        <v>-0.63517171037372577</v>
      </c>
      <c r="H12" s="29">
        <v>0.85141719421287121</v>
      </c>
    </row>
    <row r="13" spans="1:8">
      <c r="A13" s="30" t="s">
        <v>6</v>
      </c>
      <c r="B13" s="31" t="s">
        <v>3</v>
      </c>
      <c r="C13" s="20">
        <v>263217.77142857102</v>
      </c>
      <c r="D13" s="20">
        <v>243389</v>
      </c>
      <c r="E13" s="20">
        <v>260344.55598890822</v>
      </c>
      <c r="F13" s="22" t="s">
        <v>206</v>
      </c>
      <c r="G13" s="23">
        <v>-1.091573499794066</v>
      </c>
      <c r="H13" s="24">
        <v>6.9664430146424934</v>
      </c>
    </row>
    <row r="14" spans="1:8">
      <c r="A14" s="34"/>
      <c r="B14" s="25" t="s">
        <v>207</v>
      </c>
      <c r="C14" s="26">
        <v>204025</v>
      </c>
      <c r="D14" s="26">
        <v>184584.60571428601</v>
      </c>
      <c r="E14" s="26">
        <v>198874</v>
      </c>
      <c r="F14" s="27"/>
      <c r="G14" s="38">
        <v>-2.5246906016419501</v>
      </c>
      <c r="H14" s="24">
        <v>7.7413792067970064</v>
      </c>
    </row>
    <row r="15" spans="1:8">
      <c r="A15" s="30" t="s">
        <v>172</v>
      </c>
      <c r="B15" s="31" t="s">
        <v>3</v>
      </c>
      <c r="C15" s="20">
        <v>49158.0462438424</v>
      </c>
      <c r="D15" s="20">
        <v>38994</v>
      </c>
      <c r="E15" s="20">
        <v>49515.702568793291</v>
      </c>
      <c r="F15" s="22" t="s">
        <v>206</v>
      </c>
      <c r="G15" s="37">
        <v>0.72756415740525426</v>
      </c>
      <c r="H15" s="33">
        <v>26.982875747020813</v>
      </c>
    </row>
    <row r="16" spans="1:8">
      <c r="A16" s="34"/>
      <c r="B16" s="25" t="s">
        <v>207</v>
      </c>
      <c r="C16" s="26">
        <v>35634</v>
      </c>
      <c r="D16" s="26">
        <v>29692.207820197</v>
      </c>
      <c r="E16" s="26">
        <v>37080.468705207801</v>
      </c>
      <c r="F16" s="27"/>
      <c r="G16" s="28">
        <v>4.0592375405730508</v>
      </c>
      <c r="H16" s="29">
        <v>24.882827608343817</v>
      </c>
    </row>
    <row r="17" spans="1:8">
      <c r="A17" s="30" t="s">
        <v>7</v>
      </c>
      <c r="B17" s="31" t="s">
        <v>3</v>
      </c>
      <c r="C17" s="20">
        <v>8831.7474299107107</v>
      </c>
      <c r="D17" s="20">
        <v>8926</v>
      </c>
      <c r="E17" s="20">
        <v>9067.1856044422202</v>
      </c>
      <c r="F17" s="22" t="s">
        <v>206</v>
      </c>
      <c r="G17" s="23">
        <v>2.6658164355351204</v>
      </c>
      <c r="H17" s="24">
        <v>1.5817343092339229</v>
      </c>
    </row>
    <row r="18" spans="1:8">
      <c r="A18" s="30"/>
      <c r="B18" s="25" t="s">
        <v>207</v>
      </c>
      <c r="C18" s="26">
        <v>7042</v>
      </c>
      <c r="D18" s="26">
        <v>6517.3324523437504</v>
      </c>
      <c r="E18" s="26">
        <v>6811.7805877551</v>
      </c>
      <c r="F18" s="27"/>
      <c r="G18" s="38">
        <v>-3.2692333462780425</v>
      </c>
      <c r="H18" s="24">
        <v>4.5179241286895007</v>
      </c>
    </row>
    <row r="19" spans="1:8">
      <c r="A19" s="39" t="s">
        <v>8</v>
      </c>
      <c r="B19" s="31" t="s">
        <v>3</v>
      </c>
      <c r="C19" s="20">
        <v>4563.4662578571397</v>
      </c>
      <c r="D19" s="20">
        <v>4526</v>
      </c>
      <c r="E19" s="20">
        <v>4487.2023068495182</v>
      </c>
      <c r="F19" s="22" t="s">
        <v>206</v>
      </c>
      <c r="G19" s="37">
        <v>-1.6711847244693416</v>
      </c>
      <c r="H19" s="33">
        <v>-0.85721814296248056</v>
      </c>
    </row>
    <row r="20" spans="1:8">
      <c r="A20" s="34"/>
      <c r="B20" s="25" t="s">
        <v>207</v>
      </c>
      <c r="C20" s="26">
        <v>2569</v>
      </c>
      <c r="D20" s="26">
        <v>3326</v>
      </c>
      <c r="E20" s="26">
        <v>2992.8339428571398</v>
      </c>
      <c r="F20" s="27"/>
      <c r="G20" s="28">
        <v>16.498012567424666</v>
      </c>
      <c r="H20" s="29">
        <v>-10.017019156429953</v>
      </c>
    </row>
    <row r="21" spans="1:8">
      <c r="A21" s="39" t="s">
        <v>9</v>
      </c>
      <c r="B21" s="31" t="s">
        <v>3</v>
      </c>
      <c r="C21" s="20">
        <v>14876.9826586621</v>
      </c>
      <c r="D21" s="20">
        <v>16278</v>
      </c>
      <c r="E21" s="20">
        <v>18820.792055230533</v>
      </c>
      <c r="F21" s="22" t="s">
        <v>206</v>
      </c>
      <c r="G21" s="23">
        <v>26.509470952916359</v>
      </c>
      <c r="H21" s="24">
        <v>15.621034864421503</v>
      </c>
    </row>
    <row r="22" spans="1:8">
      <c r="A22" s="34"/>
      <c r="B22" s="25" t="s">
        <v>207</v>
      </c>
      <c r="C22" s="26">
        <v>10498</v>
      </c>
      <c r="D22" s="26">
        <v>11689.759043739299</v>
      </c>
      <c r="E22" s="26">
        <v>13436.6175</v>
      </c>
      <c r="F22" s="27"/>
      <c r="G22" s="38">
        <v>27.992165174318927</v>
      </c>
      <c r="H22" s="24">
        <v>14.943494127847472</v>
      </c>
    </row>
    <row r="23" spans="1:8">
      <c r="A23" s="30" t="s">
        <v>10</v>
      </c>
      <c r="B23" s="31" t="s">
        <v>3</v>
      </c>
      <c r="C23" s="20">
        <v>271585.66666666698</v>
      </c>
      <c r="D23" s="20">
        <v>299510</v>
      </c>
      <c r="E23" s="20">
        <v>310756.2440028094</v>
      </c>
      <c r="F23" s="22" t="s">
        <v>206</v>
      </c>
      <c r="G23" s="37">
        <v>14.422917754425811</v>
      </c>
      <c r="H23" s="33">
        <v>3.7548809731926696</v>
      </c>
    </row>
    <row r="24" spans="1:8">
      <c r="A24" s="30"/>
      <c r="B24" s="25" t="s">
        <v>207</v>
      </c>
      <c r="C24" s="26">
        <v>206568</v>
      </c>
      <c r="D24" s="26">
        <v>220772.454545455</v>
      </c>
      <c r="E24" s="26">
        <v>231444.56730769199</v>
      </c>
      <c r="F24" s="27"/>
      <c r="G24" s="28">
        <v>12.042798162199375</v>
      </c>
      <c r="H24" s="29">
        <v>4.8339874574523662</v>
      </c>
    </row>
    <row r="25" spans="1:8">
      <c r="A25" s="39" t="s">
        <v>11</v>
      </c>
      <c r="B25" s="31" t="s">
        <v>3</v>
      </c>
      <c r="C25" s="20">
        <v>9746.9906759906808</v>
      </c>
      <c r="D25" s="20">
        <v>8915</v>
      </c>
      <c r="E25" s="20">
        <v>8259.3792400096245</v>
      </c>
      <c r="F25" s="22" t="s">
        <v>206</v>
      </c>
      <c r="G25" s="23">
        <v>-15.262263866173811</v>
      </c>
      <c r="H25" s="24">
        <v>-7.3541307906940574</v>
      </c>
    </row>
    <row r="26" spans="1:8">
      <c r="A26" s="34"/>
      <c r="B26" s="25" t="s">
        <v>207</v>
      </c>
      <c r="C26" s="26">
        <v>7349</v>
      </c>
      <c r="D26" s="26">
        <v>7393.6223776223796</v>
      </c>
      <c r="E26" s="26">
        <v>6629</v>
      </c>
      <c r="F26" s="27"/>
      <c r="G26" s="38">
        <v>-9.7972513267111196</v>
      </c>
      <c r="H26" s="24">
        <v>-10.341647687290518</v>
      </c>
    </row>
    <row r="27" spans="1:8">
      <c r="A27" s="30" t="s">
        <v>12</v>
      </c>
      <c r="B27" s="31" t="s">
        <v>3</v>
      </c>
      <c r="C27" s="20">
        <v>7847.1235164835198</v>
      </c>
      <c r="D27" s="20">
        <v>6707</v>
      </c>
      <c r="E27" s="20">
        <v>8539.8072430872598</v>
      </c>
      <c r="F27" s="22" t="s">
        <v>206</v>
      </c>
      <c r="G27" s="37">
        <v>8.8272310885473075</v>
      </c>
      <c r="H27" s="33">
        <v>27.326781617522883</v>
      </c>
    </row>
    <row r="28" spans="1:8">
      <c r="A28" s="30"/>
      <c r="B28" s="25" t="s">
        <v>207</v>
      </c>
      <c r="C28" s="26">
        <v>4615</v>
      </c>
      <c r="D28" s="26">
        <v>4587.7753846153801</v>
      </c>
      <c r="E28" s="26">
        <v>5540.2820000000002</v>
      </c>
      <c r="F28" s="27"/>
      <c r="G28" s="28">
        <v>20.0494474539545</v>
      </c>
      <c r="H28" s="29">
        <v>20.761840664186622</v>
      </c>
    </row>
    <row r="29" spans="1:8">
      <c r="A29" s="39" t="s">
        <v>13</v>
      </c>
      <c r="B29" s="31" t="s">
        <v>3</v>
      </c>
      <c r="C29" s="20">
        <v>145</v>
      </c>
      <c r="D29" s="20">
        <v>110</v>
      </c>
      <c r="E29" s="20">
        <v>106.66111111111111</v>
      </c>
      <c r="F29" s="22" t="s">
        <v>206</v>
      </c>
      <c r="G29" s="23">
        <v>-26.440613026819932</v>
      </c>
      <c r="H29" s="24">
        <v>-3.0353535353535364</v>
      </c>
    </row>
    <row r="30" spans="1:8">
      <c r="A30" s="34"/>
      <c r="B30" s="25" t="s">
        <v>207</v>
      </c>
      <c r="C30" s="26">
        <v>100</v>
      </c>
      <c r="D30" s="26">
        <v>75</v>
      </c>
      <c r="E30" s="26">
        <v>73</v>
      </c>
      <c r="F30" s="27"/>
      <c r="G30" s="28">
        <v>-27</v>
      </c>
      <c r="H30" s="29">
        <v>-2.6666666666666572</v>
      </c>
    </row>
    <row r="31" spans="1:8">
      <c r="A31" s="30" t="s">
        <v>14</v>
      </c>
      <c r="B31" s="31" t="s">
        <v>3</v>
      </c>
      <c r="C31" s="40">
        <v>76889</v>
      </c>
      <c r="D31" s="40">
        <v>144124</v>
      </c>
      <c r="E31" s="20">
        <v>160506.27857515268</v>
      </c>
      <c r="F31" s="22" t="s">
        <v>206</v>
      </c>
      <c r="G31" s="23">
        <v>108.75063868063401</v>
      </c>
      <c r="H31" s="24">
        <v>11.366794271011543</v>
      </c>
    </row>
    <row r="32" spans="1:8" ht="13.5" thickBot="1">
      <c r="A32" s="41"/>
      <c r="B32" s="42" t="s">
        <v>207</v>
      </c>
      <c r="C32" s="43">
        <v>47118</v>
      </c>
      <c r="D32" s="43">
        <v>108701.65125</v>
      </c>
      <c r="E32" s="43">
        <v>112410.520778965</v>
      </c>
      <c r="F32" s="44"/>
      <c r="G32" s="45">
        <v>138.57235192275775</v>
      </c>
      <c r="H32" s="46">
        <v>3.4119716548142094</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112"/>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208</v>
      </c>
      <c r="G61" s="53"/>
      <c r="H61" s="152">
        <v>9</v>
      </c>
    </row>
    <row r="62" spans="1:8" ht="12.75" customHeight="1">
      <c r="A62" s="54" t="s">
        <v>209</v>
      </c>
      <c r="G62" s="53"/>
      <c r="H62" s="143"/>
    </row>
    <row r="63" spans="1:8">
      <c r="H63" s="87"/>
    </row>
    <row r="64" spans="1:8">
      <c r="A64" s="151"/>
      <c r="H64" s="53"/>
    </row>
    <row r="65" spans="1:8">
      <c r="A65" s="151"/>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153" t="s">
        <v>16</v>
      </c>
      <c r="D5" s="147"/>
      <c r="E5" s="147"/>
      <c r="F5" s="154"/>
      <c r="G5" s="147" t="s">
        <v>1</v>
      </c>
      <c r="H5" s="148"/>
    </row>
    <row r="6" spans="1:10">
      <c r="A6" s="12"/>
      <c r="B6" s="13"/>
      <c r="C6" s="14" t="s">
        <v>201</v>
      </c>
      <c r="D6" s="15" t="s">
        <v>202</v>
      </c>
      <c r="E6" s="15" t="s">
        <v>203</v>
      </c>
      <c r="F6" s="16"/>
      <c r="G6" s="17" t="s">
        <v>204</v>
      </c>
      <c r="H6" s="18" t="s">
        <v>205</v>
      </c>
    </row>
    <row r="7" spans="1:10">
      <c r="A7" s="149" t="s">
        <v>2</v>
      </c>
      <c r="B7" s="19" t="s">
        <v>3</v>
      </c>
      <c r="C7" s="80">
        <v>32184.097303893799</v>
      </c>
      <c r="D7" s="80">
        <v>31102.230901673</v>
      </c>
      <c r="E7" s="81">
        <v>32305.625771393425</v>
      </c>
      <c r="F7" s="22" t="s">
        <v>206</v>
      </c>
      <c r="G7" s="23">
        <v>0.37760408922491706</v>
      </c>
      <c r="H7" s="24">
        <v>3.8691593330550944</v>
      </c>
    </row>
    <row r="8" spans="1:10">
      <c r="A8" s="150"/>
      <c r="B8" s="25" t="s">
        <v>207</v>
      </c>
      <c r="C8" s="82">
        <v>24533.046410948002</v>
      </c>
      <c r="D8" s="82">
        <v>23170.466857049199</v>
      </c>
      <c r="E8" s="82">
        <v>24250.369069616601</v>
      </c>
      <c r="F8" s="27"/>
      <c r="G8" s="28">
        <v>-1.1522308994828023</v>
      </c>
      <c r="H8" s="29">
        <v>4.6606838749943478</v>
      </c>
      <c r="J8" s="108"/>
    </row>
    <row r="9" spans="1:10">
      <c r="A9" s="30" t="s">
        <v>4</v>
      </c>
      <c r="B9" s="31" t="s">
        <v>3</v>
      </c>
      <c r="C9" s="80">
        <v>9922.5396924779197</v>
      </c>
      <c r="D9" s="80">
        <v>10224.979813554501</v>
      </c>
      <c r="E9" s="80">
        <v>10485.280552282729</v>
      </c>
      <c r="F9" s="22" t="s">
        <v>206</v>
      </c>
      <c r="G9" s="32">
        <v>5.6713389640699745</v>
      </c>
      <c r="H9" s="33">
        <v>2.5457335219690691</v>
      </c>
    </row>
    <row r="10" spans="1:10">
      <c r="A10" s="34"/>
      <c r="B10" s="25" t="s">
        <v>207</v>
      </c>
      <c r="C10" s="82">
        <v>7497.0968051907903</v>
      </c>
      <c r="D10" s="82">
        <v>7671.6075375621904</v>
      </c>
      <c r="E10" s="82">
        <v>7885.2787891685302</v>
      </c>
      <c r="F10" s="27"/>
      <c r="G10" s="35">
        <v>5.1777640607357966</v>
      </c>
      <c r="H10" s="29">
        <v>2.7852213575857405</v>
      </c>
    </row>
    <row r="11" spans="1:10">
      <c r="A11" s="30" t="s">
        <v>5</v>
      </c>
      <c r="B11" s="31" t="s">
        <v>3</v>
      </c>
      <c r="C11" s="80">
        <v>1909.34378102451</v>
      </c>
      <c r="D11" s="80">
        <v>1807.8335063847701</v>
      </c>
      <c r="E11" s="80">
        <v>1826.7642708830742</v>
      </c>
      <c r="F11" s="22" t="s">
        <v>206</v>
      </c>
      <c r="G11" s="37">
        <v>-4.3250205102993817</v>
      </c>
      <c r="H11" s="33">
        <v>1.0471519878045115</v>
      </c>
    </row>
    <row r="12" spans="1:10">
      <c r="A12" s="34"/>
      <c r="B12" s="25" t="s">
        <v>207</v>
      </c>
      <c r="C12" s="82">
        <v>1375.98211662676</v>
      </c>
      <c r="D12" s="82">
        <v>1286.8357354162399</v>
      </c>
      <c r="E12" s="82">
        <v>1305.65318206286</v>
      </c>
      <c r="F12" s="27"/>
      <c r="G12" s="28">
        <v>-5.1111808586809531</v>
      </c>
      <c r="H12" s="29">
        <v>1.4623037058054251</v>
      </c>
    </row>
    <row r="13" spans="1:10">
      <c r="A13" s="30" t="s">
        <v>6</v>
      </c>
      <c r="B13" s="31" t="s">
        <v>3</v>
      </c>
      <c r="C13" s="80">
        <v>6670.83506606633</v>
      </c>
      <c r="D13" s="80">
        <v>5933.1488251145902</v>
      </c>
      <c r="E13" s="80">
        <v>6322.3175900999049</v>
      </c>
      <c r="F13" s="22" t="s">
        <v>206</v>
      </c>
      <c r="G13" s="23">
        <v>-5.2244954719280656</v>
      </c>
      <c r="H13" s="24">
        <v>6.5592281005659459</v>
      </c>
    </row>
    <row r="14" spans="1:10">
      <c r="A14" s="34"/>
      <c r="B14" s="25" t="s">
        <v>207</v>
      </c>
      <c r="C14" s="82">
        <v>5218.5758676393098</v>
      </c>
      <c r="D14" s="82">
        <v>4481.1932546349199</v>
      </c>
      <c r="E14" s="82">
        <v>4830.7343936059297</v>
      </c>
      <c r="F14" s="27"/>
      <c r="G14" s="38">
        <v>-7.4319408948025085</v>
      </c>
      <c r="H14" s="24">
        <v>7.8001799768282183</v>
      </c>
    </row>
    <row r="15" spans="1:10">
      <c r="A15" s="30" t="s">
        <v>172</v>
      </c>
      <c r="B15" s="31" t="s">
        <v>3</v>
      </c>
      <c r="C15" s="80">
        <v>5773.1851242653302</v>
      </c>
      <c r="D15" s="80">
        <v>4591.2209991155596</v>
      </c>
      <c r="E15" s="80">
        <v>4853.9302980252096</v>
      </c>
      <c r="F15" s="22" t="s">
        <v>206</v>
      </c>
      <c r="G15" s="37">
        <v>-15.922836466414211</v>
      </c>
      <c r="H15" s="33">
        <v>5.7219920138947202</v>
      </c>
    </row>
    <row r="16" spans="1:10">
      <c r="A16" s="34"/>
      <c r="B16" s="25" t="s">
        <v>207</v>
      </c>
      <c r="C16" s="82">
        <v>4555.64023053451</v>
      </c>
      <c r="D16" s="82">
        <v>3362.85883928259</v>
      </c>
      <c r="E16" s="82">
        <v>3642.4443702063099</v>
      </c>
      <c r="F16" s="27"/>
      <c r="G16" s="28">
        <v>-20.045390200205858</v>
      </c>
      <c r="H16" s="29">
        <v>8.3139240832173869</v>
      </c>
    </row>
    <row r="17" spans="1:8">
      <c r="A17" s="30" t="s">
        <v>7</v>
      </c>
      <c r="B17" s="31" t="s">
        <v>3</v>
      </c>
      <c r="C17" s="80">
        <v>2295.1505355760801</v>
      </c>
      <c r="D17" s="80">
        <v>2320.4183533923601</v>
      </c>
      <c r="E17" s="80">
        <v>2518.6858539417349</v>
      </c>
      <c r="F17" s="22" t="s">
        <v>206</v>
      </c>
      <c r="G17" s="23">
        <v>9.7394621790917881</v>
      </c>
      <c r="H17" s="24">
        <v>8.5444721750073711</v>
      </c>
    </row>
    <row r="18" spans="1:8">
      <c r="A18" s="30"/>
      <c r="B18" s="25" t="s">
        <v>207</v>
      </c>
      <c r="C18" s="82">
        <v>1782.11540709002</v>
      </c>
      <c r="D18" s="82">
        <v>1738.8266912004501</v>
      </c>
      <c r="E18" s="82">
        <v>1909.6254062565899</v>
      </c>
      <c r="F18" s="27"/>
      <c r="G18" s="38">
        <v>7.1549798996900336</v>
      </c>
      <c r="H18" s="24">
        <v>9.8226416652382937</v>
      </c>
    </row>
    <row r="19" spans="1:8">
      <c r="A19" s="39" t="s">
        <v>8</v>
      </c>
      <c r="B19" s="31" t="s">
        <v>3</v>
      </c>
      <c r="C19" s="80">
        <v>1427.55647975631</v>
      </c>
      <c r="D19" s="80">
        <v>1570.8861755238199</v>
      </c>
      <c r="E19" s="80">
        <v>1709.8384976301118</v>
      </c>
      <c r="F19" s="22" t="s">
        <v>206</v>
      </c>
      <c r="G19" s="37">
        <v>19.773789820350117</v>
      </c>
      <c r="H19" s="33">
        <v>8.8454736104579581</v>
      </c>
    </row>
    <row r="20" spans="1:8">
      <c r="A20" s="34"/>
      <c r="B20" s="25" t="s">
        <v>207</v>
      </c>
      <c r="C20" s="82">
        <v>1064.5444839941499</v>
      </c>
      <c r="D20" s="82">
        <v>1191.4056944198101</v>
      </c>
      <c r="E20" s="82">
        <v>1289.4605870123401</v>
      </c>
      <c r="F20" s="27"/>
      <c r="G20" s="28">
        <v>21.127919631344042</v>
      </c>
      <c r="H20" s="29">
        <v>8.2301849866749848</v>
      </c>
    </row>
    <row r="21" spans="1:8">
      <c r="A21" s="39" t="s">
        <v>9</v>
      </c>
      <c r="B21" s="31" t="s">
        <v>3</v>
      </c>
      <c r="C21" s="80">
        <v>625.02091863863996</v>
      </c>
      <c r="D21" s="80">
        <v>613.82802342537798</v>
      </c>
      <c r="E21" s="80">
        <v>625.65810007730568</v>
      </c>
      <c r="F21" s="22" t="s">
        <v>206</v>
      </c>
      <c r="G21" s="23">
        <v>0.10194561808485503</v>
      </c>
      <c r="H21" s="24">
        <v>1.9272623927971892</v>
      </c>
    </row>
    <row r="22" spans="1:8">
      <c r="A22" s="34"/>
      <c r="B22" s="25" t="s">
        <v>207</v>
      </c>
      <c r="C22" s="82">
        <v>446.62186203562101</v>
      </c>
      <c r="D22" s="82">
        <v>449.80903446908701</v>
      </c>
      <c r="E22" s="82">
        <v>454.61368514410998</v>
      </c>
      <c r="F22" s="27"/>
      <c r="G22" s="38">
        <v>1.7893936208280792</v>
      </c>
      <c r="H22" s="24">
        <v>1.0681534399801222</v>
      </c>
    </row>
    <row r="23" spans="1:8">
      <c r="A23" s="30" t="s">
        <v>10</v>
      </c>
      <c r="B23" s="31" t="s">
        <v>3</v>
      </c>
      <c r="C23" s="80">
        <v>1522.1364975195499</v>
      </c>
      <c r="D23" s="80">
        <v>1684.93698043927</v>
      </c>
      <c r="E23" s="80">
        <v>1889.8170848181128</v>
      </c>
      <c r="F23" s="22" t="s">
        <v>206</v>
      </c>
      <c r="G23" s="37">
        <v>24.155559497964177</v>
      </c>
      <c r="H23" s="33">
        <v>12.159511409467072</v>
      </c>
    </row>
    <row r="24" spans="1:8">
      <c r="A24" s="30"/>
      <c r="B24" s="25" t="s">
        <v>207</v>
      </c>
      <c r="C24" s="82">
        <v>1174.2048500763599</v>
      </c>
      <c r="D24" s="82">
        <v>1250.3457337587899</v>
      </c>
      <c r="E24" s="82">
        <v>1420.39312070593</v>
      </c>
      <c r="F24" s="27"/>
      <c r="G24" s="28">
        <v>20.966381684895978</v>
      </c>
      <c r="H24" s="29">
        <v>13.600029364353759</v>
      </c>
    </row>
    <row r="25" spans="1:8">
      <c r="A25" s="39" t="s">
        <v>11</v>
      </c>
      <c r="B25" s="31" t="s">
        <v>3</v>
      </c>
      <c r="C25" s="80">
        <v>443.46113981184601</v>
      </c>
      <c r="D25" s="80">
        <v>394.80414792680301</v>
      </c>
      <c r="E25" s="80">
        <v>377.11229861062839</v>
      </c>
      <c r="F25" s="22" t="s">
        <v>206</v>
      </c>
      <c r="G25" s="23">
        <v>-14.961590823802169</v>
      </c>
      <c r="H25" s="24">
        <v>-4.4811710842143242</v>
      </c>
    </row>
    <row r="26" spans="1:8">
      <c r="A26" s="34"/>
      <c r="B26" s="25" t="s">
        <v>207</v>
      </c>
      <c r="C26" s="82">
        <v>321.90775935647298</v>
      </c>
      <c r="D26" s="82">
        <v>320.79357679115901</v>
      </c>
      <c r="E26" s="82">
        <v>294.69381432008402</v>
      </c>
      <c r="F26" s="27"/>
      <c r="G26" s="38">
        <v>-8.453957459985574</v>
      </c>
      <c r="H26" s="24">
        <v>-8.135999084565924</v>
      </c>
    </row>
    <row r="27" spans="1:8">
      <c r="A27" s="30" t="s">
        <v>12</v>
      </c>
      <c r="B27" s="31" t="s">
        <v>3</v>
      </c>
      <c r="C27" s="80">
        <v>780.30053224084395</v>
      </c>
      <c r="D27" s="80">
        <v>924.24003950207202</v>
      </c>
      <c r="E27" s="80">
        <v>900.45064262402229</v>
      </c>
      <c r="F27" s="22" t="s">
        <v>206</v>
      </c>
      <c r="G27" s="37">
        <v>15.397927518790084</v>
      </c>
      <c r="H27" s="33">
        <v>-2.5739413854939812</v>
      </c>
    </row>
    <row r="28" spans="1:8">
      <c r="A28" s="30"/>
      <c r="B28" s="25" t="s">
        <v>207</v>
      </c>
      <c r="C28" s="82">
        <v>536.25253427371001</v>
      </c>
      <c r="D28" s="82">
        <v>634.22520512267704</v>
      </c>
      <c r="E28" s="82">
        <v>618.20821045853995</v>
      </c>
      <c r="F28" s="27"/>
      <c r="G28" s="28">
        <v>15.283037551669395</v>
      </c>
      <c r="H28" s="29">
        <v>-2.5254427819592706</v>
      </c>
    </row>
    <row r="29" spans="1:8">
      <c r="A29" s="39" t="s">
        <v>13</v>
      </c>
      <c r="B29" s="31" t="s">
        <v>3</v>
      </c>
      <c r="C29" s="80">
        <v>109.483957619469</v>
      </c>
      <c r="D29" s="80">
        <v>99.056529776607604</v>
      </c>
      <c r="E29" s="80">
        <v>116.56270864586445</v>
      </c>
      <c r="F29" s="22" t="s">
        <v>206</v>
      </c>
      <c r="G29" s="23">
        <v>6.4655600512715523</v>
      </c>
      <c r="H29" s="24">
        <v>17.672917584269101</v>
      </c>
    </row>
    <row r="30" spans="1:8">
      <c r="A30" s="34"/>
      <c r="B30" s="25" t="s">
        <v>207</v>
      </c>
      <c r="C30" s="82">
        <v>89.156319738330794</v>
      </c>
      <c r="D30" s="82">
        <v>75.303075636085694</v>
      </c>
      <c r="E30" s="82">
        <v>90.6191654838468</v>
      </c>
      <c r="F30" s="27"/>
      <c r="G30" s="28">
        <v>1.6407650627677128</v>
      </c>
      <c r="H30" s="29">
        <v>20.339262000105535</v>
      </c>
    </row>
    <row r="31" spans="1:8">
      <c r="A31" s="30" t="s">
        <v>14</v>
      </c>
      <c r="B31" s="31" t="s">
        <v>3</v>
      </c>
      <c r="C31" s="85">
        <v>705.083578896988</v>
      </c>
      <c r="D31" s="85">
        <v>936.8775075172324</v>
      </c>
      <c r="E31" s="83">
        <v>703.02513478346157</v>
      </c>
      <c r="F31" s="22" t="s">
        <v>206</v>
      </c>
      <c r="G31" s="23">
        <v>-0.29194327809287302</v>
      </c>
      <c r="H31" s="24">
        <v>-24.960826880505451</v>
      </c>
    </row>
    <row r="32" spans="1:8" ht="13.5" thickBot="1">
      <c r="A32" s="41"/>
      <c r="B32" s="42" t="s">
        <v>207</v>
      </c>
      <c r="C32" s="86">
        <v>470.94817439200619</v>
      </c>
      <c r="D32" s="86">
        <v>707.26247875517322</v>
      </c>
      <c r="E32" s="86">
        <v>508.64434519154815</v>
      </c>
      <c r="F32" s="44"/>
      <c r="G32" s="45">
        <v>8.0043140305634921</v>
      </c>
      <c r="H32" s="46">
        <v>-28.082662311339561</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112"/>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144">
        <v>10</v>
      </c>
      <c r="H61" s="53" t="s">
        <v>208</v>
      </c>
    </row>
    <row r="62" spans="1:8" ht="12.75" customHeight="1">
      <c r="A62" s="145"/>
      <c r="H62" s="53" t="s">
        <v>209</v>
      </c>
    </row>
    <row r="67" ht="12.75" customHeight="1"/>
    <row r="68" ht="12.75" customHeight="1"/>
  </sheetData>
  <mergeCells count="4">
    <mergeCell ref="G5:H5"/>
    <mergeCell ref="A7:A8"/>
    <mergeCell ref="C5:F5"/>
    <mergeCell ref="A61:A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26</v>
      </c>
      <c r="B7" s="19" t="s">
        <v>3</v>
      </c>
      <c r="C7" s="20">
        <v>764855.54500000004</v>
      </c>
      <c r="D7" s="20">
        <v>711115</v>
      </c>
      <c r="E7" s="21">
        <v>762982.7418031696</v>
      </c>
      <c r="F7" s="22" t="s">
        <v>206</v>
      </c>
      <c r="G7" s="23">
        <v>-0.24485711178709835</v>
      </c>
      <c r="H7" s="24">
        <v>7.2938613027667287</v>
      </c>
    </row>
    <row r="8" spans="1:8">
      <c r="A8" s="150"/>
      <c r="B8" s="25" t="s">
        <v>207</v>
      </c>
      <c r="C8" s="26">
        <v>562680</v>
      </c>
      <c r="D8" s="26">
        <v>544309.60875000001</v>
      </c>
      <c r="E8" s="26">
        <v>576239.83408071799</v>
      </c>
      <c r="F8" s="27"/>
      <c r="G8" s="28">
        <v>2.4098660127813218</v>
      </c>
      <c r="H8" s="29">
        <v>5.8661880696990352</v>
      </c>
    </row>
    <row r="9" spans="1:8">
      <c r="A9" s="30" t="s">
        <v>28</v>
      </c>
      <c r="B9" s="31" t="s">
        <v>3</v>
      </c>
      <c r="C9" s="20">
        <v>686806.08594999998</v>
      </c>
      <c r="D9" s="20">
        <v>642170</v>
      </c>
      <c r="E9" s="21">
        <v>691616.21862175758</v>
      </c>
      <c r="F9" s="22" t="s">
        <v>206</v>
      </c>
      <c r="G9" s="32">
        <v>0.70036255795609748</v>
      </c>
      <c r="H9" s="33">
        <v>7.6998643072329003</v>
      </c>
    </row>
    <row r="10" spans="1:8">
      <c r="A10" s="34"/>
      <c r="B10" s="25" t="s">
        <v>207</v>
      </c>
      <c r="C10" s="26">
        <v>507887</v>
      </c>
      <c r="D10" s="26">
        <v>490441.55396250001</v>
      </c>
      <c r="E10" s="26">
        <v>522497.19910313899</v>
      </c>
      <c r="F10" s="27"/>
      <c r="G10" s="35">
        <v>2.8766633332097484</v>
      </c>
      <c r="H10" s="29">
        <v>6.5360785360960847</v>
      </c>
    </row>
    <row r="11" spans="1:8">
      <c r="A11" s="30" t="s">
        <v>29</v>
      </c>
      <c r="B11" s="31" t="s">
        <v>3</v>
      </c>
      <c r="C11" s="20">
        <v>37670.477250000004</v>
      </c>
      <c r="D11" s="20">
        <v>30282</v>
      </c>
      <c r="E11" s="21">
        <v>35948.967530956943</v>
      </c>
      <c r="F11" s="22" t="s">
        <v>206</v>
      </c>
      <c r="G11" s="37">
        <v>-4.569917465123325</v>
      </c>
      <c r="H11" s="33">
        <v>18.71398035452394</v>
      </c>
    </row>
    <row r="12" spans="1:8">
      <c r="A12" s="34"/>
      <c r="B12" s="25" t="s">
        <v>207</v>
      </c>
      <c r="C12" s="26">
        <v>24463</v>
      </c>
      <c r="D12" s="26">
        <v>22806.030437500001</v>
      </c>
      <c r="E12" s="26">
        <v>25705.317488789198</v>
      </c>
      <c r="F12" s="27"/>
      <c r="G12" s="28">
        <v>5.0783529771050127</v>
      </c>
      <c r="H12" s="29">
        <v>12.712808830255227</v>
      </c>
    </row>
    <row r="13" spans="1:8">
      <c r="A13" s="30" t="s">
        <v>27</v>
      </c>
      <c r="B13" s="31" t="s">
        <v>3</v>
      </c>
      <c r="C13" s="20">
        <v>8394.4954500000003</v>
      </c>
      <c r="D13" s="20">
        <v>7918</v>
      </c>
      <c r="E13" s="21">
        <v>7342.6589133304715</v>
      </c>
      <c r="F13" s="22" t="s">
        <v>206</v>
      </c>
      <c r="G13" s="23">
        <v>-12.530074534372744</v>
      </c>
      <c r="H13" s="24">
        <v>-7.2662425697086235</v>
      </c>
    </row>
    <row r="14" spans="1:8">
      <c r="A14" s="34"/>
      <c r="B14" s="25" t="s">
        <v>207</v>
      </c>
      <c r="C14" s="26">
        <v>6765</v>
      </c>
      <c r="D14" s="26">
        <v>6548.0060874999999</v>
      </c>
      <c r="E14" s="26">
        <v>6019.6952466367702</v>
      </c>
      <c r="F14" s="27"/>
      <c r="G14" s="38">
        <v>-11.01706952495536</v>
      </c>
      <c r="H14" s="24">
        <v>-8.0682704597932968</v>
      </c>
    </row>
    <row r="15" spans="1:8">
      <c r="A15" s="30" t="s">
        <v>30</v>
      </c>
      <c r="B15" s="31" t="s">
        <v>3</v>
      </c>
      <c r="C15" s="20">
        <v>12492.990900000001</v>
      </c>
      <c r="D15" s="20">
        <v>10934</v>
      </c>
      <c r="E15" s="21">
        <v>11873.209125750656</v>
      </c>
      <c r="F15" s="22" t="s">
        <v>206</v>
      </c>
      <c r="G15" s="37">
        <v>-4.9610359857809954</v>
      </c>
      <c r="H15" s="33">
        <v>8.5898036011583798</v>
      </c>
    </row>
    <row r="16" spans="1:8">
      <c r="A16" s="34"/>
      <c r="B16" s="25" t="s">
        <v>207</v>
      </c>
      <c r="C16" s="26">
        <v>9267</v>
      </c>
      <c r="D16" s="26">
        <v>8415.0121749999998</v>
      </c>
      <c r="E16" s="26">
        <v>9024.9269955156997</v>
      </c>
      <c r="F16" s="27"/>
      <c r="G16" s="28">
        <v>-2.6122046453469352</v>
      </c>
      <c r="H16" s="29">
        <v>7.2479374697482086</v>
      </c>
    </row>
    <row r="17" spans="1:9">
      <c r="A17" s="30" t="s">
        <v>31</v>
      </c>
      <c r="B17" s="31" t="s">
        <v>3</v>
      </c>
      <c r="C17" s="20">
        <v>19491.495449999999</v>
      </c>
      <c r="D17" s="20">
        <v>19811</v>
      </c>
      <c r="E17" s="21">
        <v>16562.992733950268</v>
      </c>
      <c r="F17" s="22" t="s">
        <v>206</v>
      </c>
      <c r="G17" s="37">
        <v>-15.024515299823904</v>
      </c>
      <c r="H17" s="33">
        <v>-16.394968785269455</v>
      </c>
    </row>
    <row r="18" spans="1:9" ht="13.5" thickBot="1">
      <c r="A18" s="56"/>
      <c r="B18" s="42" t="s">
        <v>207</v>
      </c>
      <c r="C18" s="43">
        <v>14298</v>
      </c>
      <c r="D18" s="43">
        <v>16099.0060875</v>
      </c>
      <c r="E18" s="43">
        <v>12992.6952466368</v>
      </c>
      <c r="F18" s="44"/>
      <c r="G18" s="57">
        <v>-9.1292820909441872</v>
      </c>
      <c r="H18" s="46">
        <v>-19.295047309007984</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153" t="s">
        <v>16</v>
      </c>
      <c r="D33" s="147"/>
      <c r="E33" s="147"/>
      <c r="F33" s="154"/>
      <c r="G33" s="147" t="s">
        <v>1</v>
      </c>
      <c r="H33" s="148"/>
    </row>
    <row r="34" spans="1:9">
      <c r="A34" s="12"/>
      <c r="B34" s="13"/>
      <c r="C34" s="14" t="s">
        <v>201</v>
      </c>
      <c r="D34" s="15" t="s">
        <v>202</v>
      </c>
      <c r="E34" s="15" t="s">
        <v>203</v>
      </c>
      <c r="F34" s="16"/>
      <c r="G34" s="17" t="s">
        <v>204</v>
      </c>
      <c r="H34" s="18" t="s">
        <v>205</v>
      </c>
    </row>
    <row r="35" spans="1:9" ht="12.75" customHeight="1">
      <c r="A35" s="149" t="s">
        <v>26</v>
      </c>
      <c r="B35" s="19" t="s">
        <v>3</v>
      </c>
      <c r="C35" s="80">
        <v>11831.883473502399</v>
      </c>
      <c r="D35" s="80">
        <v>12032.8133199393</v>
      </c>
      <c r="E35" s="83">
        <v>12315.300977978963</v>
      </c>
      <c r="F35" s="22" t="s">
        <v>206</v>
      </c>
      <c r="G35" s="23">
        <v>4.0857189437267607</v>
      </c>
      <c r="H35" s="24">
        <v>2.3476443166583465</v>
      </c>
    </row>
    <row r="36" spans="1:9" ht="12.75" customHeight="1">
      <c r="A36" s="150"/>
      <c r="B36" s="25" t="s">
        <v>207</v>
      </c>
      <c r="C36" s="82">
        <v>8873.0789218175505</v>
      </c>
      <c r="D36" s="82">
        <v>8958.4432729784294</v>
      </c>
      <c r="E36" s="82">
        <v>9190.93197123139</v>
      </c>
      <c r="F36" s="27"/>
      <c r="G36" s="28">
        <v>3.5822182155090161</v>
      </c>
      <c r="H36" s="29">
        <v>2.5951908291278869</v>
      </c>
    </row>
    <row r="37" spans="1:9">
      <c r="A37" s="30" t="s">
        <v>28</v>
      </c>
      <c r="B37" s="31" t="s">
        <v>3</v>
      </c>
      <c r="C37" s="80">
        <v>9675.0900412940791</v>
      </c>
      <c r="D37" s="80">
        <v>9966.4660662625192</v>
      </c>
      <c r="E37" s="83">
        <v>10231.680878178424</v>
      </c>
      <c r="F37" s="22" t="s">
        <v>206</v>
      </c>
      <c r="G37" s="32">
        <v>5.7528233278322887</v>
      </c>
      <c r="H37" s="33">
        <v>2.6610717394973449</v>
      </c>
    </row>
    <row r="38" spans="1:9">
      <c r="A38" s="34"/>
      <c r="B38" s="25" t="s">
        <v>207</v>
      </c>
      <c r="C38" s="82">
        <v>7277.67814483244</v>
      </c>
      <c r="D38" s="82">
        <v>7453.8191331226899</v>
      </c>
      <c r="E38" s="82">
        <v>7666.8406441002498</v>
      </c>
      <c r="F38" s="27"/>
      <c r="G38" s="35">
        <v>5.3473441875708403</v>
      </c>
      <c r="H38" s="29">
        <v>2.857884088318599</v>
      </c>
    </row>
    <row r="39" spans="1:9">
      <c r="A39" s="30" t="s">
        <v>29</v>
      </c>
      <c r="B39" s="31" t="s">
        <v>3</v>
      </c>
      <c r="C39" s="80">
        <v>890.03864773087298</v>
      </c>
      <c r="D39" s="80">
        <v>928.47641463711204</v>
      </c>
      <c r="E39" s="83">
        <v>928.79922548252785</v>
      </c>
      <c r="F39" s="22" t="s">
        <v>206</v>
      </c>
      <c r="G39" s="37">
        <v>4.354931985310273</v>
      </c>
      <c r="H39" s="33">
        <v>3.4767802426301841E-2</v>
      </c>
    </row>
    <row r="40" spans="1:9">
      <c r="A40" s="34"/>
      <c r="B40" s="25" t="s">
        <v>207</v>
      </c>
      <c r="C40" s="82">
        <v>634.30991769660295</v>
      </c>
      <c r="D40" s="82">
        <v>645.87490085190097</v>
      </c>
      <c r="E40" s="82">
        <v>651.29268426816702</v>
      </c>
      <c r="F40" s="27"/>
      <c r="G40" s="28">
        <v>2.6773610340564034</v>
      </c>
      <c r="H40" s="29">
        <v>0.83882860428855111</v>
      </c>
    </row>
    <row r="41" spans="1:9">
      <c r="A41" s="30" t="s">
        <v>27</v>
      </c>
      <c r="B41" s="31" t="s">
        <v>3</v>
      </c>
      <c r="C41" s="80">
        <v>247.449651183843</v>
      </c>
      <c r="D41" s="80">
        <v>258.51374729202701</v>
      </c>
      <c r="E41" s="83">
        <v>254.97128208583558</v>
      </c>
      <c r="F41" s="22" t="s">
        <v>206</v>
      </c>
      <c r="G41" s="23">
        <v>3.0396611456139766</v>
      </c>
      <c r="H41" s="24">
        <v>-1.3703198546689777</v>
      </c>
    </row>
    <row r="42" spans="1:9">
      <c r="A42" s="34"/>
      <c r="B42" s="25" t="s">
        <v>207</v>
      </c>
      <c r="C42" s="82">
        <v>219.418660358355</v>
      </c>
      <c r="D42" s="82">
        <v>217.788404439495</v>
      </c>
      <c r="E42" s="82">
        <v>218.438145068274</v>
      </c>
      <c r="F42" s="27"/>
      <c r="G42" s="38">
        <v>-0.44686960009673271</v>
      </c>
      <c r="H42" s="24">
        <v>0.29833573116584944</v>
      </c>
    </row>
    <row r="43" spans="1:9">
      <c r="A43" s="30" t="s">
        <v>30</v>
      </c>
      <c r="B43" s="31" t="s">
        <v>3</v>
      </c>
      <c r="C43" s="80">
        <v>478.789720262304</v>
      </c>
      <c r="D43" s="80">
        <v>485.22651254703999</v>
      </c>
      <c r="E43" s="83">
        <v>533.25479726644915</v>
      </c>
      <c r="F43" s="22" t="s">
        <v>206</v>
      </c>
      <c r="G43" s="37">
        <v>11.375573597174665</v>
      </c>
      <c r="H43" s="33">
        <v>9.8981163389651101</v>
      </c>
    </row>
    <row r="44" spans="1:9">
      <c r="A44" s="34"/>
      <c r="B44" s="25" t="s">
        <v>207</v>
      </c>
      <c r="C44" s="82">
        <v>352.37646741474299</v>
      </c>
      <c r="D44" s="82">
        <v>328.63520943083802</v>
      </c>
      <c r="E44" s="82">
        <v>371.02659268310703</v>
      </c>
      <c r="F44" s="27"/>
      <c r="G44" s="28">
        <v>5.2926704797267519</v>
      </c>
      <c r="H44" s="29">
        <v>12.899221396784142</v>
      </c>
    </row>
    <row r="45" spans="1:9">
      <c r="A45" s="30" t="s">
        <v>31</v>
      </c>
      <c r="B45" s="31" t="s">
        <v>3</v>
      </c>
      <c r="C45" s="80">
        <v>540.51541303133104</v>
      </c>
      <c r="D45" s="80">
        <v>394.13057920062101</v>
      </c>
      <c r="E45" s="83">
        <v>369.49463526427564</v>
      </c>
      <c r="F45" s="22" t="s">
        <v>206</v>
      </c>
      <c r="G45" s="37">
        <v>-31.640314715159136</v>
      </c>
      <c r="H45" s="33">
        <v>-6.2507060442537039</v>
      </c>
    </row>
    <row r="46" spans="1:9" ht="13.5" thickBot="1">
      <c r="A46" s="56"/>
      <c r="B46" s="42" t="s">
        <v>207</v>
      </c>
      <c r="C46" s="86">
        <v>389.29573151541803</v>
      </c>
      <c r="D46" s="86">
        <v>312.32562513350501</v>
      </c>
      <c r="E46" s="86">
        <v>283.33390511158802</v>
      </c>
      <c r="F46" s="44"/>
      <c r="G46" s="57">
        <v>-27.218851332212296</v>
      </c>
      <c r="H46" s="46">
        <v>-9.2825300548183804</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1"/>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208</v>
      </c>
      <c r="G61" s="53"/>
      <c r="H61" s="152">
        <v>11</v>
      </c>
    </row>
    <row r="62" spans="1:9"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ht="12.75" customHeight="1">
      <c r="A7" s="149" t="s">
        <v>26</v>
      </c>
      <c r="B7" s="19" t="s">
        <v>3</v>
      </c>
      <c r="C7" s="20">
        <v>764855.54500000004</v>
      </c>
      <c r="D7" s="20">
        <v>711115</v>
      </c>
      <c r="E7" s="21">
        <v>762982.7418031682</v>
      </c>
      <c r="F7" s="22" t="s">
        <v>206</v>
      </c>
      <c r="G7" s="23">
        <v>-0.24485711178728309</v>
      </c>
      <c r="H7" s="24">
        <v>7.2938613027665298</v>
      </c>
    </row>
    <row r="8" spans="1:8" ht="12.75" customHeight="1">
      <c r="A8" s="150"/>
      <c r="B8" s="25" t="s">
        <v>207</v>
      </c>
      <c r="C8" s="26">
        <v>562680</v>
      </c>
      <c r="D8" s="26">
        <v>544309.60875000001</v>
      </c>
      <c r="E8" s="26">
        <v>576239.83408071694</v>
      </c>
      <c r="F8" s="27"/>
      <c r="G8" s="28">
        <v>2.4098660127811513</v>
      </c>
      <c r="H8" s="29">
        <v>5.8661880696988362</v>
      </c>
    </row>
    <row r="9" spans="1:8">
      <c r="A9" s="30" t="s">
        <v>34</v>
      </c>
      <c r="B9" s="31" t="s">
        <v>3</v>
      </c>
      <c r="C9" s="20">
        <v>11406.390293333299</v>
      </c>
      <c r="D9" s="20">
        <v>10918</v>
      </c>
      <c r="E9" s="21">
        <v>11300.781427797858</v>
      </c>
      <c r="F9" s="22" t="s">
        <v>206</v>
      </c>
      <c r="G9" s="32">
        <v>-0.92587455645075067</v>
      </c>
      <c r="H9" s="33">
        <v>3.5059665487988383</v>
      </c>
    </row>
    <row r="10" spans="1:8">
      <c r="A10" s="34"/>
      <c r="B10" s="25" t="s">
        <v>207</v>
      </c>
      <c r="C10" s="26">
        <v>9184</v>
      </c>
      <c r="D10" s="26">
        <v>8110.7463200000002</v>
      </c>
      <c r="E10" s="26">
        <v>8617.3070000000007</v>
      </c>
      <c r="F10" s="27"/>
      <c r="G10" s="35">
        <v>-6.170437717770028</v>
      </c>
      <c r="H10" s="29">
        <v>6.2455495464195536</v>
      </c>
    </row>
    <row r="11" spans="1:8">
      <c r="A11" s="30" t="s">
        <v>35</v>
      </c>
      <c r="B11" s="31" t="s">
        <v>3</v>
      </c>
      <c r="C11" s="20">
        <v>3921.3368754716998</v>
      </c>
      <c r="D11" s="20">
        <v>3927</v>
      </c>
      <c r="E11" s="21">
        <v>4560.3477452130655</v>
      </c>
      <c r="F11" s="22" t="s">
        <v>206</v>
      </c>
      <c r="G11" s="37">
        <v>16.295740203766556</v>
      </c>
      <c r="H11" s="33">
        <v>16.128030181132317</v>
      </c>
    </row>
    <row r="12" spans="1:8">
      <c r="A12" s="34"/>
      <c r="B12" s="25" t="s">
        <v>207</v>
      </c>
      <c r="C12" s="26">
        <v>2872</v>
      </c>
      <c r="D12" s="26">
        <v>2902.8527320754702</v>
      </c>
      <c r="E12" s="26">
        <v>3360.6245600000002</v>
      </c>
      <c r="F12" s="27"/>
      <c r="G12" s="28">
        <v>17.01338997214485</v>
      </c>
      <c r="H12" s="29">
        <v>15.769722758110234</v>
      </c>
    </row>
    <row r="13" spans="1:8">
      <c r="A13" s="30" t="s">
        <v>36</v>
      </c>
      <c r="B13" s="31" t="s">
        <v>3</v>
      </c>
      <c r="C13" s="20">
        <v>162160.10196923101</v>
      </c>
      <c r="D13" s="20">
        <v>145881</v>
      </c>
      <c r="E13" s="21">
        <v>155314.06840701474</v>
      </c>
      <c r="F13" s="22" t="s">
        <v>206</v>
      </c>
      <c r="G13" s="23">
        <v>-4.2217743323294599</v>
      </c>
      <c r="H13" s="24">
        <v>6.4662762162411411</v>
      </c>
    </row>
    <row r="14" spans="1:8">
      <c r="A14" s="34"/>
      <c r="B14" s="25" t="s">
        <v>207</v>
      </c>
      <c r="C14" s="26">
        <v>119267</v>
      </c>
      <c r="D14" s="26">
        <v>109198.172323077</v>
      </c>
      <c r="E14" s="26">
        <v>115575.4748</v>
      </c>
      <c r="F14" s="27"/>
      <c r="G14" s="38">
        <v>-3.0951773751331046</v>
      </c>
      <c r="H14" s="24">
        <v>5.84011832913734</v>
      </c>
    </row>
    <row r="15" spans="1:8">
      <c r="A15" s="30" t="s">
        <v>18</v>
      </c>
      <c r="B15" s="31" t="s">
        <v>3</v>
      </c>
      <c r="C15" s="20">
        <v>3889.7170879999999</v>
      </c>
      <c r="D15" s="20">
        <v>3192</v>
      </c>
      <c r="E15" s="21">
        <v>3569.383045817252</v>
      </c>
      <c r="F15" s="22" t="s">
        <v>206</v>
      </c>
      <c r="G15" s="37">
        <v>-8.2354072271990333</v>
      </c>
      <c r="H15" s="33">
        <v>11.82277712460062</v>
      </c>
    </row>
    <row r="16" spans="1:8">
      <c r="A16" s="34"/>
      <c r="B16" s="25" t="s">
        <v>207</v>
      </c>
      <c r="C16" s="26">
        <v>2704</v>
      </c>
      <c r="D16" s="26">
        <v>2406.3238959999999</v>
      </c>
      <c r="E16" s="26">
        <v>2617.1604000000002</v>
      </c>
      <c r="F16" s="27"/>
      <c r="G16" s="28">
        <v>-3.211523668639046</v>
      </c>
      <c r="H16" s="29">
        <v>8.7617674557640015</v>
      </c>
    </row>
    <row r="17" spans="1:9">
      <c r="A17" s="30" t="s">
        <v>37</v>
      </c>
      <c r="B17" s="31" t="s">
        <v>3</v>
      </c>
      <c r="C17" s="20">
        <v>6556.7927200000004</v>
      </c>
      <c r="D17" s="20">
        <v>5687</v>
      </c>
      <c r="E17" s="21">
        <v>4910.5443699645894</v>
      </c>
      <c r="F17" s="22" t="s">
        <v>206</v>
      </c>
      <c r="G17" s="37">
        <v>-25.107524674585264</v>
      </c>
      <c r="H17" s="33">
        <v>-13.653167399954469</v>
      </c>
    </row>
    <row r="18" spans="1:9">
      <c r="A18" s="34"/>
      <c r="B18" s="25" t="s">
        <v>207</v>
      </c>
      <c r="C18" s="26">
        <v>5181</v>
      </c>
      <c r="D18" s="26">
        <v>4332.8097399999997</v>
      </c>
      <c r="E18" s="26">
        <v>3786.4368399999998</v>
      </c>
      <c r="F18" s="27"/>
      <c r="G18" s="28">
        <v>-26.916872418452044</v>
      </c>
      <c r="H18" s="29">
        <v>-12.610129056809214</v>
      </c>
    </row>
    <row r="19" spans="1:9">
      <c r="A19" s="30" t="s">
        <v>38</v>
      </c>
      <c r="B19" s="31" t="s">
        <v>3</v>
      </c>
      <c r="C19" s="20">
        <v>8686.7927199999995</v>
      </c>
      <c r="D19" s="20">
        <v>7114</v>
      </c>
      <c r="E19" s="21">
        <v>6156.2243895934862</v>
      </c>
      <c r="F19" s="22" t="s">
        <v>206</v>
      </c>
      <c r="G19" s="23">
        <v>-29.13121576597851</v>
      </c>
      <c r="H19" s="24">
        <v>-13.463250075998218</v>
      </c>
    </row>
    <row r="20" spans="1:9">
      <c r="A20" s="30"/>
      <c r="B20" s="25" t="s">
        <v>207</v>
      </c>
      <c r="C20" s="26">
        <v>5954</v>
      </c>
      <c r="D20" s="26">
        <v>5634.8097399999997</v>
      </c>
      <c r="E20" s="26">
        <v>4635.7075999999997</v>
      </c>
      <c r="F20" s="27"/>
      <c r="G20" s="38">
        <v>-22.141289889150144</v>
      </c>
      <c r="H20" s="24">
        <v>-17.730893962712571</v>
      </c>
    </row>
    <row r="21" spans="1:9">
      <c r="A21" s="39" t="s">
        <v>39</v>
      </c>
      <c r="B21" s="31" t="s">
        <v>3</v>
      </c>
      <c r="C21" s="20">
        <v>215246.22008888901</v>
      </c>
      <c r="D21" s="20">
        <v>225336</v>
      </c>
      <c r="E21" s="21">
        <v>239011.07928830344</v>
      </c>
      <c r="F21" s="22" t="s">
        <v>206</v>
      </c>
      <c r="G21" s="37">
        <v>11.040778876209956</v>
      </c>
      <c r="H21" s="33">
        <v>6.0687503498346729</v>
      </c>
    </row>
    <row r="22" spans="1:9">
      <c r="A22" s="34"/>
      <c r="B22" s="25" t="s">
        <v>207</v>
      </c>
      <c r="C22" s="26">
        <v>163169</v>
      </c>
      <c r="D22" s="26">
        <v>174384.707066667</v>
      </c>
      <c r="E22" s="26">
        <v>183689.05960000001</v>
      </c>
      <c r="F22" s="27"/>
      <c r="G22" s="28">
        <v>12.575954746305968</v>
      </c>
      <c r="H22" s="29">
        <v>5.3355323926288776</v>
      </c>
    </row>
    <row r="23" spans="1:9">
      <c r="A23" s="39" t="s">
        <v>40</v>
      </c>
      <c r="B23" s="31" t="s">
        <v>3</v>
      </c>
      <c r="C23" s="20">
        <v>156499.91680000001</v>
      </c>
      <c r="D23" s="20">
        <v>140757</v>
      </c>
      <c r="E23" s="21">
        <v>154951.8892601906</v>
      </c>
      <c r="F23" s="22" t="s">
        <v>206</v>
      </c>
      <c r="G23" s="23">
        <v>-0.98915550337814295</v>
      </c>
      <c r="H23" s="24">
        <v>10.084677323465698</v>
      </c>
    </row>
    <row r="24" spans="1:9">
      <c r="A24" s="34"/>
      <c r="B24" s="25" t="s">
        <v>207</v>
      </c>
      <c r="C24" s="26">
        <v>121854</v>
      </c>
      <c r="D24" s="26">
        <v>107432.8256</v>
      </c>
      <c r="E24" s="26">
        <v>119050.428</v>
      </c>
      <c r="F24" s="27"/>
      <c r="G24" s="38">
        <v>-2.3007632084297569</v>
      </c>
      <c r="H24" s="24">
        <v>10.813829325550188</v>
      </c>
    </row>
    <row r="25" spans="1:9">
      <c r="A25" s="30" t="s">
        <v>41</v>
      </c>
      <c r="B25" s="31" t="s">
        <v>3</v>
      </c>
      <c r="C25" s="20">
        <v>250548.34075</v>
      </c>
      <c r="D25" s="20">
        <v>228871</v>
      </c>
      <c r="E25" s="21">
        <v>260354.86177937587</v>
      </c>
      <c r="F25" s="22" t="s">
        <v>206</v>
      </c>
      <c r="G25" s="37">
        <v>3.9140235373424019</v>
      </c>
      <c r="H25" s="33">
        <v>13.756160360804074</v>
      </c>
    </row>
    <row r="26" spans="1:9">
      <c r="A26" s="34"/>
      <c r="B26" s="25" t="s">
        <v>207</v>
      </c>
      <c r="C26" s="26">
        <v>174446</v>
      </c>
      <c r="D26" s="26">
        <v>173247.2130625</v>
      </c>
      <c r="E26" s="26">
        <v>191513.2745</v>
      </c>
      <c r="F26" s="27"/>
      <c r="G26" s="28">
        <v>9.7837006867454761</v>
      </c>
      <c r="H26" s="29">
        <v>10.543350807559833</v>
      </c>
    </row>
    <row r="27" spans="1:9">
      <c r="A27" s="30" t="s">
        <v>24</v>
      </c>
      <c r="B27" s="31" t="s">
        <v>3</v>
      </c>
      <c r="C27" s="20">
        <v>159666.68351999999</v>
      </c>
      <c r="D27" s="20">
        <v>159968</v>
      </c>
      <c r="E27" s="21">
        <v>162027.15295952343</v>
      </c>
      <c r="F27" s="22" t="s">
        <v>206</v>
      </c>
      <c r="G27" s="23">
        <v>1.4783731881220916</v>
      </c>
      <c r="H27" s="24">
        <v>1.2872280453112097</v>
      </c>
    </row>
    <row r="28" spans="1:9" ht="13.5" thickBot="1">
      <c r="A28" s="56"/>
      <c r="B28" s="42" t="s">
        <v>207</v>
      </c>
      <c r="C28" s="43">
        <v>121843</v>
      </c>
      <c r="D28" s="43">
        <v>117512.95584</v>
      </c>
      <c r="E28" s="43">
        <v>120526.352</v>
      </c>
      <c r="F28" s="44"/>
      <c r="G28" s="57">
        <v>-1.080610293574523</v>
      </c>
      <c r="H28" s="46">
        <v>2.5643097294760366</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ht="12.75" customHeight="1">
      <c r="A35" s="149" t="s">
        <v>26</v>
      </c>
      <c r="B35" s="19" t="s">
        <v>3</v>
      </c>
      <c r="C35" s="80">
        <v>11831.883473502399</v>
      </c>
      <c r="D35" s="80">
        <v>12032.8133199393</v>
      </c>
      <c r="E35" s="83">
        <v>12315.300977978963</v>
      </c>
      <c r="F35" s="22" t="s">
        <v>206</v>
      </c>
      <c r="G35" s="23">
        <v>4.0857189437267607</v>
      </c>
      <c r="H35" s="24">
        <v>2.3476443166583465</v>
      </c>
    </row>
    <row r="36" spans="1:8" ht="12.75" customHeight="1">
      <c r="A36" s="150"/>
      <c r="B36" s="25" t="s">
        <v>207</v>
      </c>
      <c r="C36" s="82">
        <v>8873.0789218175505</v>
      </c>
      <c r="D36" s="82">
        <v>8958.4432729784294</v>
      </c>
      <c r="E36" s="82">
        <v>9190.93197123139</v>
      </c>
      <c r="F36" s="27"/>
      <c r="G36" s="28">
        <v>3.5822182155090161</v>
      </c>
      <c r="H36" s="29">
        <v>2.5951908291278869</v>
      </c>
    </row>
    <row r="37" spans="1:8">
      <c r="A37" s="30" t="s">
        <v>34</v>
      </c>
      <c r="B37" s="31" t="s">
        <v>3</v>
      </c>
      <c r="C37" s="84">
        <v>1837.1777580989001</v>
      </c>
      <c r="D37" s="84">
        <v>1889.2195069936399</v>
      </c>
      <c r="E37" s="83">
        <v>2019.6909053423601</v>
      </c>
      <c r="F37" s="22" t="s">
        <v>206</v>
      </c>
      <c r="G37" s="32">
        <v>9.9344304838701873</v>
      </c>
      <c r="H37" s="33">
        <v>6.9061005280610459</v>
      </c>
    </row>
    <row r="38" spans="1:8">
      <c r="A38" s="34"/>
      <c r="B38" s="25" t="s">
        <v>207</v>
      </c>
      <c r="C38" s="82">
        <v>1362.90411766754</v>
      </c>
      <c r="D38" s="82">
        <v>1476.0795736756299</v>
      </c>
      <c r="E38" s="82">
        <v>1550.5202449144299</v>
      </c>
      <c r="F38" s="27"/>
      <c r="G38" s="35">
        <v>13.765908020585798</v>
      </c>
      <c r="H38" s="29">
        <v>5.0431340265371318</v>
      </c>
    </row>
    <row r="39" spans="1:8">
      <c r="A39" s="30" t="s">
        <v>35</v>
      </c>
      <c r="B39" s="31" t="s">
        <v>3</v>
      </c>
      <c r="C39" s="84">
        <v>72.064238875401699</v>
      </c>
      <c r="D39" s="84">
        <v>69.721654683047007</v>
      </c>
      <c r="E39" s="83">
        <v>73.440973985040586</v>
      </c>
      <c r="F39" s="22" t="s">
        <v>206</v>
      </c>
      <c r="G39" s="37">
        <v>1.9104276006012526</v>
      </c>
      <c r="H39" s="33">
        <v>5.3345252904589273</v>
      </c>
    </row>
    <row r="40" spans="1:8">
      <c r="A40" s="34"/>
      <c r="B40" s="25" t="s">
        <v>207</v>
      </c>
      <c r="C40" s="82">
        <v>59.574790951476899</v>
      </c>
      <c r="D40" s="82">
        <v>57.8345848859421</v>
      </c>
      <c r="E40" s="82">
        <v>60.850675247232999</v>
      </c>
      <c r="F40" s="27"/>
      <c r="G40" s="28">
        <v>2.1416513182485062</v>
      </c>
      <c r="H40" s="29">
        <v>5.2150289783164538</v>
      </c>
    </row>
    <row r="41" spans="1:8">
      <c r="A41" s="30" t="s">
        <v>36</v>
      </c>
      <c r="B41" s="31" t="s">
        <v>3</v>
      </c>
      <c r="C41" s="84">
        <v>2507.6058830962302</v>
      </c>
      <c r="D41" s="84">
        <v>2382.88863794278</v>
      </c>
      <c r="E41" s="83">
        <v>2457.8443078568857</v>
      </c>
      <c r="F41" s="22" t="s">
        <v>206</v>
      </c>
      <c r="G41" s="23">
        <v>-1.9844256856624582</v>
      </c>
      <c r="H41" s="24">
        <v>3.1455800628105379</v>
      </c>
    </row>
    <row r="42" spans="1:8">
      <c r="A42" s="34"/>
      <c r="B42" s="25" t="s">
        <v>207</v>
      </c>
      <c r="C42" s="82">
        <v>1863.1266236056199</v>
      </c>
      <c r="D42" s="82">
        <v>1767.3954169306301</v>
      </c>
      <c r="E42" s="82">
        <v>1824.0437043873601</v>
      </c>
      <c r="F42" s="27"/>
      <c r="G42" s="38">
        <v>-2.097706013272699</v>
      </c>
      <c r="H42" s="24">
        <v>3.2051846980065761</v>
      </c>
    </row>
    <row r="43" spans="1:8">
      <c r="A43" s="30" t="s">
        <v>18</v>
      </c>
      <c r="B43" s="31" t="s">
        <v>3</v>
      </c>
      <c r="C43" s="84">
        <v>207.103359266593</v>
      </c>
      <c r="D43" s="84">
        <v>203.49382550853099</v>
      </c>
      <c r="E43" s="83">
        <v>217.58639488791113</v>
      </c>
      <c r="F43" s="22" t="s">
        <v>206</v>
      </c>
      <c r="G43" s="37">
        <v>5.0617409869358312</v>
      </c>
      <c r="H43" s="33">
        <v>6.9253056421553936</v>
      </c>
    </row>
    <row r="44" spans="1:8">
      <c r="A44" s="34"/>
      <c r="B44" s="25" t="s">
        <v>207</v>
      </c>
      <c r="C44" s="82">
        <v>161.39538132441399</v>
      </c>
      <c r="D44" s="82">
        <v>145.07730772923</v>
      </c>
      <c r="E44" s="82">
        <v>159.65656809661201</v>
      </c>
      <c r="F44" s="27"/>
      <c r="G44" s="28">
        <v>-1.0773624458973075</v>
      </c>
      <c r="H44" s="29">
        <v>10.049304467789327</v>
      </c>
    </row>
    <row r="45" spans="1:8">
      <c r="A45" s="30" t="s">
        <v>37</v>
      </c>
      <c r="B45" s="31" t="s">
        <v>3</v>
      </c>
      <c r="C45" s="84">
        <v>218.907575734354</v>
      </c>
      <c r="D45" s="84">
        <v>214.17610738075001</v>
      </c>
      <c r="E45" s="83">
        <v>191.67801315834316</v>
      </c>
      <c r="F45" s="22" t="s">
        <v>206</v>
      </c>
      <c r="G45" s="37">
        <v>-12.438839763615178</v>
      </c>
      <c r="H45" s="33">
        <v>-10.504483668858086</v>
      </c>
    </row>
    <row r="46" spans="1:8">
      <c r="A46" s="34"/>
      <c r="B46" s="25" t="s">
        <v>207</v>
      </c>
      <c r="C46" s="82">
        <v>178.535044880839</v>
      </c>
      <c r="D46" s="82">
        <v>158.85561991686501</v>
      </c>
      <c r="E46" s="82">
        <v>146.594382548309</v>
      </c>
      <c r="F46" s="27"/>
      <c r="G46" s="28">
        <v>-17.890416054645414</v>
      </c>
      <c r="H46" s="29">
        <v>-7.7184788142671721</v>
      </c>
    </row>
    <row r="47" spans="1:8">
      <c r="A47" s="30" t="s">
        <v>38</v>
      </c>
      <c r="B47" s="31" t="s">
        <v>3</v>
      </c>
      <c r="C47" s="84">
        <v>115.174628952522</v>
      </c>
      <c r="D47" s="84">
        <v>98.416478496110699</v>
      </c>
      <c r="E47" s="83">
        <v>82.27385962804081</v>
      </c>
      <c r="F47" s="22" t="s">
        <v>206</v>
      </c>
      <c r="G47" s="23">
        <v>-28.56598681819392</v>
      </c>
      <c r="H47" s="24">
        <v>-16.402353665507178</v>
      </c>
    </row>
    <row r="48" spans="1:8">
      <c r="A48" s="30"/>
      <c r="B48" s="25" t="s">
        <v>207</v>
      </c>
      <c r="C48" s="82">
        <v>81.728362567687199</v>
      </c>
      <c r="D48" s="82">
        <v>81.939377522316406</v>
      </c>
      <c r="E48" s="82">
        <v>64.758519335578598</v>
      </c>
      <c r="F48" s="27"/>
      <c r="G48" s="38">
        <v>-20.763713720624494</v>
      </c>
      <c r="H48" s="24">
        <v>-20.967767520638731</v>
      </c>
    </row>
    <row r="49" spans="1:9">
      <c r="A49" s="39" t="s">
        <v>39</v>
      </c>
      <c r="B49" s="31" t="s">
        <v>3</v>
      </c>
      <c r="C49" s="84">
        <v>1188.07081174321</v>
      </c>
      <c r="D49" s="84">
        <v>1311.8187471884401</v>
      </c>
      <c r="E49" s="83">
        <v>1364.4412284716627</v>
      </c>
      <c r="F49" s="22" t="s">
        <v>206</v>
      </c>
      <c r="G49" s="37">
        <v>14.84510981880544</v>
      </c>
      <c r="H49" s="33">
        <v>4.0114140307878614</v>
      </c>
    </row>
    <row r="50" spans="1:9">
      <c r="A50" s="34"/>
      <c r="B50" s="25" t="s">
        <v>207</v>
      </c>
      <c r="C50" s="82">
        <v>880.08712635245604</v>
      </c>
      <c r="D50" s="82">
        <v>989.90551314148502</v>
      </c>
      <c r="E50" s="82">
        <v>1023.24429006785</v>
      </c>
      <c r="F50" s="27"/>
      <c r="G50" s="28">
        <v>16.266249037037113</v>
      </c>
      <c r="H50" s="29">
        <v>3.3678746591241548</v>
      </c>
    </row>
    <row r="51" spans="1:9">
      <c r="A51" s="39" t="s">
        <v>40</v>
      </c>
      <c r="B51" s="31" t="s">
        <v>3</v>
      </c>
      <c r="C51" s="84">
        <v>566.58335948257195</v>
      </c>
      <c r="D51" s="84">
        <v>436.52917668788399</v>
      </c>
      <c r="E51" s="83">
        <v>459.35133157077479</v>
      </c>
      <c r="F51" s="22" t="s">
        <v>206</v>
      </c>
      <c r="G51" s="23">
        <v>-18.926081417167993</v>
      </c>
      <c r="H51" s="24">
        <v>5.2280938140381323</v>
      </c>
    </row>
    <row r="52" spans="1:9">
      <c r="A52" s="34"/>
      <c r="B52" s="25" t="s">
        <v>207</v>
      </c>
      <c r="C52" s="82">
        <v>431.11480228163703</v>
      </c>
      <c r="D52" s="82">
        <v>328.46096663497201</v>
      </c>
      <c r="E52" s="82">
        <v>346.91971506309602</v>
      </c>
      <c r="F52" s="27"/>
      <c r="G52" s="38">
        <v>-19.529621059853653</v>
      </c>
      <c r="H52" s="24">
        <v>5.6197692581955181</v>
      </c>
    </row>
    <row r="53" spans="1:9">
      <c r="A53" s="30" t="s">
        <v>41</v>
      </c>
      <c r="B53" s="31" t="s">
        <v>3</v>
      </c>
      <c r="C53" s="84">
        <v>4549.3950337029701</v>
      </c>
      <c r="D53" s="84">
        <v>4781.87647139613</v>
      </c>
      <c r="E53" s="83">
        <v>4856.5243496055891</v>
      </c>
      <c r="F53" s="22" t="s">
        <v>206</v>
      </c>
      <c r="G53" s="37">
        <v>6.750992464433935</v>
      </c>
      <c r="H53" s="33">
        <v>1.5610582719144332</v>
      </c>
    </row>
    <row r="54" spans="1:9">
      <c r="A54" s="34"/>
      <c r="B54" s="25" t="s">
        <v>207</v>
      </c>
      <c r="C54" s="82">
        <v>3401.1348676909502</v>
      </c>
      <c r="D54" s="82">
        <v>3502.1638535011698</v>
      </c>
      <c r="E54" s="82">
        <v>3581.1348866282401</v>
      </c>
      <c r="F54" s="27"/>
      <c r="G54" s="28">
        <v>5.2923516984638894</v>
      </c>
      <c r="H54" s="29">
        <v>2.2549211410574515</v>
      </c>
    </row>
    <row r="55" spans="1:9">
      <c r="A55" s="30" t="s">
        <v>24</v>
      </c>
      <c r="B55" s="31" t="s">
        <v>3</v>
      </c>
      <c r="C55" s="84">
        <v>569.80082454966805</v>
      </c>
      <c r="D55" s="84">
        <v>644.67271366202499</v>
      </c>
      <c r="E55" s="83">
        <v>594.51839473085499</v>
      </c>
      <c r="F55" s="22" t="s">
        <v>206</v>
      </c>
      <c r="G55" s="23">
        <v>4.3379316273755961</v>
      </c>
      <c r="H55" s="24">
        <v>-7.7798110371806217</v>
      </c>
    </row>
    <row r="56" spans="1:9" ht="13.5" thickBot="1">
      <c r="A56" s="56"/>
      <c r="B56" s="42" t="s">
        <v>207</v>
      </c>
      <c r="C56" s="86">
        <v>453.477804494937</v>
      </c>
      <c r="D56" s="86">
        <v>450.73105904018303</v>
      </c>
      <c r="E56" s="86">
        <v>433.20898494269301</v>
      </c>
      <c r="F56" s="44"/>
      <c r="G56" s="57">
        <v>-4.4696387235133841</v>
      </c>
      <c r="H56" s="46">
        <v>-3.8874787406048057</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144">
        <v>12</v>
      </c>
      <c r="H61" s="53" t="s">
        <v>208</v>
      </c>
    </row>
    <row r="62" spans="1:9" ht="12.75" customHeight="1">
      <c r="A62" s="145"/>
      <c r="H62" s="53" t="s">
        <v>209</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47" t="s">
        <v>1</v>
      </c>
      <c r="H5" s="148"/>
    </row>
    <row r="6" spans="1:8">
      <c r="A6" s="12"/>
      <c r="B6" s="13"/>
      <c r="C6" s="14" t="s">
        <v>201</v>
      </c>
      <c r="D6" s="15" t="s">
        <v>202</v>
      </c>
      <c r="E6" s="15" t="s">
        <v>203</v>
      </c>
      <c r="F6" s="16"/>
      <c r="G6" s="17" t="s">
        <v>204</v>
      </c>
      <c r="H6" s="18" t="s">
        <v>205</v>
      </c>
    </row>
    <row r="7" spans="1:8">
      <c r="A7" s="149" t="s">
        <v>17</v>
      </c>
      <c r="B7" s="19" t="s">
        <v>3</v>
      </c>
      <c r="C7" s="20">
        <v>263217.77142857102</v>
      </c>
      <c r="D7" s="20">
        <v>243389</v>
      </c>
      <c r="E7" s="21">
        <v>260344.55598890822</v>
      </c>
      <c r="F7" s="22" t="s">
        <v>206</v>
      </c>
      <c r="G7" s="23">
        <v>-1.091573499794066</v>
      </c>
      <c r="H7" s="24">
        <v>6.9664430146424934</v>
      </c>
    </row>
    <row r="8" spans="1:8">
      <c r="A8" s="150"/>
      <c r="B8" s="25" t="s">
        <v>207</v>
      </c>
      <c r="C8" s="26">
        <v>204025</v>
      </c>
      <c r="D8" s="26">
        <v>184584.60571428601</v>
      </c>
      <c r="E8" s="26">
        <v>198874</v>
      </c>
      <c r="F8" s="27"/>
      <c r="G8" s="28">
        <v>-2.5246906016419501</v>
      </c>
      <c r="H8" s="29">
        <v>7.7413792067970064</v>
      </c>
    </row>
    <row r="9" spans="1:8">
      <c r="A9" s="30" t="s">
        <v>18</v>
      </c>
      <c r="B9" s="31" t="s">
        <v>3</v>
      </c>
      <c r="C9" s="20">
        <v>25302.583783783801</v>
      </c>
      <c r="D9" s="20">
        <v>18925</v>
      </c>
      <c r="E9" s="21">
        <v>24267.518259086624</v>
      </c>
      <c r="F9" s="22" t="s">
        <v>206</v>
      </c>
      <c r="G9" s="32">
        <v>-4.0907503104901934</v>
      </c>
      <c r="H9" s="33">
        <v>28.229951170867253</v>
      </c>
    </row>
    <row r="10" spans="1:8">
      <c r="A10" s="34"/>
      <c r="B10" s="25" t="s">
        <v>207</v>
      </c>
      <c r="C10" s="26">
        <v>18610</v>
      </c>
      <c r="D10" s="26">
        <v>14536.3191891892</v>
      </c>
      <c r="E10" s="26">
        <v>18368.5</v>
      </c>
      <c r="F10" s="27"/>
      <c r="G10" s="35">
        <v>-1.2976894142933872</v>
      </c>
      <c r="H10" s="29">
        <v>26.362800382512447</v>
      </c>
    </row>
    <row r="11" spans="1:8">
      <c r="A11" s="30" t="s">
        <v>19</v>
      </c>
      <c r="B11" s="31" t="s">
        <v>3</v>
      </c>
      <c r="C11" s="20">
        <v>65970.238095238106</v>
      </c>
      <c r="D11" s="20">
        <v>54524</v>
      </c>
      <c r="E11" s="21">
        <v>62259.384430734106</v>
      </c>
      <c r="F11" s="22" t="s">
        <v>206</v>
      </c>
      <c r="G11" s="37">
        <v>-5.6250420972360615</v>
      </c>
      <c r="H11" s="33">
        <v>14.187118389579084</v>
      </c>
    </row>
    <row r="12" spans="1:8">
      <c r="A12" s="34"/>
      <c r="B12" s="25" t="s">
        <v>207</v>
      </c>
      <c r="C12" s="26">
        <v>53034</v>
      </c>
      <c r="D12" s="26">
        <v>40895.335714285698</v>
      </c>
      <c r="E12" s="26">
        <v>47764</v>
      </c>
      <c r="F12" s="27"/>
      <c r="G12" s="28">
        <v>-9.9370215333559599</v>
      </c>
      <c r="H12" s="29">
        <v>16.795715613394307</v>
      </c>
    </row>
    <row r="13" spans="1:8">
      <c r="A13" s="30" t="s">
        <v>20</v>
      </c>
      <c r="B13" s="31" t="s">
        <v>3</v>
      </c>
      <c r="C13" s="20">
        <v>31291.9673469388</v>
      </c>
      <c r="D13" s="20">
        <v>32747</v>
      </c>
      <c r="E13" s="21">
        <v>32350.479790797544</v>
      </c>
      <c r="F13" s="22" t="s">
        <v>206</v>
      </c>
      <c r="G13" s="23">
        <v>3.3826970101395517</v>
      </c>
      <c r="H13" s="24">
        <v>-1.2108596488302936</v>
      </c>
    </row>
    <row r="14" spans="1:8">
      <c r="A14" s="34"/>
      <c r="B14" s="25" t="s">
        <v>207</v>
      </c>
      <c r="C14" s="26">
        <v>23389</v>
      </c>
      <c r="D14" s="26">
        <v>25107.229387755098</v>
      </c>
      <c r="E14" s="26">
        <v>24592</v>
      </c>
      <c r="F14" s="27"/>
      <c r="G14" s="38">
        <v>5.1434434990807603</v>
      </c>
      <c r="H14" s="24">
        <v>-2.052115666758425</v>
      </c>
    </row>
    <row r="15" spans="1:8">
      <c r="A15" s="30" t="s">
        <v>21</v>
      </c>
      <c r="B15" s="31" t="s">
        <v>3</v>
      </c>
      <c r="C15" s="20">
        <v>4062.5142857142901</v>
      </c>
      <c r="D15" s="20">
        <v>4252</v>
      </c>
      <c r="E15" s="21">
        <v>4453.4423894593829</v>
      </c>
      <c r="F15" s="22" t="s">
        <v>206</v>
      </c>
      <c r="G15" s="37">
        <v>9.6228117921893812</v>
      </c>
      <c r="H15" s="33">
        <v>4.7375914736449403</v>
      </c>
    </row>
    <row r="16" spans="1:8">
      <c r="A16" s="34"/>
      <c r="B16" s="25" t="s">
        <v>207</v>
      </c>
      <c r="C16" s="26">
        <v>2933</v>
      </c>
      <c r="D16" s="26">
        <v>3280.4007792207799</v>
      </c>
      <c r="E16" s="26">
        <v>3359</v>
      </c>
      <c r="F16" s="27"/>
      <c r="G16" s="28">
        <v>14.52437777020117</v>
      </c>
      <c r="H16" s="29">
        <v>2.396024939303004</v>
      </c>
    </row>
    <row r="17" spans="1:8">
      <c r="A17" s="30" t="s">
        <v>22</v>
      </c>
      <c r="B17" s="31" t="s">
        <v>3</v>
      </c>
      <c r="C17" s="20">
        <v>5448.3771428571399</v>
      </c>
      <c r="D17" s="20">
        <v>5756</v>
      </c>
      <c r="E17" s="21">
        <v>5859.6079437919052</v>
      </c>
      <c r="F17" s="22" t="s">
        <v>206</v>
      </c>
      <c r="G17" s="37">
        <v>7.5477667964650976</v>
      </c>
      <c r="H17" s="33">
        <v>1.7999990234868903</v>
      </c>
    </row>
    <row r="18" spans="1:8">
      <c r="A18" s="34"/>
      <c r="B18" s="25" t="s">
        <v>207</v>
      </c>
      <c r="C18" s="26">
        <v>3849</v>
      </c>
      <c r="D18" s="26">
        <v>4559.1605714285697</v>
      </c>
      <c r="E18" s="26">
        <v>4461</v>
      </c>
      <c r="F18" s="27"/>
      <c r="G18" s="28">
        <v>15.900233826968034</v>
      </c>
      <c r="H18" s="29">
        <v>-2.1530404531861507</v>
      </c>
    </row>
    <row r="19" spans="1:8">
      <c r="A19" s="30" t="s">
        <v>194</v>
      </c>
      <c r="B19" s="31" t="s">
        <v>3</v>
      </c>
      <c r="C19" s="20">
        <v>70320.871428571394</v>
      </c>
      <c r="D19" s="20">
        <v>80838</v>
      </c>
      <c r="E19" s="21">
        <v>87935.622107959207</v>
      </c>
      <c r="F19" s="22" t="s">
        <v>206</v>
      </c>
      <c r="G19" s="23">
        <v>25.049107500438254</v>
      </c>
      <c r="H19" s="24">
        <v>8.7800565426646102</v>
      </c>
    </row>
    <row r="20" spans="1:8">
      <c r="A20" s="30"/>
      <c r="B20" s="25" t="s">
        <v>207</v>
      </c>
      <c r="C20" s="26">
        <v>52629</v>
      </c>
      <c r="D20" s="26">
        <v>61523.403214285703</v>
      </c>
      <c r="E20" s="26">
        <v>66550</v>
      </c>
      <c r="F20" s="27"/>
      <c r="G20" s="38">
        <v>26.451196108609338</v>
      </c>
      <c r="H20" s="24">
        <v>8.1702190111406594</v>
      </c>
    </row>
    <row r="21" spans="1:8">
      <c r="A21" s="39" t="s">
        <v>12</v>
      </c>
      <c r="B21" s="31" t="s">
        <v>3</v>
      </c>
      <c r="C21" s="20">
        <v>2288</v>
      </c>
      <c r="D21" s="20">
        <v>1936</v>
      </c>
      <c r="E21" s="21">
        <v>1879.4616559052167</v>
      </c>
      <c r="F21" s="22" t="s">
        <v>206</v>
      </c>
      <c r="G21" s="37">
        <v>-17.855696857289487</v>
      </c>
      <c r="H21" s="33">
        <v>-2.9203690131602968</v>
      </c>
    </row>
    <row r="22" spans="1:8">
      <c r="A22" s="34"/>
      <c r="B22" s="25" t="s">
        <v>207</v>
      </c>
      <c r="C22" s="26">
        <v>1712</v>
      </c>
      <c r="D22" s="26">
        <v>1514</v>
      </c>
      <c r="E22" s="26">
        <v>1448</v>
      </c>
      <c r="F22" s="27"/>
      <c r="G22" s="28">
        <v>-15.420560747663544</v>
      </c>
      <c r="H22" s="29">
        <v>-4.3593130779392339</v>
      </c>
    </row>
    <row r="23" spans="1:8">
      <c r="A23" s="39" t="s">
        <v>23</v>
      </c>
      <c r="B23" s="31" t="s">
        <v>3</v>
      </c>
      <c r="C23" s="20">
        <v>12075.6661654135</v>
      </c>
      <c r="D23" s="20">
        <v>11301</v>
      </c>
      <c r="E23" s="21">
        <v>10860.906739267775</v>
      </c>
      <c r="F23" s="22" t="s">
        <v>206</v>
      </c>
      <c r="G23" s="23">
        <v>-10.059564495290346</v>
      </c>
      <c r="H23" s="24">
        <v>-3.8942859988693357</v>
      </c>
    </row>
    <row r="24" spans="1:8">
      <c r="A24" s="34"/>
      <c r="B24" s="25" t="s">
        <v>207</v>
      </c>
      <c r="C24" s="26">
        <v>8836</v>
      </c>
      <c r="D24" s="26">
        <v>8347.2320300751908</v>
      </c>
      <c r="E24" s="26">
        <v>7997</v>
      </c>
      <c r="F24" s="27"/>
      <c r="G24" s="28">
        <v>-9.4952467179719235</v>
      </c>
      <c r="H24" s="29">
        <v>-4.1957864452946865</v>
      </c>
    </row>
    <row r="25" spans="1:8">
      <c r="A25" s="30" t="s">
        <v>24</v>
      </c>
      <c r="B25" s="31" t="s">
        <v>3</v>
      </c>
      <c r="C25" s="20">
        <v>49853.647619047602</v>
      </c>
      <c r="D25" s="20">
        <v>36574</v>
      </c>
      <c r="E25" s="21">
        <v>35529.856264702634</v>
      </c>
      <c r="F25" s="22" t="s">
        <v>206</v>
      </c>
      <c r="G25" s="23">
        <v>-28.73168170922817</v>
      </c>
      <c r="H25" s="24">
        <v>-2.8548797924683242</v>
      </c>
    </row>
    <row r="26" spans="1:8" ht="13.5" thickBot="1">
      <c r="A26" s="41"/>
      <c r="B26" s="42" t="s">
        <v>207</v>
      </c>
      <c r="C26" s="43">
        <v>41384</v>
      </c>
      <c r="D26" s="43">
        <v>27666.467142857098</v>
      </c>
      <c r="E26" s="43">
        <v>27695.798383416099</v>
      </c>
      <c r="F26" s="44"/>
      <c r="G26" s="45">
        <v>-33.076071951923211</v>
      </c>
      <c r="H26" s="46">
        <v>0.10601729670631244</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153" t="s">
        <v>16</v>
      </c>
      <c r="D33" s="147"/>
      <c r="E33" s="147"/>
      <c r="F33" s="154"/>
      <c r="G33" s="147" t="s">
        <v>1</v>
      </c>
      <c r="H33" s="148"/>
    </row>
    <row r="34" spans="1:8">
      <c r="A34" s="12"/>
      <c r="B34" s="13"/>
      <c r="C34" s="14" t="s">
        <v>201</v>
      </c>
      <c r="D34" s="15" t="s">
        <v>202</v>
      </c>
      <c r="E34" s="15" t="s">
        <v>203</v>
      </c>
      <c r="F34" s="16"/>
      <c r="G34" s="17" t="s">
        <v>204</v>
      </c>
      <c r="H34" s="18" t="s">
        <v>205</v>
      </c>
    </row>
    <row r="35" spans="1:8">
      <c r="A35" s="149" t="s">
        <v>17</v>
      </c>
      <c r="B35" s="19" t="s">
        <v>3</v>
      </c>
      <c r="C35" s="80">
        <v>6670.83506606633</v>
      </c>
      <c r="D35" s="80">
        <v>5933.1488251145902</v>
      </c>
      <c r="E35" s="83">
        <v>6322.3175900999049</v>
      </c>
      <c r="F35" s="22" t="s">
        <v>206</v>
      </c>
      <c r="G35" s="23">
        <v>-5.2244954719280656</v>
      </c>
      <c r="H35" s="24">
        <v>6.5592281005659459</v>
      </c>
    </row>
    <row r="36" spans="1:8">
      <c r="A36" s="150"/>
      <c r="B36" s="25" t="s">
        <v>207</v>
      </c>
      <c r="C36" s="82">
        <v>5218.5758676393098</v>
      </c>
      <c r="D36" s="82">
        <v>4481.1932546349199</v>
      </c>
      <c r="E36" s="82">
        <v>4830.7343936059297</v>
      </c>
      <c r="F36" s="27"/>
      <c r="G36" s="28">
        <v>-7.4319408948025085</v>
      </c>
      <c r="H36" s="29">
        <v>7.8001799768282183</v>
      </c>
    </row>
    <row r="37" spans="1:8">
      <c r="A37" s="30" t="s">
        <v>18</v>
      </c>
      <c r="B37" s="31" t="s">
        <v>3</v>
      </c>
      <c r="C37" s="80">
        <v>2504.1248880399999</v>
      </c>
      <c r="D37" s="80">
        <v>2197.32631618</v>
      </c>
      <c r="E37" s="83">
        <v>2395.896836781927</v>
      </c>
      <c r="F37" s="22" t="s">
        <v>206</v>
      </c>
      <c r="G37" s="32">
        <v>-4.3219909587969454</v>
      </c>
      <c r="H37" s="33">
        <v>9.0369154157829996</v>
      </c>
    </row>
    <row r="38" spans="1:8">
      <c r="A38" s="34"/>
      <c r="B38" s="25" t="s">
        <v>207</v>
      </c>
      <c r="C38" s="82">
        <v>1914.3585400899999</v>
      </c>
      <c r="D38" s="82">
        <v>1673.84121043</v>
      </c>
      <c r="E38" s="82">
        <v>1827.27143926799</v>
      </c>
      <c r="F38" s="27"/>
      <c r="G38" s="35">
        <v>-4.5491530974085777</v>
      </c>
      <c r="H38" s="29">
        <v>9.1663550808726058</v>
      </c>
    </row>
    <row r="39" spans="1:8">
      <c r="A39" s="30" t="s">
        <v>19</v>
      </c>
      <c r="B39" s="31" t="s">
        <v>3</v>
      </c>
      <c r="C39" s="80">
        <v>2364.5897409822401</v>
      </c>
      <c r="D39" s="80">
        <v>2003.65075377931</v>
      </c>
      <c r="E39" s="83">
        <v>2249.0330992762824</v>
      </c>
      <c r="F39" s="22" t="s">
        <v>206</v>
      </c>
      <c r="G39" s="37">
        <v>-4.8869636750583254</v>
      </c>
      <c r="H39" s="33">
        <v>12.246762317940352</v>
      </c>
    </row>
    <row r="40" spans="1:8">
      <c r="A40" s="34"/>
      <c r="B40" s="25" t="s">
        <v>207</v>
      </c>
      <c r="C40" s="82">
        <v>1848.6633242514199</v>
      </c>
      <c r="D40" s="82">
        <v>1505.0400060674899</v>
      </c>
      <c r="E40" s="82">
        <v>1711.73673049789</v>
      </c>
      <c r="F40" s="27"/>
      <c r="G40" s="28">
        <v>-7.4067891085022524</v>
      </c>
      <c r="H40" s="29">
        <v>13.733636554318366</v>
      </c>
    </row>
    <row r="41" spans="1:8">
      <c r="A41" s="30" t="s">
        <v>20</v>
      </c>
      <c r="B41" s="31" t="s">
        <v>3</v>
      </c>
      <c r="C41" s="80">
        <v>490.11227493737999</v>
      </c>
      <c r="D41" s="80">
        <v>516.15671999114397</v>
      </c>
      <c r="E41" s="83">
        <v>488.81718461028254</v>
      </c>
      <c r="F41" s="22" t="s">
        <v>206</v>
      </c>
      <c r="G41" s="23">
        <v>-0.26424360158353011</v>
      </c>
      <c r="H41" s="24">
        <v>-5.2967508359341906</v>
      </c>
    </row>
    <row r="42" spans="1:8">
      <c r="A42" s="34"/>
      <c r="B42" s="25" t="s">
        <v>207</v>
      </c>
      <c r="C42" s="82">
        <v>366.87525226200802</v>
      </c>
      <c r="D42" s="82">
        <v>389.54797113765102</v>
      </c>
      <c r="E42" s="82">
        <v>367.90617688222301</v>
      </c>
      <c r="F42" s="27"/>
      <c r="G42" s="38">
        <v>0.28100140684297514</v>
      </c>
      <c r="H42" s="24">
        <v>-5.5556172432946909</v>
      </c>
    </row>
    <row r="43" spans="1:8">
      <c r="A43" s="30" t="s">
        <v>21</v>
      </c>
      <c r="B43" s="31" t="s">
        <v>3</v>
      </c>
      <c r="C43" s="80">
        <v>32.828501994062897</v>
      </c>
      <c r="D43" s="80">
        <v>29.915753725985098</v>
      </c>
      <c r="E43" s="83">
        <v>32.473954497102447</v>
      </c>
      <c r="F43" s="22" t="s">
        <v>206</v>
      </c>
      <c r="G43" s="37">
        <v>-1.0799990112999041</v>
      </c>
      <c r="H43" s="33">
        <v>8.5513498825713157</v>
      </c>
    </row>
    <row r="44" spans="1:8">
      <c r="A44" s="34"/>
      <c r="B44" s="25" t="s">
        <v>207</v>
      </c>
      <c r="C44" s="82">
        <v>22.079167000610301</v>
      </c>
      <c r="D44" s="82">
        <v>23.436035401806901</v>
      </c>
      <c r="E44" s="82">
        <v>24.1153689801545</v>
      </c>
      <c r="F44" s="27"/>
      <c r="G44" s="28">
        <v>9.2222771786993434</v>
      </c>
      <c r="H44" s="29">
        <v>2.8986710708553716</v>
      </c>
    </row>
    <row r="45" spans="1:8">
      <c r="A45" s="30" t="s">
        <v>22</v>
      </c>
      <c r="B45" s="31" t="s">
        <v>3</v>
      </c>
      <c r="C45" s="80">
        <v>32.521198622920302</v>
      </c>
      <c r="D45" s="80">
        <v>28.487465665934899</v>
      </c>
      <c r="E45" s="83">
        <v>31.031637343273211</v>
      </c>
      <c r="F45" s="22" t="s">
        <v>206</v>
      </c>
      <c r="G45" s="37">
        <v>-4.5802779193915626</v>
      </c>
      <c r="H45" s="33">
        <v>8.9308459628285419</v>
      </c>
    </row>
    <row r="46" spans="1:8">
      <c r="A46" s="34"/>
      <c r="B46" s="25" t="s">
        <v>207</v>
      </c>
      <c r="C46" s="82">
        <v>23.3337520557189</v>
      </c>
      <c r="D46" s="82">
        <v>23.1684285594683</v>
      </c>
      <c r="E46" s="82">
        <v>24.162276569818602</v>
      </c>
      <c r="F46" s="27"/>
      <c r="G46" s="28">
        <v>3.5507556269615606</v>
      </c>
      <c r="H46" s="29">
        <v>4.2896651699933415</v>
      </c>
    </row>
    <row r="47" spans="1:8">
      <c r="A47" s="30" t="s">
        <v>194</v>
      </c>
      <c r="B47" s="31" t="s">
        <v>3</v>
      </c>
      <c r="C47" s="80">
        <v>576.07121590457803</v>
      </c>
      <c r="D47" s="80">
        <v>516.58043609507899</v>
      </c>
      <c r="E47" s="83">
        <v>532.93099636952638</v>
      </c>
      <c r="F47" s="22" t="s">
        <v>206</v>
      </c>
      <c r="G47" s="23">
        <v>-7.4886955543006195</v>
      </c>
      <c r="H47" s="24">
        <v>3.1651528265460627</v>
      </c>
    </row>
    <row r="48" spans="1:8">
      <c r="A48" s="30"/>
      <c r="B48" s="25" t="s">
        <v>207</v>
      </c>
      <c r="C48" s="82">
        <v>438.31526964944999</v>
      </c>
      <c r="D48" s="82">
        <v>396.67929122421702</v>
      </c>
      <c r="E48" s="82">
        <v>407.97926557525898</v>
      </c>
      <c r="F48" s="27"/>
      <c r="G48" s="38">
        <v>-6.9210466015598229</v>
      </c>
      <c r="H48" s="24">
        <v>2.8486423670286456</v>
      </c>
    </row>
    <row r="49" spans="1:8">
      <c r="A49" s="39" t="s">
        <v>12</v>
      </c>
      <c r="B49" s="31" t="s">
        <v>3</v>
      </c>
      <c r="C49" s="80">
        <v>29.8037035182947</v>
      </c>
      <c r="D49" s="80">
        <v>22.053326655314699</v>
      </c>
      <c r="E49" s="83">
        <v>19.505831763919048</v>
      </c>
      <c r="F49" s="22" t="s">
        <v>206</v>
      </c>
      <c r="G49" s="37">
        <v>-34.552322492586896</v>
      </c>
      <c r="H49" s="33">
        <v>-11.551522050219674</v>
      </c>
    </row>
    <row r="50" spans="1:8">
      <c r="A50" s="34"/>
      <c r="B50" s="25" t="s">
        <v>207</v>
      </c>
      <c r="C50" s="82">
        <v>23.814573095698499</v>
      </c>
      <c r="D50" s="82">
        <v>17.427849124034701</v>
      </c>
      <c r="E50" s="82">
        <v>15.4713860350289</v>
      </c>
      <c r="F50" s="27"/>
      <c r="G50" s="28">
        <v>-35.033956003085294</v>
      </c>
      <c r="H50" s="29">
        <v>-11.226073137778357</v>
      </c>
    </row>
    <row r="51" spans="1:8">
      <c r="A51" s="39" t="s">
        <v>23</v>
      </c>
      <c r="B51" s="31" t="s">
        <v>3</v>
      </c>
      <c r="C51" s="80">
        <v>271.560164552407</v>
      </c>
      <c r="D51" s="80">
        <v>273.14489621899202</v>
      </c>
      <c r="E51" s="83">
        <v>234.19966386472427</v>
      </c>
      <c r="F51" s="22" t="s">
        <v>206</v>
      </c>
      <c r="G51" s="23">
        <v>-13.757725014367011</v>
      </c>
      <c r="H51" s="24">
        <v>-14.258085321515097</v>
      </c>
    </row>
    <row r="52" spans="1:8">
      <c r="A52" s="34"/>
      <c r="B52" s="25" t="s">
        <v>207</v>
      </c>
      <c r="C52" s="82">
        <v>291.07685715022501</v>
      </c>
      <c r="D52" s="82">
        <v>194.92381548026199</v>
      </c>
      <c r="E52" s="82">
        <v>188.08543533641</v>
      </c>
      <c r="F52" s="27"/>
      <c r="G52" s="28">
        <v>-35.38289605781371</v>
      </c>
      <c r="H52" s="29">
        <v>-3.5082322429423414</v>
      </c>
    </row>
    <row r="53" spans="1:8">
      <c r="A53" s="30" t="s">
        <v>24</v>
      </c>
      <c r="B53" s="31" t="s">
        <v>3</v>
      </c>
      <c r="C53" s="80">
        <v>369.22337751444201</v>
      </c>
      <c r="D53" s="80">
        <v>345.83315680283101</v>
      </c>
      <c r="E53" s="83">
        <v>348.74236176387654</v>
      </c>
      <c r="F53" s="22" t="s">
        <v>206</v>
      </c>
      <c r="G53" s="23">
        <v>-5.5470528135137727</v>
      </c>
      <c r="H53" s="24">
        <v>0.84121632174910133</v>
      </c>
    </row>
    <row r="54" spans="1:8" ht="13.5" thickBot="1">
      <c r="A54" s="41"/>
      <c r="B54" s="42" t="s">
        <v>207</v>
      </c>
      <c r="C54" s="86">
        <v>290.05913208417599</v>
      </c>
      <c r="D54" s="86">
        <v>257.12864720999602</v>
      </c>
      <c r="E54" s="86">
        <v>264.00631446114602</v>
      </c>
      <c r="F54" s="44"/>
      <c r="G54" s="45">
        <v>-8.9818987720991146</v>
      </c>
      <c r="H54" s="46">
        <v>2.6747961869581331</v>
      </c>
    </row>
    <row r="59" spans="1:8">
      <c r="A59" s="47"/>
      <c r="B59" s="48"/>
      <c r="C59" s="49"/>
      <c r="D59" s="49"/>
      <c r="E59" s="49"/>
      <c r="F59" s="49"/>
      <c r="G59" s="50"/>
      <c r="H59" s="51"/>
    </row>
    <row r="60" spans="1:8">
      <c r="A60" s="52"/>
      <c r="B60" s="52"/>
      <c r="C60" s="52"/>
      <c r="D60" s="52"/>
      <c r="E60" s="52"/>
      <c r="F60" s="52"/>
      <c r="G60" s="52"/>
      <c r="H60" s="52"/>
    </row>
    <row r="61" spans="1:8" ht="12.75" customHeight="1">
      <c r="A61" s="54" t="s">
        <v>208</v>
      </c>
      <c r="G61" s="53"/>
      <c r="H61" s="152">
        <v>13</v>
      </c>
    </row>
    <row r="62" spans="1:8" ht="12.75" customHeight="1">
      <c r="A62" s="54" t="s">
        <v>209</v>
      </c>
      <c r="G62" s="53"/>
      <c r="H62" s="143"/>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aar</vt:lpstr>
      <vt:lpstr>aar_1</vt:lpstr>
      <vt:lpstr>aar_2</vt:lpstr>
      <vt:lpstr>aaret_i_alt</vt:lpstr>
      <vt:lpstr>hittil_i_aar</vt:lpstr>
      <vt:lpstr>Innhold!Print_Area</vt:lpstr>
      <vt:lpstr>'Tab1'!Print_Area</vt:lpstr>
      <vt:lpstr>'Tab10'!Print_Area</vt:lpstr>
      <vt:lpstr>'Tab11'!Print_Area</vt:lpstr>
      <vt:lpstr>'Tab12'!Print_Area</vt:lpstr>
      <vt:lpstr>'Tab13'!Print_Area</vt:lpstr>
      <vt:lpstr>'Tab14'!Print_Area</vt:lpstr>
      <vt:lpstr>'Tab15'!Print_Area</vt:lpstr>
      <vt:lpstr>'Tab16'!Print_Area</vt:lpstr>
      <vt:lpstr>'Tab17'!Print_Area</vt:lpstr>
      <vt:lpstr>'Tab18'!Print_Area</vt:lpstr>
      <vt:lpstr>'Tab2'!Print_Area</vt:lpstr>
      <vt:lpstr>'Tab3'!Print_Area</vt:lpstr>
      <vt:lpstr>'Tab4'!Print_Area</vt:lpstr>
      <vt:lpstr>'Tab5'!Print_Area</vt:lpstr>
      <vt:lpstr>'Tab6'!Print_Area</vt:lpstr>
      <vt:lpstr>'Tab7'!Print_Area</vt:lpstr>
      <vt:lpstr>'Tab8'!Print_Area</vt:lpstr>
      <vt:lpstr>'Tab9'!Print_Area</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2013-11-11T14:16:58Z</cp:lastPrinted>
  <dcterms:created xsi:type="dcterms:W3CDTF">2002-02-09T09:48:14Z</dcterms:created>
  <dcterms:modified xsi:type="dcterms:W3CDTF">2013-11-12T09:50:52Z</dcterms:modified>
</cp:coreProperties>
</file>