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forsikringsdrift.sharepoint.com/sites/FNF/Delte dokumenter/Statistikk og analyse/Kvartalstatistikkene/Skadestatistikk/Rapport/"/>
    </mc:Choice>
  </mc:AlternateContent>
  <xr:revisionPtr revIDLastSave="147" documentId="13_ncr:1_{FE2B8D8F-7032-46BE-AC1B-DA9C89CACA40}" xr6:coauthVersionLast="47" xr6:coauthVersionMax="47" xr10:uidLastSave="{6E29537A-A08D-49B8-B343-C52B8BC2DA04}"/>
  <bookViews>
    <workbookView xWindow="-108" yWindow="-108" windowWidth="30936" windowHeight="16776"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4" i="19" l="1"/>
  <c r="L242" i="19" s="1"/>
  <c r="L243" i="19"/>
  <c r="N240" i="19"/>
  <c r="T240" i="19"/>
  <c r="Q240" i="19"/>
  <c r="D240" i="19"/>
  <c r="C240" i="19"/>
  <c r="C239" i="19"/>
  <c r="T239" i="19"/>
  <c r="Q239" i="19"/>
  <c r="N239" i="19"/>
  <c r="D239" i="19"/>
  <c r="T238" i="19"/>
  <c r="Q238" i="19"/>
  <c r="N238" i="19"/>
  <c r="D238" i="19"/>
  <c r="C238" i="19"/>
  <c r="T237" i="19"/>
  <c r="Q237" i="19"/>
  <c r="N237" i="19"/>
  <c r="D237" i="19"/>
  <c r="C237" i="19"/>
  <c r="T236" i="19"/>
  <c r="Q236" i="19"/>
  <c r="N236" i="19"/>
  <c r="D236" i="19"/>
  <c r="C236" i="19"/>
  <c r="T235" i="19"/>
  <c r="Q235" i="19"/>
  <c r="N235" i="19"/>
  <c r="D235" i="19"/>
  <c r="C235" i="19"/>
  <c r="T234" i="19"/>
  <c r="Q234" i="19"/>
  <c r="N234" i="19"/>
  <c r="D234" i="19"/>
  <c r="C234" i="19"/>
  <c r="T233" i="19"/>
  <c r="Q233" i="19"/>
  <c r="N233" i="19"/>
  <c r="D233" i="19"/>
  <c r="C233" i="19"/>
  <c r="T232" i="19"/>
  <c r="Q232" i="19"/>
  <c r="N232" i="19"/>
  <c r="D232" i="19"/>
  <c r="C232" i="19"/>
  <c r="T231" i="19"/>
  <c r="Q231" i="19"/>
  <c r="N231" i="19"/>
  <c r="D231" i="19"/>
  <c r="C231" i="19"/>
  <c r="T230" i="19"/>
  <c r="Q230" i="19"/>
  <c r="N230" i="19"/>
  <c r="D230" i="19"/>
  <c r="C230" i="19"/>
  <c r="T229" i="19"/>
  <c r="Q229" i="19"/>
  <c r="N229" i="19"/>
  <c r="D229" i="19"/>
  <c r="C229" i="19"/>
  <c r="T228" i="19"/>
  <c r="Q228" i="19"/>
  <c r="N228" i="19"/>
  <c r="D228" i="19"/>
  <c r="C228" i="19"/>
  <c r="T227" i="19"/>
  <c r="Q227" i="19"/>
  <c r="N227" i="19"/>
  <c r="D227" i="19"/>
  <c r="C227" i="19"/>
  <c r="T226" i="19"/>
  <c r="Q226" i="19"/>
  <c r="N226" i="19"/>
  <c r="D226" i="19"/>
  <c r="C226" i="19"/>
  <c r="T225" i="19"/>
  <c r="Q225" i="19"/>
  <c r="N225" i="19"/>
  <c r="D225" i="19"/>
  <c r="C225" i="19"/>
  <c r="T224" i="19"/>
  <c r="Q224" i="19"/>
  <c r="N224" i="19"/>
  <c r="D224" i="19"/>
  <c r="C224" i="19"/>
  <c r="T223" i="19"/>
  <c r="Q223" i="19"/>
  <c r="N223" i="19"/>
  <c r="D223" i="19"/>
  <c r="C223" i="19"/>
  <c r="T222" i="19"/>
  <c r="Q222" i="19"/>
  <c r="N222" i="19"/>
  <c r="D222" i="19"/>
  <c r="C222" i="19"/>
  <c r="T221" i="19"/>
  <c r="Q221" i="19"/>
  <c r="N221" i="19"/>
  <c r="D221" i="19"/>
  <c r="C221" i="19"/>
  <c r="B124" i="21" l="1"/>
  <c r="M244" i="19" l="1"/>
  <c r="M242" i="19" s="1"/>
  <c r="Z74" i="19"/>
  <c r="Y92" i="19"/>
  <c r="Y83" i="19"/>
  <c r="Y133" i="19"/>
  <c r="Y82" i="19"/>
  <c r="Y100" i="19" s="1"/>
  <c r="Y111" i="19" s="1"/>
  <c r="S244" i="19"/>
  <c r="S242" i="19" s="1"/>
  <c r="R244" i="19"/>
  <c r="R242" i="19" s="1"/>
  <c r="P244" i="19"/>
  <c r="P242" i="19" s="1"/>
  <c r="G243" i="19"/>
  <c r="E243"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X133" i="19"/>
  <c r="W133" i="19"/>
  <c r="T133" i="19"/>
  <c r="Q133" i="19"/>
  <c r="N133" i="19"/>
  <c r="Y132" i="19"/>
  <c r="X132" i="19"/>
  <c r="W132" i="19"/>
  <c r="T132" i="19"/>
  <c r="Q132" i="19"/>
  <c r="N132" i="19"/>
  <c r="D132" i="19"/>
  <c r="D133" i="19" s="1"/>
  <c r="C132" i="19"/>
  <c r="C133" i="19" s="1"/>
  <c r="Y131" i="19"/>
  <c r="X131" i="19"/>
  <c r="W131" i="19"/>
  <c r="T131" i="19"/>
  <c r="Q131" i="19"/>
  <c r="N131" i="19"/>
  <c r="T130" i="19"/>
  <c r="Q130" i="19"/>
  <c r="N130" i="19"/>
  <c r="Y129" i="19"/>
  <c r="T129" i="19"/>
  <c r="Q129" i="19"/>
  <c r="N129" i="19"/>
  <c r="T128" i="19"/>
  <c r="Q128" i="19"/>
  <c r="N128" i="19"/>
  <c r="D128" i="19"/>
  <c r="C128" i="19"/>
  <c r="C129" i="19" s="1"/>
  <c r="T127" i="19"/>
  <c r="Q127" i="19"/>
  <c r="N127" i="19"/>
  <c r="T126" i="19"/>
  <c r="Q126" i="19"/>
  <c r="N126" i="19"/>
  <c r="Y125" i="19"/>
  <c r="X125" i="19"/>
  <c r="W125" i="19"/>
  <c r="T125" i="19"/>
  <c r="Q125" i="19"/>
  <c r="N125" i="19"/>
  <c r="Y124" i="19"/>
  <c r="W124" i="19"/>
  <c r="T124" i="19"/>
  <c r="Q124" i="19"/>
  <c r="N124" i="19"/>
  <c r="D124" i="19"/>
  <c r="D125" i="19" s="1"/>
  <c r="C124" i="19"/>
  <c r="C125" i="19" s="1"/>
  <c r="C126" i="19" s="1"/>
  <c r="Y123" i="19"/>
  <c r="X123" i="19"/>
  <c r="W123" i="19"/>
  <c r="T123" i="19"/>
  <c r="Q123" i="19"/>
  <c r="N123" i="19"/>
  <c r="Y122" i="19"/>
  <c r="T122" i="19"/>
  <c r="Q122" i="19"/>
  <c r="N122" i="19"/>
  <c r="T121" i="19"/>
  <c r="Q121" i="19"/>
  <c r="N121" i="19"/>
  <c r="T120" i="19"/>
  <c r="Q120" i="19"/>
  <c r="N120" i="19"/>
  <c r="D120" i="19"/>
  <c r="C120" i="19"/>
  <c r="T119" i="19"/>
  <c r="Q119" i="19"/>
  <c r="N119" i="19"/>
  <c r="T118" i="19"/>
  <c r="Q118" i="19"/>
  <c r="N118" i="19"/>
  <c r="Y117" i="19"/>
  <c r="T117" i="19"/>
  <c r="Q117" i="19"/>
  <c r="N117" i="19"/>
  <c r="T116" i="19"/>
  <c r="Q116" i="19"/>
  <c r="N116" i="19"/>
  <c r="D116" i="19"/>
  <c r="D117" i="19" s="1"/>
  <c r="C116" i="19"/>
  <c r="C117" i="19" s="1"/>
  <c r="T115" i="19"/>
  <c r="Q115" i="19"/>
  <c r="N115" i="19"/>
  <c r="Y114" i="19"/>
  <c r="X114" i="19"/>
  <c r="W114" i="19"/>
  <c r="T114" i="19"/>
  <c r="Q114" i="19"/>
  <c r="N114" i="19"/>
  <c r="Y113" i="19"/>
  <c r="X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W106" i="19"/>
  <c r="T106" i="19"/>
  <c r="Q106" i="19"/>
  <c r="N106" i="19"/>
  <c r="T105" i="19"/>
  <c r="Q105" i="19"/>
  <c r="N105" i="19"/>
  <c r="T104" i="19"/>
  <c r="Q104" i="19"/>
  <c r="N104" i="19"/>
  <c r="X103" i="19"/>
  <c r="W103" i="19"/>
  <c r="T103" i="19"/>
  <c r="Q103" i="19"/>
  <c r="N103" i="19"/>
  <c r="Y102" i="19"/>
  <c r="W102" i="19"/>
  <c r="N102" i="19"/>
  <c r="W101" i="19"/>
  <c r="N101" i="19"/>
  <c r="N100" i="19"/>
  <c r="N99" i="19"/>
  <c r="N98" i="19"/>
  <c r="N97" i="19"/>
  <c r="N96" i="19"/>
  <c r="N95" i="19"/>
  <c r="N94" i="19"/>
  <c r="N93" i="19"/>
  <c r="X92" i="19"/>
  <c r="N92" i="19"/>
  <c r="Y91" i="19"/>
  <c r="N91" i="19"/>
  <c r="X90" i="19"/>
  <c r="W90" i="19"/>
  <c r="N90" i="19"/>
  <c r="Y89" i="19"/>
  <c r="X89" i="19"/>
  <c r="W89" i="19"/>
  <c r="N89" i="19"/>
  <c r="W88" i="19"/>
  <c r="N88" i="19"/>
  <c r="X87" i="19"/>
  <c r="W87" i="19"/>
  <c r="N87" i="19"/>
  <c r="Y86" i="19"/>
  <c r="X86" i="19"/>
  <c r="W86" i="19"/>
  <c r="N86" i="19"/>
  <c r="Y85" i="19"/>
  <c r="X85" i="19"/>
  <c r="W85" i="19"/>
  <c r="N85" i="19"/>
  <c r="Y84" i="19"/>
  <c r="X84" i="19"/>
  <c r="W84" i="19"/>
  <c r="N84" i="19"/>
  <c r="X83" i="19"/>
  <c r="W83" i="19"/>
  <c r="N83" i="19"/>
  <c r="N82" i="19"/>
  <c r="N81" i="19"/>
  <c r="N80" i="19"/>
  <c r="N79" i="19"/>
  <c r="N78" i="19"/>
  <c r="Z77" i="19"/>
  <c r="Y77" i="19"/>
  <c r="X77" i="19"/>
  <c r="N77" i="19"/>
  <c r="Z76" i="19"/>
  <c r="Y76" i="19"/>
  <c r="X76" i="19"/>
  <c r="N76" i="19"/>
  <c r="Z75" i="19"/>
  <c r="Y75" i="19"/>
  <c r="N75" i="19"/>
  <c r="Y74" i="19"/>
  <c r="X74" i="19"/>
  <c r="N74" i="19"/>
  <c r="N73" i="19"/>
  <c r="Z72" i="19"/>
  <c r="Y72" i="19"/>
  <c r="X72" i="19"/>
  <c r="N72" i="19"/>
  <c r="N71" i="19"/>
  <c r="I62" i="19"/>
  <c r="A62" i="19"/>
  <c r="A61" i="19"/>
  <c r="AD32" i="19"/>
  <c r="B20" i="21" s="1"/>
  <c r="W32" i="19"/>
  <c r="B18" i="21" s="1"/>
  <c r="I32" i="19"/>
  <c r="B14" i="21" s="1"/>
  <c r="A32" i="19"/>
  <c r="AD6" i="19"/>
  <c r="W6" i="19"/>
  <c r="B17" i="21" s="1"/>
  <c r="I6" i="19"/>
  <c r="B13" i="21" s="1"/>
  <c r="A6" i="19"/>
  <c r="B11" i="21" s="1"/>
  <c r="B123" i="21"/>
  <c r="H24" i="21"/>
  <c r="H26" i="21" s="1"/>
  <c r="B19" i="21"/>
  <c r="B15" i="21"/>
  <c r="B12" i="21"/>
  <c r="Y115" i="19" l="1"/>
  <c r="C130" i="19"/>
  <c r="C118" i="19"/>
  <c r="P32" i="19"/>
  <c r="B16" i="21" s="1"/>
  <c r="D129" i="19"/>
  <c r="D130" i="19" s="1"/>
  <c r="S243" i="19"/>
  <c r="X101" i="19"/>
  <c r="C121" i="19"/>
  <c r="C122" i="19" s="1"/>
  <c r="H52" i="24"/>
  <c r="A52" i="24"/>
  <c r="A61" i="17"/>
  <c r="A61" i="16"/>
  <c r="A61" i="15"/>
  <c r="A61" i="45"/>
  <c r="A61" i="44"/>
  <c r="A61" i="13"/>
  <c r="A61" i="9"/>
  <c r="A61" i="10"/>
  <c r="A61" i="43"/>
  <c r="A61" i="14"/>
  <c r="A61" i="2"/>
  <c r="H53" i="24"/>
  <c r="A53" i="24"/>
  <c r="A62" i="17"/>
  <c r="A62" i="8"/>
  <c r="A62" i="5"/>
  <c r="A62" i="15"/>
  <c r="A62" i="12"/>
  <c r="A62" i="9"/>
  <c r="A62" i="6"/>
  <c r="A62" i="13"/>
  <c r="A62" i="45"/>
  <c r="A62" i="16"/>
  <c r="A62" i="10"/>
  <c r="A62" i="43"/>
  <c r="A62" i="2"/>
  <c r="A62" i="44"/>
  <c r="AD62" i="19"/>
  <c r="W62" i="19"/>
  <c r="A62" i="1"/>
  <c r="W117" i="19"/>
  <c r="A61" i="6"/>
  <c r="H28" i="21"/>
  <c r="H29" i="21" s="1"/>
  <c r="H31" i="21" s="1"/>
  <c r="H27" i="21"/>
  <c r="P61" i="19"/>
  <c r="X88" i="19"/>
  <c r="B61" i="21"/>
  <c r="A51" i="23"/>
  <c r="W61" i="19"/>
  <c r="Y88" i="19"/>
  <c r="X102" i="19"/>
  <c r="D118" i="19"/>
  <c r="W128" i="19"/>
  <c r="Y90" i="19"/>
  <c r="A61" i="5"/>
  <c r="X117" i="19"/>
  <c r="X115" i="19" s="1"/>
  <c r="B62" i="21"/>
  <c r="A52" i="23"/>
  <c r="AD61" i="19"/>
  <c r="X128" i="19"/>
  <c r="D121" i="19"/>
  <c r="D122" i="19" s="1"/>
  <c r="W121" i="19"/>
  <c r="Y78" i="19"/>
  <c r="Z78" i="19"/>
  <c r="O244" i="19"/>
  <c r="O242" i="19" s="1"/>
  <c r="Y101" i="19"/>
  <c r="I61" i="19"/>
  <c r="W104" i="19"/>
  <c r="D126" i="19"/>
  <c r="W130" i="19"/>
  <c r="W122" i="19"/>
  <c r="A61" i="8"/>
  <c r="X130" i="19"/>
  <c r="P62" i="19"/>
  <c r="Y130" i="19"/>
  <c r="Y70" i="19"/>
  <c r="A62" i="14"/>
  <c r="X121" i="19"/>
  <c r="X122" i="19"/>
  <c r="W113" i="19"/>
  <c r="W129" i="19"/>
  <c r="A61" i="7"/>
  <c r="Z70" i="19"/>
  <c r="X129" i="19"/>
  <c r="A61" i="1"/>
  <c r="W91" i="19"/>
  <c r="A61" i="4"/>
  <c r="A62" i="7"/>
  <c r="X70" i="19"/>
  <c r="W82" i="19"/>
  <c r="W100" i="19" s="1"/>
  <c r="W111" i="19" s="1"/>
  <c r="X82" i="19"/>
  <c r="X100" i="19" s="1"/>
  <c r="X111" i="19" s="1"/>
  <c r="A62" i="4"/>
  <c r="X106" i="19"/>
  <c r="X124" i="19"/>
  <c r="Y103" i="19"/>
  <c r="Y128" i="19"/>
  <c r="Y121" i="19"/>
  <c r="A61" i="12"/>
  <c r="Y87" i="19"/>
  <c r="X75" i="19"/>
  <c r="X78" i="19" s="1"/>
  <c r="X91" i="19"/>
  <c r="X93" i="19" l="1"/>
  <c r="X95" i="19" s="1"/>
  <c r="Y104" i="19"/>
  <c r="X104" i="19"/>
  <c r="Y93" i="19"/>
  <c r="Y95" i="19" s="1"/>
  <c r="H33" i="21"/>
  <c r="H34" i="21" s="1"/>
  <c r="H35" i="21" s="1"/>
  <c r="H36" i="21" s="1"/>
  <c r="H37" i="21" s="1"/>
  <c r="H38" i="21" s="1"/>
  <c r="H40" i="21" s="1"/>
  <c r="H32" i="21"/>
  <c r="M243" i="19"/>
  <c r="P243" i="19"/>
  <c r="O243" i="19"/>
  <c r="R243" i="19"/>
  <c r="W115" i="19"/>
  <c r="W92" i="19"/>
  <c r="W93" i="19" s="1"/>
  <c r="W95" i="19" s="1"/>
  <c r="H43" i="21" l="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<sst xmlns="http://schemas.openxmlformats.org/spreadsheetml/2006/main" count="1500" uniqueCount="242">
  <si>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</si>
  <si>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</si>
  <si>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</si>
  <si>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</si>
  <si>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</si>
  <si>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</si>
  <si>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</si>
  <si>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</si>
  <si>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</si>
  <si>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</si>
  <si>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</si>
  <si>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</si>
  <si>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</si>
  <si>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</si>
  <si>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</si>
  <si>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</si>
  <si>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</si>
  <si>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</si>
  <si>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</si>
  <si>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</si>
  <si>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</si>
  <si>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</si>
  <si>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</si>
  <si>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</si>
  <si>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</si>
  <si>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</si>
  <si>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</si>
  <si>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</si>
  <si>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</si>
  <si>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</si>
  <si>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</si>
  <si>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</si>
  <si>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</si>
  <si>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</si>
  <si>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</si>
  <si>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</si>
  <si>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</si>
  <si>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</si>
  <si>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</si>
  <si>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</si>
  <si>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</si>
  <si>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</si>
  <si>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</si>
  <si>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</si>
  <si>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</si>
  <si>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</si>
  <si>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</si>
  <si>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</si>
  <si>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</si>
  <si>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</si>
  <si>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</si>
  <si>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</si>
  <si>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</si>
  <si>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</si>
  <si>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</si>
  <si>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</si>
  <si>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</si>
  <si>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</si>
  <si>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</si>
  <si>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</si>
  <si>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</si>
  <si>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</si>
  <si>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</si>
  <si>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</si>
  <si>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</si>
  <si>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</si>
  <si>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</si>
  <si>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</si>
  <si>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</si>
  <si>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</si>
  <si>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</si>
  <si>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</si>
  <si>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</si>
  <si>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</si>
  <si>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</si>
  <si>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</si>
  <si>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</si>
  <si>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</si>
  <si>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</si>
  <si>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</si>
  <si>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</si>
  <si>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</si>
  <si>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</si>
  <si>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</si>
  <si>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</si>
  <si>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</si>
  <si>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</si>
  <si>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</si>
  <si>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</si>
  <si>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</si>
  <si>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</si>
  <si>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</si>
  <si>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</si>
  <si>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</si>
  <si>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</si>
  <si>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</si>
  <si>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</si>
  <si>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</si>
  <si>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</si>
  <si>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</si>
  <si>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</si>
  <si>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</si>
  <si>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</si>
  <si>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</si>
  <si>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</si>
  <si>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</si>
  <si>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</si>
  <si>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</si>
  <si>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</si>
  <si>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</si>
  <si>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</si>
  <si>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</si>
  <si>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</si>
  <si>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</si>
  <si>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</si>
  <si>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</si>
  <si>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</si>
  <si>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</si>
  <si>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</si>
  <si>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</si>
  <si>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</si>
  <si>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</si>
  <si>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</si>
  <si>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</si>
  <si>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</si>
  <si>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</si>
  <si>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</si>
  <si>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</si>
  <si>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</si>
  <si>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</si>
  <si>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</si>
  <si>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</si>
  <si>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</si>
  <si>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</si>
  <si>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</si>
  <si>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</si>
  <si>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</si>
  <si>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</si>
  <si>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</si>
  <si>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</si>
  <si>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</si>
  <si>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</si>
  <si>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</si>
  <si>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</si>
  <si>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</si>
  <si>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</si>
  <si>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</si>
  <si>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</si>
  <si>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</si>
  <si>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</si>
  <si>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</si>
  <si>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</si>
  <si>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</si>
  <si>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</si>
  <si>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</si>
  <si>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</si>
  <si>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</si>
  <si>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</si>
  <si>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</si>
  <si>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</si>
  <si>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</si>
  <si>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</si>
  <si>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</si>
  <si>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</si>
  <si>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</si>
  <si>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</si>
  <si>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</si>
  <si>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</si>
  <si>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</si>
  <si>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</si>
  <si>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</si>
  <si>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</si>
  <si>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</si>
  <si>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</si>
  <si>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</si>
  <si>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</si>
  <si>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</si>
  <si>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</si>
  <si>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</si>
  <si>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</si>
  <si>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</si>
  <si>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</si>
  <si>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</si>
  <si>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</si>
  <si>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</si>
  <si>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</si>
  <si>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</si>
  <si>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</si>
  <si>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</si>
  <si>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</si>
  <si>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</si>
  <si>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</si>
  <si>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</si>
  <si>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</si>
  <si>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</si>
  <si>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</si>
  <si>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</si>
  <si>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</si>
  <si>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</si>
  <si>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</si>
  <si>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</si>
  <si>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</si>
  <si>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</si>
  <si>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</si>
  <si>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</si>
  <si>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</si>
  <si>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</si>
  <si>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</si>
  <si>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</si>
  <si>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</si>
  <si>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</si>
  <si>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</si>
  <si>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</si>
  <si>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</si>
  <si>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</si>
  <si>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</si>
  <si>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</si>
  <si>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</si>
  <si>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</si>
  <si>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</si>
  <si>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</si>
  <si>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</si>
  <si>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</si>
  <si>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</si>
  <si>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</si>
  <si>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</si>
  <si>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</si>
  <si>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</si>
  <si>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</si>
  <si>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</si>
  <si>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</si>
  <si>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</si>
  <si>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</si>
  <si>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side 27 og 28.</t>
  </si>
  <si>
    <t>(2024)</t>
  </si>
  <si>
    <t>2023</t>
  </si>
  <si>
    <t>2024</t>
  </si>
  <si>
    <t>2025</t>
  </si>
  <si>
    <t>23-25</t>
  </si>
  <si>
    <t>24-25</t>
  </si>
  <si>
    <t>*</t>
  </si>
  <si>
    <t>Hittil i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</si>
</sst>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 numFmtId="171" formatCode="_(* #,##0_);_(* \(#,##0\);_(* &quot;-&quot;??_);_(@_)"/>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3" fillId="0" borderId="0"/>
    <xf numFmtId="0" fontId="3" fillId="0" borderId="0"/>
  </cellStyleXfs>
  <cellXfs count="205">
    <xf numFmtId="0" fontId="0" fillId="0" borderId="0" xfId="0"/>
    <xf numFmtId="0" fontId="5" fillId="0" borderId="0" xfId="0" applyFont="1"/>
    <xf numFmtId="0" fontId="5" fillId="0" borderId="0" xfId="0" applyFont="1" applyAlignment="1">
      <alignment horizontal="left"/>
    </xf>
    <xf numFmtId="0" fontId="6" fillId="0" borderId="0" xfId="2" applyFont="1" applyAlignment="1" applyProtection="1">
      <alignment horizontal="left"/>
    </xf>
    <xf numFmtId="0" fontId="7" fillId="2" borderId="0" xfId="0" applyFont="1" applyFill="1"/>
    <xf numFmtId="165" fontId="8" fillId="0" borderId="0" xfId="0" applyNumberFormat="1" applyFont="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lignment horizontal="right"/>
    </xf>
    <xf numFmtId="3" fontId="8" fillId="0" borderId="21" xfId="1" applyNumberFormat="1" applyFont="1" applyBorder="1" applyProtection="1"/>
    <xf numFmtId="165" fontId="8" fillId="0" borderId="21" xfId="0" applyNumberFormat="1" applyFont="1" applyBorder="1" applyAlignment="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lignment horizontal="right"/>
    </xf>
    <xf numFmtId="165" fontId="8" fillId="0" borderId="27" xfId="0" applyNumberFormat="1" applyFont="1" applyBorder="1" applyAlignment="1">
      <alignment horizontal="right"/>
    </xf>
    <xf numFmtId="0" fontId="12" fillId="0" borderId="0" xfId="0" applyFont="1"/>
    <xf numFmtId="0" fontId="13" fillId="0" borderId="0" xfId="0" applyFont="1"/>
    <xf numFmtId="167" fontId="5" fillId="0" borderId="0" xfId="1" applyNumberFormat="1" applyFont="1" applyBorder="1" applyProtection="1"/>
    <xf numFmtId="165" fontId="5" fillId="0" borderId="0" xfId="0" applyNumberFormat="1" applyFont="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lignment horizontal="right"/>
    </xf>
    <xf numFmtId="167" fontId="8" fillId="0" borderId="0" xfId="1" applyNumberFormat="1" applyFont="1" applyBorder="1" applyAlignment="1" applyProtection="1">
      <alignment horizontal="right"/>
    </xf>
    <xf numFmtId="0" fontId="11" fillId="0" borderId="0" xfId="0" applyFont="1"/>
    <xf numFmtId="167" fontId="8" fillId="0" borderId="0" xfId="1" applyNumberFormat="1" applyFont="1" applyBorder="1" applyProtection="1"/>
    <xf numFmtId="3" fontId="8" fillId="0" borderId="0" xfId="1" applyNumberFormat="1" applyFont="1" applyBorder="1"/>
    <xf numFmtId="0" fontId="9" fillId="0" borderId="0" xfId="0" applyFo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5" fillId="0" borderId="0" xfId="4" applyFont="1"/>
    <xf numFmtId="0" fontId="5" fillId="0" borderId="0" xfId="4" applyFont="1" applyAlignment="1">
      <alignment horizontal="left"/>
    </xf>
    <xf numFmtId="0" fontId="7" fillId="2" borderId="0" xfId="4" applyFont="1" applyFill="1"/>
    <xf numFmtId="165" fontId="8" fillId="0" borderId="0" xfId="4" applyNumberFormat="1" applyFont="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5" fontId="8" fillId="0" borderId="0" xfId="4" applyNumberFormat="1" applyFont="1" applyAlignment="1">
      <alignment horizontal="right"/>
    </xf>
    <xf numFmtId="165" fontId="8" fillId="0" borderId="12" xfId="4" applyNumberFormat="1" applyFont="1" applyBorder="1" applyAlignment="1">
      <alignment horizontal="right"/>
    </xf>
    <xf numFmtId="0" fontId="11" fillId="0" borderId="13" xfId="4" applyFont="1" applyBorder="1"/>
    <xf numFmtId="165" fontId="8" fillId="0" borderId="14" xfId="4" applyNumberFormat="1" applyFont="1" applyBorder="1" applyAlignment="1">
      <alignment horizontal="right"/>
    </xf>
    <xf numFmtId="165" fontId="8" fillId="0" borderId="15" xfId="4" applyNumberFormat="1" applyFont="1" applyBorder="1" applyAlignment="1">
      <alignment horizontal="right"/>
    </xf>
    <xf numFmtId="0" fontId="8" fillId="0" borderId="16" xfId="4" applyFont="1" applyBorder="1"/>
    <xf numFmtId="0" fontId="8" fillId="0" borderId="11" xfId="4" applyFont="1" applyBorder="1"/>
    <xf numFmtId="165" fontId="8" fillId="0" borderId="17" xfId="4" applyNumberFormat="1" applyFont="1" applyBorder="1" applyAlignment="1">
      <alignment horizontal="right"/>
    </xf>
    <xf numFmtId="165" fontId="8" fillId="0" borderId="18" xfId="4" applyNumberFormat="1" applyFont="1" applyBorder="1" applyAlignment="1">
      <alignment horizontal="right"/>
    </xf>
    <xf numFmtId="0" fontId="8" fillId="0" borderId="19" xfId="4" applyFont="1" applyBorder="1"/>
    <xf numFmtId="165" fontId="8" fillId="0" borderId="20" xfId="4" applyNumberFormat="1" applyFont="1" applyBorder="1" applyAlignment="1">
      <alignment horizontal="right"/>
    </xf>
    <xf numFmtId="165" fontId="8" fillId="0" borderId="21" xfId="4" applyNumberFormat="1" applyFont="1" applyBorder="1" applyAlignment="1">
      <alignment horizontal="right"/>
    </xf>
    <xf numFmtId="0" fontId="8" fillId="0" borderId="22" xfId="4" applyFont="1" applyBorder="1"/>
    <xf numFmtId="0" fontId="8" fillId="0" borderId="23" xfId="4" applyFont="1" applyBorder="1"/>
    <xf numFmtId="0" fontId="11" fillId="0" borderId="24" xfId="4" applyFont="1" applyBorder="1"/>
    <xf numFmtId="165" fontId="8" fillId="0" borderId="25" xfId="4" applyNumberFormat="1" applyFont="1" applyBorder="1" applyAlignment="1">
      <alignment horizontal="right"/>
    </xf>
    <xf numFmtId="165" fontId="8" fillId="0" borderId="27" xfId="4" applyNumberFormat="1" applyFont="1" applyBorder="1" applyAlignment="1">
      <alignment horizontal="right"/>
    </xf>
    <xf numFmtId="0" fontId="9" fillId="0" borderId="0" xfId="4" applyFont="1"/>
    <xf numFmtId="0" fontId="11" fillId="0" borderId="0" xfId="4" applyFont="1"/>
    <xf numFmtId="0" fontId="12" fillId="0" borderId="0" xfId="4" applyFont="1"/>
    <xf numFmtId="0" fontId="13" fillId="0" borderId="0" xfId="4" applyFont="1"/>
    <xf numFmtId="165" fontId="5" fillId="0" borderId="0" xfId="4" applyNumberFormat="1" applyFont="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171" fontId="5" fillId="0" borderId="0" xfId="1" applyNumberFormat="1" applyFont="1"/>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2" fontId="40" fillId="0" borderId="0" xfId="0" applyNumberFormat="1" applyFont="1"/>
    <xf numFmtId="0" fontId="40" fillId="0" borderId="0" xfId="0" quotePrefix="1" applyFont="1"/>
    <xf numFmtId="0" fontId="39" fillId="0" borderId="0" xfId="0" applyFont="1" applyAlignment="1">
      <alignment horizontal="right"/>
    </xf>
    <xf numFmtId="1" fontId="42" fillId="0" borderId="0" xfId="0" applyNumberFormat="1" applyFont="1"/>
    <xf numFmtId="166" fontId="39" fillId="0" borderId="0" xfId="0" applyNumberFormat="1" applyFont="1"/>
    <xf numFmtId="3" fontId="39" fillId="0" borderId="0" xfId="0" applyNumberFormat="1" applyFont="1"/>
    <xf numFmtId="168" fontId="42" fillId="0" borderId="0" xfId="0" applyNumberFormat="1" applyFont="1"/>
    <xf numFmtId="169" fontId="42" fillId="0" borderId="0" xfId="0" applyNumberFormat="1" applyFont="1"/>
    <xf numFmtId="166" fontId="42" fillId="0" borderId="0" xfId="0" applyNumberFormat="1" applyFont="1"/>
    <xf numFmtId="3" fontId="42" fillId="0" borderId="0" xfId="0" applyNumberFormat="1" applyFont="1"/>
    <xf numFmtId="167" fontId="42" fillId="0" borderId="0" xfId="1" applyNumberFormat="1" applyFont="1"/>
    <xf numFmtId="166" fontId="42" fillId="0" borderId="0" xfId="1" applyNumberFormat="1" applyFont="1"/>
    <xf numFmtId="169" fontId="39" fillId="0" borderId="0" xfId="0" applyNumberFormat="1" applyFont="1"/>
    <xf numFmtId="170" fontId="39" fillId="0" borderId="0" xfId="0" applyNumberFormat="1" applyFont="1"/>
    <xf numFmtId="1" fontId="39" fillId="0" borderId="0" xfId="0" applyNumberFormat="1" applyFont="1"/>
    <xf numFmtId="168" fontId="39" fillId="0" borderId="0" xfId="0" applyNumberFormat="1" applyFont="1"/>
    <xf numFmtId="0" fontId="40" fillId="0" borderId="0" xfId="0"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6" fontId="39" fillId="0" borderId="28" xfId="0" applyNumberFormat="1" applyFont="1" applyBorder="1"/>
    <xf numFmtId="3" fontId="39" fillId="3" borderId="0" xfId="0" applyNumberFormat="1" applyFont="1" applyFill="1"/>
    <xf numFmtId="166"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Alignment="1">
      <alignment horizontal="lef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'Tab2'!$B$71:$B$240</c:f>
              <c:numCache>
                <c:formatCode>General</c:formatCode>
                <c:ptCount val="17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pt idx="168">
                  <c:v>2025</c:v>
                </c:pt>
              </c:numCache>
            </c:numRef>
          </c:cat>
          <c:val>
            <c:numRef>
              <c:f>'Tab2'!$C$71:$C$240</c:f>
              <c:numCache>
                <c:formatCode>General</c:formatCode>
                <c:ptCount val="170"/>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pt idx="160" formatCode="0.000">
                  <c:v>302.38750433482812</c:v>
                </c:pt>
                <c:pt idx="161" formatCode="0.000">
                  <c:v>288.71155948488058</c:v>
                </c:pt>
                <c:pt idx="162" formatCode="0.000">
                  <c:v>250.48845860181598</c:v>
                </c:pt>
                <c:pt idx="163" formatCode="0.000">
                  <c:v>247.76441726457392</c:v>
                </c:pt>
                <c:pt idx="164" formatCode="0.000">
                  <c:v>322.60336023916295</c:v>
                </c:pt>
                <c:pt idx="165" formatCode="0.000">
                  <c:v>289.48796913303443</c:v>
                </c:pt>
                <c:pt idx="166" formatCode="0.000">
                  <c:v>303.40149304932731</c:v>
                </c:pt>
                <c:pt idx="167" formatCode="0.000">
                  <c:v>228.11244080717495</c:v>
                </c:pt>
                <c:pt idx="168" formatCode="0.000">
                  <c:v>299.44390000000004</c:v>
                </c:pt>
                <c:pt idx="169" formatCode="0.000">
                  <c:v>278.92194999999998</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'Tab2'!$B$71:$B$240</c:f>
              <c:numCache>
                <c:formatCode>General</c:formatCode>
                <c:ptCount val="17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pt idx="168">
                  <c:v>2025</c:v>
                </c:pt>
              </c:numCache>
            </c:numRef>
          </c:cat>
          <c:val>
            <c:numRef>
              <c:f>'Tab2'!$D$71:$D$240</c:f>
              <c:numCache>
                <c:formatCode>General</c:formatCode>
                <c:ptCount val="170"/>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pt idx="160" formatCode="0.000">
                  <c:v>281.08376346786247</c:v>
                </c:pt>
                <c:pt idx="161" formatCode="0.000">
                  <c:v>265.48782727255423</c:v>
                </c:pt>
                <c:pt idx="162" formatCode="0.000">
                  <c:v>227.83168719680316</c:v>
                </c:pt>
                <c:pt idx="163" formatCode="0.000">
                  <c:v>222.81360381165916</c:v>
                </c:pt>
                <c:pt idx="164" formatCode="0.000">
                  <c:v>297.48140819133039</c:v>
                </c:pt>
                <c:pt idx="165" formatCode="0.000">
                  <c:v>264.11916530642736</c:v>
                </c:pt>
                <c:pt idx="166" formatCode="0.000">
                  <c:v>277.61400443946195</c:v>
                </c:pt>
                <c:pt idx="167" formatCode="0.000">
                  <c:v>207.57469264574001</c:v>
                </c:pt>
                <c:pt idx="168" formatCode="0.000">
                  <c:v>276.7799</c:v>
                </c:pt>
                <c:pt idx="169" formatCode="0.000">
                  <c:v>255.72495000000004</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'Tab2'!$K$103:$K$240</c:f>
              <c:numCache>
                <c:formatCode>General</c:formatCode>
                <c:ptCount val="13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pt idx="136">
                  <c:v>2025</c:v>
                </c:pt>
              </c:numCache>
            </c:numRef>
          </c:cat>
          <c:val>
            <c:numRef>
              <c:f>'Tab2'!$T$103:$T$240</c:f>
              <c:numCache>
                <c:formatCode>#\ ##0.0</c:formatCode>
                <c:ptCount val="138"/>
                <c:pt idx="0">
                  <c:v>305.73982766432749</c:v>
                </c:pt>
                <c:pt idx="1">
                  <c:v>380.39503251847577</c:v>
                </c:pt>
                <c:pt idx="2">
                  <c:v>442.10403949538113</c:v>
                </c:pt>
                <c:pt idx="3">
                  <c:v>395.96600452462775</c:v>
                </c:pt>
                <c:pt idx="4">
                  <c:v>385.45134895428572</c:v>
                </c:pt>
                <c:pt idx="5">
                  <c:v>352.19498362302488</c:v>
                </c:pt>
                <c:pt idx="6">
                  <c:v>461.55044540811724</c:v>
                </c:pt>
                <c:pt idx="7">
                  <c:v>228.91079822844344</c:v>
                </c:pt>
                <c:pt idx="8">
                  <c:v>365.17513695434303</c:v>
                </c:pt>
                <c:pt idx="9">
                  <c:v>393.46169280176218</c:v>
                </c:pt>
                <c:pt idx="10">
                  <c:v>447.33385854635759</c:v>
                </c:pt>
                <c:pt idx="11">
                  <c:v>337.77299650000003</c:v>
                </c:pt>
                <c:pt idx="12">
                  <c:v>332.02366890000002</c:v>
                </c:pt>
                <c:pt idx="13">
                  <c:v>399.78830361395859</c:v>
                </c:pt>
                <c:pt idx="14">
                  <c:v>445.93183181976133</c:v>
                </c:pt>
                <c:pt idx="15">
                  <c:v>432.62758873434126</c:v>
                </c:pt>
                <c:pt idx="16">
                  <c:v>366.30418860492506</c:v>
                </c:pt>
                <c:pt idx="17">
                  <c:v>423.74560648034009</c:v>
                </c:pt>
                <c:pt idx="18">
                  <c:v>444.99245741445259</c:v>
                </c:pt>
                <c:pt idx="19">
                  <c:v>407.48207427167057</c:v>
                </c:pt>
                <c:pt idx="20">
                  <c:v>393.9388003630574</c:v>
                </c:pt>
                <c:pt idx="21">
                  <c:v>432.45402370872762</c:v>
                </c:pt>
                <c:pt idx="22">
                  <c:v>456.27386262198957</c:v>
                </c:pt>
                <c:pt idx="23">
                  <c:v>364.78080618899298</c:v>
                </c:pt>
                <c:pt idx="24">
                  <c:v>360.64769790955808</c:v>
                </c:pt>
                <c:pt idx="25">
                  <c:v>429.55186096417594</c:v>
                </c:pt>
                <c:pt idx="26">
                  <c:v>380.20886001637683</c:v>
                </c:pt>
                <c:pt idx="27">
                  <c:v>351.48899908231687</c:v>
                </c:pt>
                <c:pt idx="28">
                  <c:v>348.86780920241699</c:v>
                </c:pt>
                <c:pt idx="29">
                  <c:v>382.70223287261786</c:v>
                </c:pt>
                <c:pt idx="30">
                  <c:v>392.42905422044095</c:v>
                </c:pt>
                <c:pt idx="31">
                  <c:v>381.87068175372389</c:v>
                </c:pt>
                <c:pt idx="32">
                  <c:v>299.99696579487181</c:v>
                </c:pt>
                <c:pt idx="33">
                  <c:v>364.01625800097844</c:v>
                </c:pt>
                <c:pt idx="34">
                  <c:v>418.35262115929214</c:v>
                </c:pt>
                <c:pt idx="35">
                  <c:v>346.98719665120763</c:v>
                </c:pt>
                <c:pt idx="36">
                  <c:v>353.69907367112813</c:v>
                </c:pt>
                <c:pt idx="37">
                  <c:v>328.01527708372981</c:v>
                </c:pt>
                <c:pt idx="38">
                  <c:v>344.07241408641971</c:v>
                </c:pt>
                <c:pt idx="39">
                  <c:v>376.1556798220974</c:v>
                </c:pt>
                <c:pt idx="40">
                  <c:v>282.86532677767525</c:v>
                </c:pt>
                <c:pt idx="41">
                  <c:v>324.43571053010947</c:v>
                </c:pt>
                <c:pt idx="42">
                  <c:v>273.97061794172066</c:v>
                </c:pt>
                <c:pt idx="43">
                  <c:v>444.35637994020237</c:v>
                </c:pt>
                <c:pt idx="44">
                  <c:v>338.31873551052149</c:v>
                </c:pt>
                <c:pt idx="45">
                  <c:v>396.63827113181816</c:v>
                </c:pt>
                <c:pt idx="46">
                  <c:v>314.5474965465329</c:v>
                </c:pt>
                <c:pt idx="47">
                  <c:v>326.57216682882904</c:v>
                </c:pt>
                <c:pt idx="48">
                  <c:v>298.37806196335083</c:v>
                </c:pt>
                <c:pt idx="49">
                  <c:v>338.09937195369548</c:v>
                </c:pt>
                <c:pt idx="50">
                  <c:v>315.26250360679177</c:v>
                </c:pt>
                <c:pt idx="51">
                  <c:v>366.57069424777995</c:v>
                </c:pt>
                <c:pt idx="52">
                  <c:v>296.87413852841917</c:v>
                </c:pt>
                <c:pt idx="53">
                  <c:v>376.34266997178133</c:v>
                </c:pt>
                <c:pt idx="54">
                  <c:v>265.89368174867241</c:v>
                </c:pt>
                <c:pt idx="55">
                  <c:v>267.00331268684226</c:v>
                </c:pt>
                <c:pt idx="56">
                  <c:v>262.4489672462621</c:v>
                </c:pt>
                <c:pt idx="57">
                  <c:v>247.35334129774316</c:v>
                </c:pt>
                <c:pt idx="58">
                  <c:v>248.37994344917453</c:v>
                </c:pt>
                <c:pt idx="59">
                  <c:v>228.7340247758622</c:v>
                </c:pt>
                <c:pt idx="60">
                  <c:v>241.33862725728989</c:v>
                </c:pt>
                <c:pt idx="61">
                  <c:v>279.09108724936385</c:v>
                </c:pt>
                <c:pt idx="62">
                  <c:v>266.18210454987218</c:v>
                </c:pt>
                <c:pt idx="63">
                  <c:v>226.26502926638651</c:v>
                </c:pt>
                <c:pt idx="64">
                  <c:v>266.20610049191492</c:v>
                </c:pt>
                <c:pt idx="65">
                  <c:v>254.29718230769228</c:v>
                </c:pt>
                <c:pt idx="66">
                  <c:v>242.52840557130727</c:v>
                </c:pt>
                <c:pt idx="67">
                  <c:v>220.88269363907295</c:v>
                </c:pt>
                <c:pt idx="68">
                  <c:v>245.4076196447908</c:v>
                </c:pt>
                <c:pt idx="69">
                  <c:v>288.55026962950825</c:v>
                </c:pt>
                <c:pt idx="70">
                  <c:v>282.78425090251824</c:v>
                </c:pt>
                <c:pt idx="71">
                  <c:v>403.974406024058</c:v>
                </c:pt>
                <c:pt idx="72">
                  <c:v>318.69672752320002</c:v>
                </c:pt>
                <c:pt idx="73">
                  <c:v>349.7736315759746</c:v>
                </c:pt>
                <c:pt idx="74">
                  <c:v>345.39521112121201</c:v>
                </c:pt>
                <c:pt idx="75">
                  <c:v>407.94794495102701</c:v>
                </c:pt>
                <c:pt idx="76">
                  <c:v>352.94483322222231</c:v>
                </c:pt>
                <c:pt idx="77">
                  <c:v>292.23890174709078</c:v>
                </c:pt>
                <c:pt idx="78">
                  <c:v>293.43839282394356</c:v>
                </c:pt>
                <c:pt idx="79">
                  <c:v>296.93717158914728</c:v>
                </c:pt>
                <c:pt idx="80">
                  <c:v>224.59690864439327</c:v>
                </c:pt>
                <c:pt idx="81">
                  <c:v>282.13398837099231</c:v>
                </c:pt>
                <c:pt idx="82">
                  <c:v>241.58061432071088</c:v>
                </c:pt>
                <c:pt idx="83">
                  <c:v>259.30842866186924</c:v>
                </c:pt>
                <c:pt idx="84">
                  <c:v>249.33285714560066</c:v>
                </c:pt>
                <c:pt idx="85">
                  <c:v>261.34958762710943</c:v>
                </c:pt>
                <c:pt idx="86">
                  <c:v>273.13416043426349</c:v>
                </c:pt>
                <c:pt idx="87">
                  <c:v>269.54603317848273</c:v>
                </c:pt>
                <c:pt idx="88">
                  <c:v>235.81119902866487</c:v>
                </c:pt>
                <c:pt idx="89">
                  <c:v>245.10363126746083</c:v>
                </c:pt>
                <c:pt idx="90">
                  <c:v>240.06594969897941</c:v>
                </c:pt>
                <c:pt idx="91">
                  <c:v>248.72373376869962</c:v>
                </c:pt>
                <c:pt idx="92">
                  <c:v>227.25447755911162</c:v>
                </c:pt>
                <c:pt idx="93">
                  <c:v>228.70856419476769</c:v>
                </c:pt>
                <c:pt idx="94">
                  <c:v>241.45224066472136</c:v>
                </c:pt>
                <c:pt idx="95">
                  <c:v>237.69375651226341</c:v>
                </c:pt>
                <c:pt idx="96">
                  <c:v>209.76388089840074</c:v>
                </c:pt>
                <c:pt idx="97">
                  <c:v>226.00767202812762</c:v>
                </c:pt>
                <c:pt idx="98">
                  <c:v>175.43493948078356</c:v>
                </c:pt>
                <c:pt idx="99">
                  <c:v>209.08356025082492</c:v>
                </c:pt>
                <c:pt idx="100">
                  <c:v>168.38121120355055</c:v>
                </c:pt>
                <c:pt idx="101">
                  <c:v>197.61982519826259</c:v>
                </c:pt>
                <c:pt idx="102">
                  <c:v>191.8066055014236</c:v>
                </c:pt>
                <c:pt idx="103">
                  <c:v>188.3366294117408</c:v>
                </c:pt>
                <c:pt idx="104">
                  <c:v>180.15203173528138</c:v>
                </c:pt>
                <c:pt idx="105">
                  <c:v>152.05100966241849</c:v>
                </c:pt>
                <c:pt idx="106">
                  <c:v>162.37069121520705</c:v>
                </c:pt>
                <c:pt idx="107">
                  <c:v>156.13066191374665</c:v>
                </c:pt>
                <c:pt idx="108">
                  <c:v>144.78934570474283</c:v>
                </c:pt>
                <c:pt idx="109">
                  <c:v>168.04115188825901</c:v>
                </c:pt>
                <c:pt idx="110">
                  <c:v>184.36417629131884</c:v>
                </c:pt>
                <c:pt idx="111">
                  <c:v>141.76036078584835</c:v>
                </c:pt>
                <c:pt idx="112">
                  <c:v>148.46296222333817</c:v>
                </c:pt>
                <c:pt idx="113">
                  <c:v>171.0631436173972</c:v>
                </c:pt>
                <c:pt idx="114">
                  <c:v>174.8795215850586</c:v>
                </c:pt>
                <c:pt idx="115">
                  <c:v>159.44186393234574</c:v>
                </c:pt>
                <c:pt idx="116">
                  <c:v>175.22031356529044</c:v>
                </c:pt>
                <c:pt idx="117">
                  <c:v>149.96588034981204</c:v>
                </c:pt>
                <c:pt idx="118">
                  <c:v>188.8515700820426</c:v>
                </c:pt>
                <c:pt idx="119">
                  <c:v>135.05106444548343</c:v>
                </c:pt>
                <c:pt idx="120">
                  <c:v>135.61420021882722</c:v>
                </c:pt>
                <c:pt idx="121">
                  <c:v>134.65307073563852</c:v>
                </c:pt>
                <c:pt idx="122">
                  <c:v>140.62271398343009</c:v>
                </c:pt>
                <c:pt idx="123">
                  <c:v>123.74377904755293</c:v>
                </c:pt>
                <c:pt idx="124">
                  <c:v>138.1316374332242</c:v>
                </c:pt>
                <c:pt idx="125">
                  <c:v>187.81167298674148</c:v>
                </c:pt>
                <c:pt idx="126">
                  <c:v>183.36547608116965</c:v>
                </c:pt>
                <c:pt idx="127">
                  <c:v>177.4386559103863</c:v>
                </c:pt>
                <c:pt idx="128">
                  <c:v>174.48400053575918</c:v>
                </c:pt>
                <c:pt idx="129">
                  <c:v>184.91971535540327</c:v>
                </c:pt>
                <c:pt idx="130">
                  <c:v>243.76039445312415</c:v>
                </c:pt>
                <c:pt idx="131">
                  <c:v>192.41531329967114</c:v>
                </c:pt>
                <c:pt idx="132">
                  <c:v>174.65398837326401</c:v>
                </c:pt>
                <c:pt idx="133">
                  <c:v>215.73255061693357</c:v>
                </c:pt>
                <c:pt idx="134">
                  <c:v>214.69634796875667</c:v>
                </c:pt>
                <c:pt idx="135">
                  <c:v>196.92333816071607</c:v>
                </c:pt>
                <c:pt idx="136">
                  <c:v>182.05973288819433</c:v>
                </c:pt>
                <c:pt idx="137">
                  <c:v>184.98167125083137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'Tab2'!$K$103:$K$240</c:f>
              <c:numCache>
                <c:formatCode>General</c:formatCode>
                <c:ptCount val="13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pt idx="136">
                  <c:v>2025</c:v>
                </c:pt>
              </c:numCache>
            </c:numRef>
          </c:cat>
          <c:val>
            <c:numRef>
              <c:f>'Tab2'!$R$103:$R$240</c:f>
              <c:numCache>
                <c:formatCode>#,##0</c:formatCode>
                <c:ptCount val="138"/>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pt idx="128" formatCode="0">
                  <c:v>7838.5406661490688</c:v>
                </c:pt>
                <c:pt idx="129" formatCode="0">
                  <c:v>11351.137162897225</c:v>
                </c:pt>
                <c:pt idx="130" formatCode="0">
                  <c:v>12525.795886792215</c:v>
                </c:pt>
                <c:pt idx="131" formatCode="0">
                  <c:v>9988.9312779503089</c:v>
                </c:pt>
                <c:pt idx="132" formatCode="0">
                  <c:v>8331.0396847826087</c:v>
                </c:pt>
                <c:pt idx="133" formatCode="0">
                  <c:v>12716.960746992983</c:v>
                </c:pt>
                <c:pt idx="134" formatCode="0">
                  <c:v>12883.282523193357</c:v>
                </c:pt>
                <c:pt idx="135" formatCode="0">
                  <c:v>10798.094318322972</c:v>
                </c:pt>
                <c:pt idx="136" formatCode="0">
                  <c:v>7900</c:v>
                </c:pt>
                <c:pt idx="137" formatCode="0">
                  <c:v>11083</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154.07879667729068</c:v>
                </c:pt>
                <c:pt idx="1">
                  <c:v>1224.3660236050016</c:v>
                </c:pt>
                <c:pt idx="2">
                  <c:v>181.3304047467382</c:v>
                </c:pt>
                <c:pt idx="3">
                  <c:v>1176.5961793311822</c:v>
                </c:pt>
                <c:pt idx="4" formatCode="0.000">
                  <c:v>10106.182994826675</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2023</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5274.6595201486416</c:v>
                </c:pt>
                <c:pt idx="1">
                  <c:v>5208.1941584267161</c:v>
                </c:pt>
                <c:pt idx="2">
                  <c:v>966.99462730300047</c:v>
                </c:pt>
                <c:pt idx="3">
                  <c:v>1329.4597835691709</c:v>
                </c:pt>
                <c:pt idx="4">
                  <c:v>430.09049827717246</c:v>
                </c:pt>
                <c:pt idx="5">
                  <c:v>1237.1224239163612</c:v>
                </c:pt>
                <c:pt idx="6">
                  <c:v>332.57071891291406</c:v>
                </c:pt>
                <c:pt idx="7">
                  <c:v>799.07976156972643</c:v>
                </c:pt>
                <c:pt idx="8">
                  <c:v>101.53884741246026</c:v>
                </c:pt>
                <c:pt idx="9">
                  <c:v>699.15487968130128</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2024</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7031.3108390325842</c:v>
                </c:pt>
                <c:pt idx="1">
                  <c:v>4449.6403132115302</c:v>
                </c:pt>
                <c:pt idx="2">
                  <c:v>1050.0310508388611</c:v>
                </c:pt>
                <c:pt idx="3">
                  <c:v>1684.063890814034</c:v>
                </c:pt>
                <c:pt idx="4">
                  <c:v>467.45427395359326</c:v>
                </c:pt>
                <c:pt idx="5">
                  <c:v>1490.5315898014717</c:v>
                </c:pt>
                <c:pt idx="6">
                  <c:v>375.37466996374849</c:v>
                </c:pt>
                <c:pt idx="7">
                  <c:v>1027.5304319021527</c:v>
                </c:pt>
                <c:pt idx="8">
                  <c:v>112.76880885477392</c:v>
                </c:pt>
                <c:pt idx="9">
                  <c:v>859.49101251947116</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2025</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5523.8919930607635</c:v>
                </c:pt>
                <c:pt idx="1">
                  <c:v>4526.5193594540469</c:v>
                </c:pt>
                <c:pt idx="2">
                  <c:v>1143.4990653542022</c:v>
                </c:pt>
                <c:pt idx="3">
                  <c:v>1553.0833880781138</c:v>
                </c:pt>
                <c:pt idx="4">
                  <c:v>451.41042219834264</c:v>
                </c:pt>
                <c:pt idx="5">
                  <c:v>1607.0650200100615</c:v>
                </c:pt>
                <c:pt idx="6">
                  <c:v>317.68733692192143</c:v>
                </c:pt>
                <c:pt idx="7">
                  <c:v>923.03103939056734</c:v>
                </c:pt>
                <c:pt idx="8">
                  <c:v>253.63465245501035</c:v>
                </c:pt>
                <c:pt idx="9">
                  <c:v>1018.2732838815923</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2023</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13372.05268684297</c:v>
                </c:pt>
                <c:pt idx="1">
                  <c:v>48967.401991927523</c:v>
                </c:pt>
                <c:pt idx="2">
                  <c:v>19189.677829046293</c:v>
                </c:pt>
                <c:pt idx="3" formatCode="_ * #\ ##0_ ;_ * \-#\ ##0_ ;_ * &quot;-&quot;??_ ;_ @_ ">
                  <c:v>150278.30848199822</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2024</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17820.270775550696</c:v>
                </c:pt>
                <c:pt idx="1">
                  <c:v>67455.217648646329</c:v>
                </c:pt>
                <c:pt idx="2">
                  <c:v>21048.000431775588</c:v>
                </c:pt>
                <c:pt idx="3" formatCode="_ * #\ ##0_ ;_ * \-#\ ##0_ ;_ * &quot;-&quot;??_ ;_ @_ ">
                  <c:v>165195.6098987138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2025</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13425</c:v>
                </c:pt>
                <c:pt idx="1">
                  <c:v>46145</c:v>
                </c:pt>
                <c:pt idx="2">
                  <c:v>18983</c:v>
                </c:pt>
                <c:pt idx="3" formatCode="_ * #\ ##0_ ;_ * \-#\ ##0_ ;_ * &quot;-&quot;??_ ;_ @_ ">
                  <c:v>151060</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2023</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3625.6170606681403</c:v>
                </c:pt>
                <c:pt idx="1">
                  <c:v>2981.0519010570115</c:v>
                </c:pt>
                <c:pt idx="2">
                  <c:v>344.72357449875824</c:v>
                </c:pt>
                <c:pt idx="3">
                  <c:v>3531.4611423514461</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2024</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3705.575352852215</c:v>
                </c:pt>
                <c:pt idx="1">
                  <c:v>4376.3099442946632</c:v>
                </c:pt>
                <c:pt idx="2">
                  <c:v>388.51714921554247</c:v>
                </c:pt>
                <c:pt idx="3">
                  <c:v>3010.5487058816925</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2025</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4143.2921037936703</c:v>
                </c:pt>
                <c:pt idx="1">
                  <c:v>3145.5367856009429</c:v>
                </c:pt>
                <c:pt idx="2">
                  <c:v>375.71068901463235</c:v>
                </c:pt>
                <c:pt idx="3">
                  <c:v>2385.8717741055634</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2023</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175866.41322132733</c:v>
                </c:pt>
                <c:pt idx="1">
                  <c:v>68045.339656676413</c:v>
                </c:pt>
                <c:pt idx="2">
                  <c:v>119152.60463492846</c:v>
                </c:pt>
                <c:pt idx="3">
                  <c:v>25631.02574548325</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2024</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191658.21794871794</c:v>
                </c:pt>
                <c:pt idx="1">
                  <c:v>82196.721585918829</c:v>
                </c:pt>
                <c:pt idx="2">
                  <c:v>133839.25844538619</c:v>
                </c:pt>
                <c:pt idx="3">
                  <c:v>32184.619290778788</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2025</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195071</c:v>
                </c:pt>
                <c:pt idx="1">
                  <c:v>65643</c:v>
                </c:pt>
                <c:pt idx="2">
                  <c:v>119613</c:v>
                </c:pt>
                <c:pt idx="3">
                  <c:v>25067</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2023</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5306.42957857494</c:v>
                </c:pt>
                <c:pt idx="1">
                  <c:v>6953.5780216841604</c:v>
                </c:pt>
                <c:pt idx="2">
                  <c:v>5068.0363519274379</c:v>
                </c:pt>
                <c:pt idx="3">
                  <c:v>10719.996600606582</c:v>
                </c:pt>
                <c:pt idx="4">
                  <c:v>20298.701810584957</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2024</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6171.3437629052369</c:v>
                </c:pt>
                <c:pt idx="1">
                  <c:v>7563.8460735600001</c:v>
                </c:pt>
                <c:pt idx="2">
                  <c:v>5375.3578399580401</c:v>
                </c:pt>
                <c:pt idx="3">
                  <c:v>14804.434991890335</c:v>
                </c:pt>
                <c:pt idx="4">
                  <c:v>24272.166666666668</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2025</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4740</c:v>
                </c:pt>
                <c:pt idx="1">
                  <c:v>7415</c:v>
                </c:pt>
                <c:pt idx="2">
                  <c:v>5319</c:v>
                </c:pt>
                <c:pt idx="3">
                  <c:v>10904</c:v>
                </c:pt>
                <c:pt idx="4">
                  <c:v>25657</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'Tab2'!$K$71:$K$240</c:f>
              <c:numCache>
                <c:formatCode>General</c:formatCode>
                <c:ptCount val="17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pt idx="168">
                  <c:v>2025</c:v>
                </c:pt>
              </c:numCache>
            </c:numRef>
          </c:cat>
          <c:val>
            <c:numRef>
              <c:f>'Tab2'!$N$71:$N$240</c:f>
              <c:numCache>
                <c:formatCode>#\ ##0.0</c:formatCode>
                <c:ptCount val="170"/>
                <c:pt idx="0">
                  <c:v>280.97434186431229</c:v>
                </c:pt>
                <c:pt idx="1">
                  <c:v>235.35981404570387</c:v>
                </c:pt>
                <c:pt idx="2">
                  <c:v>215.23590350632915</c:v>
                </c:pt>
                <c:pt idx="3">
                  <c:v>263.65577503736654</c:v>
                </c:pt>
                <c:pt idx="4">
                  <c:v>282.72544231937178</c:v>
                </c:pt>
                <c:pt idx="5">
                  <c:v>267.43757981271477</c:v>
                </c:pt>
                <c:pt idx="6">
                  <c:v>265.15957657751278</c:v>
                </c:pt>
                <c:pt idx="7">
                  <c:v>296.58234406375834</c:v>
                </c:pt>
                <c:pt idx="8">
                  <c:v>320.49645743708606</c:v>
                </c:pt>
                <c:pt idx="9">
                  <c:v>350.31167234308941</c:v>
                </c:pt>
                <c:pt idx="10">
                  <c:v>310.41732485483874</c:v>
                </c:pt>
                <c:pt idx="11">
                  <c:v>352.05505633174602</c:v>
                </c:pt>
                <c:pt idx="12">
                  <c:v>326.409091165625</c:v>
                </c:pt>
                <c:pt idx="13">
                  <c:v>349.27165170000001</c:v>
                </c:pt>
                <c:pt idx="14">
                  <c:v>281.11637638208958</c:v>
                </c:pt>
                <c:pt idx="15">
                  <c:v>328.97065004671532</c:v>
                </c:pt>
                <c:pt idx="16">
                  <c:v>359.39413805957446</c:v>
                </c:pt>
                <c:pt idx="17">
                  <c:v>354.65562398463692</c:v>
                </c:pt>
                <c:pt idx="18">
                  <c:v>290.22971518810516</c:v>
                </c:pt>
                <c:pt idx="19">
                  <c:v>341.46397108016305</c:v>
                </c:pt>
                <c:pt idx="20">
                  <c:v>325.00520781382983</c:v>
                </c:pt>
                <c:pt idx="21">
                  <c:v>231.67841303389832</c:v>
                </c:pt>
                <c:pt idx="22">
                  <c:v>360.84497349220777</c:v>
                </c:pt>
                <c:pt idx="23">
                  <c:v>478.01867824071712</c:v>
                </c:pt>
                <c:pt idx="24">
                  <c:v>337.7092365297845</c:v>
                </c:pt>
                <c:pt idx="25">
                  <c:v>272.9498647957659</c:v>
                </c:pt>
                <c:pt idx="26">
                  <c:v>240.17352393548387</c:v>
                </c:pt>
                <c:pt idx="27">
                  <c:v>303.00510324324324</c:v>
                </c:pt>
                <c:pt idx="28">
                  <c:v>324.43881781652493</c:v>
                </c:pt>
                <c:pt idx="29">
                  <c:v>261.01188999400478</c:v>
                </c:pt>
                <c:pt idx="30">
                  <c:v>226.36689493189968</c:v>
                </c:pt>
                <c:pt idx="31">
                  <c:v>263.48269847238544</c:v>
                </c:pt>
                <c:pt idx="32">
                  <c:v>284.32274180935678</c:v>
                </c:pt>
                <c:pt idx="33">
                  <c:v>273.37521622286363</c:v>
                </c:pt>
                <c:pt idx="34">
                  <c:v>286.10539598383377</c:v>
                </c:pt>
                <c:pt idx="35">
                  <c:v>295.79730716380311</c:v>
                </c:pt>
                <c:pt idx="36">
                  <c:v>276.32911110628572</c:v>
                </c:pt>
                <c:pt idx="37">
                  <c:v>238.10068054514679</c:v>
                </c:pt>
                <c:pt idx="38">
                  <c:v>275.11861328297624</c:v>
                </c:pt>
                <c:pt idx="39">
                  <c:v>227.02761981522968</c:v>
                </c:pt>
                <c:pt idx="40">
                  <c:v>284.85741452449884</c:v>
                </c:pt>
                <c:pt idx="41">
                  <c:v>237.06478562114543</c:v>
                </c:pt>
                <c:pt idx="42">
                  <c:v>273.8862905253863</c:v>
                </c:pt>
                <c:pt idx="43">
                  <c:v>324.01567688571419</c:v>
                </c:pt>
                <c:pt idx="44">
                  <c:v>388.07961300000005</c:v>
                </c:pt>
                <c:pt idx="45">
                  <c:v>339.26989068157036</c:v>
                </c:pt>
                <c:pt idx="46">
                  <c:v>344.69435043756783</c:v>
                </c:pt>
                <c:pt idx="47">
                  <c:v>284.11364036285113</c:v>
                </c:pt>
                <c:pt idx="48">
                  <c:v>342.29736029657386</c:v>
                </c:pt>
                <c:pt idx="49">
                  <c:v>294.47738257279502</c:v>
                </c:pt>
                <c:pt idx="50">
                  <c:v>357.82079797449512</c:v>
                </c:pt>
                <c:pt idx="51">
                  <c:v>339.73299454545469</c:v>
                </c:pt>
                <c:pt idx="52">
                  <c:v>745.03229313375789</c:v>
                </c:pt>
                <c:pt idx="53">
                  <c:v>461.33668680967406</c:v>
                </c:pt>
                <c:pt idx="54">
                  <c:v>469.57858931937199</c:v>
                </c:pt>
                <c:pt idx="55">
                  <c:v>452.87149023676034</c:v>
                </c:pt>
                <c:pt idx="56">
                  <c:v>490.27346792497434</c:v>
                </c:pt>
                <c:pt idx="57">
                  <c:v>537.99171188434002</c:v>
                </c:pt>
                <c:pt idx="58">
                  <c:v>569.73953419959059</c:v>
                </c:pt>
                <c:pt idx="59">
                  <c:v>508.33930337296755</c:v>
                </c:pt>
                <c:pt idx="60">
                  <c:v>536.28546722054375</c:v>
                </c:pt>
                <c:pt idx="61">
                  <c:v>475.09802171013041</c:v>
                </c:pt>
                <c:pt idx="62">
                  <c:v>482.85998608517031</c:v>
                </c:pt>
                <c:pt idx="63">
                  <c:v>554.99281298609731</c:v>
                </c:pt>
                <c:pt idx="64">
                  <c:v>605.33785788461546</c:v>
                </c:pt>
                <c:pt idx="65">
                  <c:v>608.27829752348339</c:v>
                </c:pt>
                <c:pt idx="66">
                  <c:v>818.51599792035393</c:v>
                </c:pt>
                <c:pt idx="67">
                  <c:v>741.27441698743905</c:v>
                </c:pt>
                <c:pt idx="68">
                  <c:v>617.90156354971316</c:v>
                </c:pt>
                <c:pt idx="69">
                  <c:v>448.73201049286394</c:v>
                </c:pt>
                <c:pt idx="70">
                  <c:v>556.30067981481477</c:v>
                </c:pt>
                <c:pt idx="71">
                  <c:v>848.18731896629208</c:v>
                </c:pt>
                <c:pt idx="72">
                  <c:v>1164.0399462094094</c:v>
                </c:pt>
                <c:pt idx="73">
                  <c:v>770.59874492700737</c:v>
                </c:pt>
                <c:pt idx="74">
                  <c:v>692.09990803700293</c:v>
                </c:pt>
                <c:pt idx="75">
                  <c:v>875.6485104121432</c:v>
                </c:pt>
                <c:pt idx="76">
                  <c:v>797.50222392955175</c:v>
                </c:pt>
                <c:pt idx="77">
                  <c:v>693.90464135909099</c:v>
                </c:pt>
                <c:pt idx="78">
                  <c:v>857.54683340328472</c:v>
                </c:pt>
                <c:pt idx="79">
                  <c:v>781.4164940306307</c:v>
                </c:pt>
                <c:pt idx="80">
                  <c:v>1021.9856242547993</c:v>
                </c:pt>
                <c:pt idx="81">
                  <c:v>675.69958144879809</c:v>
                </c:pt>
                <c:pt idx="82">
                  <c:v>718.85862183646111</c:v>
                </c:pt>
                <c:pt idx="83">
                  <c:v>783.09058676110112</c:v>
                </c:pt>
                <c:pt idx="84">
                  <c:v>859.09302133126107</c:v>
                </c:pt>
                <c:pt idx="85">
                  <c:v>567.97424842063481</c:v>
                </c:pt>
                <c:pt idx="86">
                  <c:v>750.88508011238923</c:v>
                </c:pt>
                <c:pt idx="87">
                  <c:v>701.84664513508824</c:v>
                </c:pt>
                <c:pt idx="88">
                  <c:v>686.93593180299035</c:v>
                </c:pt>
                <c:pt idx="89">
                  <c:v>524.22688463888892</c:v>
                </c:pt>
                <c:pt idx="90">
                  <c:v>727.76946828931364</c:v>
                </c:pt>
                <c:pt idx="91">
                  <c:v>771.2524722724138</c:v>
                </c:pt>
                <c:pt idx="92">
                  <c:v>937.47076325042894</c:v>
                </c:pt>
                <c:pt idx="93">
                  <c:v>687.50547216793882</c:v>
                </c:pt>
                <c:pt idx="94">
                  <c:v>791.05944416197769</c:v>
                </c:pt>
                <c:pt idx="95">
                  <c:v>825.29423582521031</c:v>
                </c:pt>
                <c:pt idx="96">
                  <c:v>1033.0196109889362</c:v>
                </c:pt>
                <c:pt idx="97">
                  <c:v>812.17149778021985</c:v>
                </c:pt>
                <c:pt idx="98">
                  <c:v>1037.6853036281839</c:v>
                </c:pt>
                <c:pt idx="99">
                  <c:v>877.34358425827759</c:v>
                </c:pt>
                <c:pt idx="100">
                  <c:v>907.28775807465126</c:v>
                </c:pt>
                <c:pt idx="101">
                  <c:v>839.9202115967214</c:v>
                </c:pt>
                <c:pt idx="102">
                  <c:v>1096.9843163030062</c:v>
                </c:pt>
                <c:pt idx="103">
                  <c:v>1053.5400774314357</c:v>
                </c:pt>
                <c:pt idx="104">
                  <c:v>1105.5727001696</c:v>
                </c:pt>
                <c:pt idx="105">
                  <c:v>897.54916593953874</c:v>
                </c:pt>
                <c:pt idx="106">
                  <c:v>1185.6383498237637</c:v>
                </c:pt>
                <c:pt idx="107">
                  <c:v>1120.6761020308061</c:v>
                </c:pt>
                <c:pt idx="108">
                  <c:v>2458.3095668021301</c:v>
                </c:pt>
                <c:pt idx="109">
                  <c:v>1253.859979299116</c:v>
                </c:pt>
                <c:pt idx="110">
                  <c:v>1259.8919451315069</c:v>
                </c:pt>
                <c:pt idx="111">
                  <c:v>1288.9230735296926</c:v>
                </c:pt>
                <c:pt idx="112">
                  <c:v>1523.2706999039153</c:v>
                </c:pt>
                <c:pt idx="113">
                  <c:v>1107.686976621229</c:v>
                </c:pt>
                <c:pt idx="114">
                  <c:v>1320.7466301018665</c:v>
                </c:pt>
                <c:pt idx="115">
                  <c:v>1113.0780360561823</c:v>
                </c:pt>
                <c:pt idx="116">
                  <c:v>1233.1380071808014</c:v>
                </c:pt>
                <c:pt idx="117">
                  <c:v>901.53667400300503</c:v>
                </c:pt>
                <c:pt idx="118">
                  <c:v>1242.9667846782968</c:v>
                </c:pt>
                <c:pt idx="119">
                  <c:v>1170.3709336220647</c:v>
                </c:pt>
                <c:pt idx="120">
                  <c:v>1437.3379266005538</c:v>
                </c:pt>
                <c:pt idx="121">
                  <c:v>1407.4251527839763</c:v>
                </c:pt>
                <c:pt idx="122">
                  <c:v>1024.1074082665725</c:v>
                </c:pt>
                <c:pt idx="123">
                  <c:v>1237.0022276335712</c:v>
                </c:pt>
                <c:pt idx="124">
                  <c:v>1220.0168640949532</c:v>
                </c:pt>
                <c:pt idx="125">
                  <c:v>1001.8746838979392</c:v>
                </c:pt>
                <c:pt idx="126">
                  <c:v>1473.8107708775722</c:v>
                </c:pt>
                <c:pt idx="127">
                  <c:v>1178.4000951672922</c:v>
                </c:pt>
                <c:pt idx="128">
                  <c:v>1292.8579943543173</c:v>
                </c:pt>
                <c:pt idx="129">
                  <c:v>990.10193758949072</c:v>
                </c:pt>
                <c:pt idx="130">
                  <c:v>1310.6131955508138</c:v>
                </c:pt>
                <c:pt idx="131">
                  <c:v>1163.6743215912013</c:v>
                </c:pt>
                <c:pt idx="132">
                  <c:v>1337.7350149683555</c:v>
                </c:pt>
                <c:pt idx="133">
                  <c:v>1029.7044739840985</c:v>
                </c:pt>
                <c:pt idx="134">
                  <c:v>1805.9184938916351</c:v>
                </c:pt>
                <c:pt idx="135">
                  <c:v>1225.3164521672293</c:v>
                </c:pt>
                <c:pt idx="136">
                  <c:v>1313.5221027121001</c:v>
                </c:pt>
                <c:pt idx="137">
                  <c:v>974.2068869032812</c:v>
                </c:pt>
                <c:pt idx="138">
                  <c:v>1150.5485697827562</c:v>
                </c:pt>
                <c:pt idx="139">
                  <c:v>1436.6539132547171</c:v>
                </c:pt>
                <c:pt idx="140">
                  <c:v>1466.6162172678692</c:v>
                </c:pt>
                <c:pt idx="141">
                  <c:v>1334.2300400174281</c:v>
                </c:pt>
                <c:pt idx="142">
                  <c:v>1487.2043265882464</c:v>
                </c:pt>
                <c:pt idx="143">
                  <c:v>1312.1495933614863</c:v>
                </c:pt>
                <c:pt idx="144">
                  <c:v>1395.7770754859384</c:v>
                </c:pt>
                <c:pt idx="145">
                  <c:v>1217.0167055630457</c:v>
                </c:pt>
                <c:pt idx="146">
                  <c:v>1693.8150695393824</c:v>
                </c:pt>
                <c:pt idx="147">
                  <c:v>1577.4154285755319</c:v>
                </c:pt>
                <c:pt idx="148">
                  <c:v>1426.1569369648832</c:v>
                </c:pt>
                <c:pt idx="149">
                  <c:v>1197.9685581155113</c:v>
                </c:pt>
                <c:pt idx="150">
                  <c:v>1413.5604369735006</c:v>
                </c:pt>
                <c:pt idx="151">
                  <c:v>1486.373389164911</c:v>
                </c:pt>
                <c:pt idx="152">
                  <c:v>2190.9157679799514</c:v>
                </c:pt>
                <c:pt idx="153">
                  <c:v>1234.3168636307514</c:v>
                </c:pt>
                <c:pt idx="154">
                  <c:v>1327.9631313959344</c:v>
                </c:pt>
                <c:pt idx="155">
                  <c:v>1463.8739225577697</c:v>
                </c:pt>
                <c:pt idx="156">
                  <c:v>1544.5413450944773</c:v>
                </c:pt>
                <c:pt idx="157">
                  <c:v>1165.3643955261578</c:v>
                </c:pt>
                <c:pt idx="158">
                  <c:v>1373.1559098363748</c:v>
                </c:pt>
                <c:pt idx="159">
                  <c:v>1714.1866004239994</c:v>
                </c:pt>
                <c:pt idx="160">
                  <c:v>1669.5993798711299</c:v>
                </c:pt>
                <c:pt idx="161">
                  <c:v>1442.1254710518197</c:v>
                </c:pt>
                <c:pt idx="162">
                  <c:v>2687.1526394440584</c:v>
                </c:pt>
                <c:pt idx="163">
                  <c:v>2131.6011666044174</c:v>
                </c:pt>
                <c:pt idx="164">
                  <c:v>2900.5772643440105</c:v>
                </c:pt>
                <c:pt idx="165">
                  <c:v>1505.1870500630951</c:v>
                </c:pt>
                <c:pt idx="166">
                  <c:v>1753.56117412917</c:v>
                </c:pt>
                <c:pt idx="167">
                  <c:v>1412.2679108661882</c:v>
                </c:pt>
                <c:pt idx="168">
                  <c:v>1843.810588471513</c:v>
                </c:pt>
                <c:pt idx="169">
                  <c:v>1232.3222520873539</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'Tab2'!$K$71:$K$240</c:f>
              <c:numCache>
                <c:formatCode>General</c:formatCode>
                <c:ptCount val="17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pt idx="168">
                  <c:v>2025</c:v>
                </c:pt>
              </c:numCache>
            </c:numRef>
          </c:cat>
          <c:val>
            <c:numRef>
              <c:f>'Tab2'!$L$71:$L$240</c:f>
              <c:numCache>
                <c:formatCode>#,##0</c:formatCode>
                <c:ptCount val="170"/>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pt idx="160" formatCode="0">
                  <c:v>26844.315237154147</c:v>
                </c:pt>
                <c:pt idx="161" formatCode="0">
                  <c:v>22123.086754773376</c:v>
                </c:pt>
                <c:pt idx="162" formatCode="0">
                  <c:v>33547.567308467726</c:v>
                </c:pt>
                <c:pt idx="163" formatCode="0">
                  <c:v>27405.288644268774</c:v>
                </c:pt>
                <c:pt idx="164" formatCode="0">
                  <c:v>43293.220189723317</c:v>
                </c:pt>
                <c:pt idx="165" formatCode="0">
                  <c:v>24161.997458923011</c:v>
                </c:pt>
                <c:pt idx="166" formatCode="0">
                  <c:v>27298.711137914943</c:v>
                </c:pt>
                <c:pt idx="167" formatCode="0">
                  <c:v>23779.642928853747</c:v>
                </c:pt>
                <c:pt idx="168" formatCode="0">
                  <c:v>26747</c:v>
                </c:pt>
                <c:pt idx="169" formatCode="0">
                  <c:v>19398</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'Tab2'!$K$103:$K$240</c:f>
              <c:numCache>
                <c:formatCode>General</c:formatCode>
                <c:ptCount val="13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pt idx="136">
                  <c:v>2025</c:v>
                </c:pt>
              </c:numCache>
            </c:numRef>
          </c:cat>
          <c:val>
            <c:numRef>
              <c:f>'Tab2'!$Q$103:$Q$240</c:f>
              <c:numCache>
                <c:formatCode>#\ ##0.0</c:formatCode>
                <c:ptCount val="138"/>
                <c:pt idx="0">
                  <c:v>823.68363864678349</c:v>
                </c:pt>
                <c:pt idx="1">
                  <c:v>796.82294673325634</c:v>
                </c:pt>
                <c:pt idx="2">
                  <c:v>929.73465406812932</c:v>
                </c:pt>
                <c:pt idx="3">
                  <c:v>913.93234557846563</c:v>
                </c:pt>
                <c:pt idx="4">
                  <c:v>874.47272795999993</c:v>
                </c:pt>
                <c:pt idx="5">
                  <c:v>868.88822306997747</c:v>
                </c:pt>
                <c:pt idx="6">
                  <c:v>927.73535443968456</c:v>
                </c:pt>
                <c:pt idx="7">
                  <c:v>890.53414740425512</c:v>
                </c:pt>
                <c:pt idx="8">
                  <c:v>935.09804300445433</c:v>
                </c:pt>
                <c:pt idx="9">
                  <c:v>726.21669136894275</c:v>
                </c:pt>
                <c:pt idx="10">
                  <c:v>801.24114359271573</c:v>
                </c:pt>
                <c:pt idx="11">
                  <c:v>958.90571042857107</c:v>
                </c:pt>
                <c:pt idx="12">
                  <c:v>878.00445777142863</c:v>
                </c:pt>
                <c:pt idx="13">
                  <c:v>1007.2138556390404</c:v>
                </c:pt>
                <c:pt idx="14">
                  <c:v>863.25748152551591</c:v>
                </c:pt>
                <c:pt idx="15">
                  <c:v>788.17320969978402</c:v>
                </c:pt>
                <c:pt idx="16">
                  <c:v>1086.3089809528908</c:v>
                </c:pt>
                <c:pt idx="17">
                  <c:v>918.18167027417667</c:v>
                </c:pt>
                <c:pt idx="18">
                  <c:v>968.81668885547265</c:v>
                </c:pt>
                <c:pt idx="19">
                  <c:v>730.62345745560231</c:v>
                </c:pt>
                <c:pt idx="20">
                  <c:v>951.91958859129511</c:v>
                </c:pt>
                <c:pt idx="21">
                  <c:v>1150.0015451009465</c:v>
                </c:pt>
                <c:pt idx="22">
                  <c:v>1138.5324213539266</c:v>
                </c:pt>
                <c:pt idx="23">
                  <c:v>1291.8673444714439</c:v>
                </c:pt>
                <c:pt idx="24">
                  <c:v>1201.5828784984585</c:v>
                </c:pt>
                <c:pt idx="25">
                  <c:v>1270.6779003766628</c:v>
                </c:pt>
                <c:pt idx="26">
                  <c:v>1377.5877357635623</c:v>
                </c:pt>
                <c:pt idx="27">
                  <c:v>1070.9875498780489</c:v>
                </c:pt>
                <c:pt idx="28">
                  <c:v>1128.2693548962741</c:v>
                </c:pt>
                <c:pt idx="29">
                  <c:v>1081.1994032527582</c:v>
                </c:pt>
                <c:pt idx="30">
                  <c:v>810.32106234068181</c:v>
                </c:pt>
                <c:pt idx="31">
                  <c:v>1370.503817022839</c:v>
                </c:pt>
                <c:pt idx="32">
                  <c:v>1269.8274516538463</c:v>
                </c:pt>
                <c:pt idx="33">
                  <c:v>1599.0387707064581</c:v>
                </c:pt>
                <c:pt idx="34">
                  <c:v>1041.7476337168137</c:v>
                </c:pt>
                <c:pt idx="35">
                  <c:v>1688.8997006618358</c:v>
                </c:pt>
                <c:pt idx="36">
                  <c:v>1464.6357096108989</c:v>
                </c:pt>
                <c:pt idx="37">
                  <c:v>1198.6336033054233</c:v>
                </c:pt>
                <c:pt idx="38">
                  <c:v>1253.1404787407412</c:v>
                </c:pt>
                <c:pt idx="39">
                  <c:v>1293.2757140674155</c:v>
                </c:pt>
                <c:pt idx="40">
                  <c:v>1511.7178036808116</c:v>
                </c:pt>
                <c:pt idx="41">
                  <c:v>1573.5899149726276</c:v>
                </c:pt>
                <c:pt idx="42">
                  <c:v>2026.1726078945421</c:v>
                </c:pt>
                <c:pt idx="43">
                  <c:v>1380.8567891913528</c:v>
                </c:pt>
                <c:pt idx="44">
                  <c:v>1402.5098060274477</c:v>
                </c:pt>
                <c:pt idx="45">
                  <c:v>1170.5500327063635</c:v>
                </c:pt>
                <c:pt idx="46">
                  <c:v>1527.3880875666061</c:v>
                </c:pt>
                <c:pt idx="47">
                  <c:v>1579.8349410765766</c:v>
                </c:pt>
                <c:pt idx="48">
                  <c:v>1772.6591746806284</c:v>
                </c:pt>
                <c:pt idx="49">
                  <c:v>1360.716862124666</c:v>
                </c:pt>
                <c:pt idx="50">
                  <c:v>1436.3813856067916</c:v>
                </c:pt>
                <c:pt idx="51">
                  <c:v>1264.9924863063948</c:v>
                </c:pt>
                <c:pt idx="52">
                  <c:v>1220.0216134493785</c:v>
                </c:pt>
                <c:pt idx="53">
                  <c:v>1167.0906880079365</c:v>
                </c:pt>
                <c:pt idx="54">
                  <c:v>1079.2836198840707</c:v>
                </c:pt>
                <c:pt idx="55">
                  <c:v>1162.7510744017554</c:v>
                </c:pt>
                <c:pt idx="56">
                  <c:v>1175.3506660897099</c:v>
                </c:pt>
                <c:pt idx="57">
                  <c:v>1209.192891393229</c:v>
                </c:pt>
                <c:pt idx="58">
                  <c:v>1350.8297447324071</c:v>
                </c:pt>
                <c:pt idx="59">
                  <c:v>1281.8770205396547</c:v>
                </c:pt>
                <c:pt idx="60">
                  <c:v>1517.9013794030877</c:v>
                </c:pt>
                <c:pt idx="61">
                  <c:v>1285.6257238880407</c:v>
                </c:pt>
                <c:pt idx="62">
                  <c:v>1363.4067222276217</c:v>
                </c:pt>
                <c:pt idx="63">
                  <c:v>1296.9806674117649</c:v>
                </c:pt>
                <c:pt idx="64">
                  <c:v>1736.859635348085</c:v>
                </c:pt>
                <c:pt idx="65">
                  <c:v>1645.3501540989009</c:v>
                </c:pt>
                <c:pt idx="66">
                  <c:v>1077.9745220814948</c:v>
                </c:pt>
                <c:pt idx="67">
                  <c:v>1410.2153486746686</c:v>
                </c:pt>
                <c:pt idx="68">
                  <c:v>1477.0442366628386</c:v>
                </c:pt>
                <c:pt idx="69">
                  <c:v>1767.1406640049186</c:v>
                </c:pt>
                <c:pt idx="70">
                  <c:v>2256.3542080869206</c:v>
                </c:pt>
                <c:pt idx="71">
                  <c:v>1738.1688093023258</c:v>
                </c:pt>
                <c:pt idx="72">
                  <c:v>1569.4169522824002</c:v>
                </c:pt>
                <c:pt idx="73">
                  <c:v>1602.2991817923628</c:v>
                </c:pt>
                <c:pt idx="74">
                  <c:v>1904.4418435462517</c:v>
                </c:pt>
                <c:pt idx="75">
                  <c:v>1759.6075975781998</c:v>
                </c:pt>
                <c:pt idx="76">
                  <c:v>2393.3753910606065</c:v>
                </c:pt>
                <c:pt idx="77">
                  <c:v>2002.9091792854922</c:v>
                </c:pt>
                <c:pt idx="78">
                  <c:v>1880.5204825618152</c:v>
                </c:pt>
                <c:pt idx="79">
                  <c:v>1898.6597293612419</c:v>
                </c:pt>
                <c:pt idx="80">
                  <c:v>2437.8451675030724</c:v>
                </c:pt>
                <c:pt idx="81">
                  <c:v>2187.1802718305348</c:v>
                </c:pt>
                <c:pt idx="82">
                  <c:v>1856.1131001066456</c:v>
                </c:pt>
                <c:pt idx="83">
                  <c:v>1842.5620290048967</c:v>
                </c:pt>
                <c:pt idx="84">
                  <c:v>1632.0410147613825</c:v>
                </c:pt>
                <c:pt idx="85">
                  <c:v>1472.4043114739711</c:v>
                </c:pt>
                <c:pt idx="86">
                  <c:v>1627.1472750192456</c:v>
                </c:pt>
                <c:pt idx="87">
                  <c:v>1516.0752734047051</c:v>
                </c:pt>
                <c:pt idx="88">
                  <c:v>1613.0963064694986</c:v>
                </c:pt>
                <c:pt idx="89">
                  <c:v>1577.3390227987907</c:v>
                </c:pt>
                <c:pt idx="90">
                  <c:v>1842.6184124102765</c:v>
                </c:pt>
                <c:pt idx="91">
                  <c:v>1674.7221396492735</c:v>
                </c:pt>
                <c:pt idx="92">
                  <c:v>2043.1593988952218</c:v>
                </c:pt>
                <c:pt idx="93">
                  <c:v>1583.9019957742655</c:v>
                </c:pt>
                <c:pt idx="94">
                  <c:v>1718.3316124102896</c:v>
                </c:pt>
                <c:pt idx="95">
                  <c:v>1499.7719225680783</c:v>
                </c:pt>
                <c:pt idx="96">
                  <c:v>1727.9001874939397</c:v>
                </c:pt>
                <c:pt idx="97">
                  <c:v>1615.2100591730941</c:v>
                </c:pt>
                <c:pt idx="98">
                  <c:v>1793.7701126037198</c:v>
                </c:pt>
                <c:pt idx="99">
                  <c:v>1879.5259361395238</c:v>
                </c:pt>
                <c:pt idx="100">
                  <c:v>1659.257135254458</c:v>
                </c:pt>
                <c:pt idx="101">
                  <c:v>1283.9107817533736</c:v>
                </c:pt>
                <c:pt idx="102">
                  <c:v>1919.2677516834744</c:v>
                </c:pt>
                <c:pt idx="103">
                  <c:v>1556.6191220074627</c:v>
                </c:pt>
                <c:pt idx="104">
                  <c:v>1654.6801853524219</c:v>
                </c:pt>
                <c:pt idx="105">
                  <c:v>2131.9754357365905</c:v>
                </c:pt>
                <c:pt idx="106">
                  <c:v>1210.16905796334</c:v>
                </c:pt>
                <c:pt idx="107">
                  <c:v>1517.23748069407</c:v>
                </c:pt>
                <c:pt idx="108">
                  <c:v>1575.2082265464264</c:v>
                </c:pt>
                <c:pt idx="109">
                  <c:v>1823.8825881754115</c:v>
                </c:pt>
                <c:pt idx="110">
                  <c:v>2235.921450410578</c:v>
                </c:pt>
                <c:pt idx="111">
                  <c:v>1766.4441256219179</c:v>
                </c:pt>
                <c:pt idx="112">
                  <c:v>1678.7719268012102</c:v>
                </c:pt>
                <c:pt idx="113">
                  <c:v>1627.7041294385976</c:v>
                </c:pt>
                <c:pt idx="114">
                  <c:v>1793.6198228442634</c:v>
                </c:pt>
                <c:pt idx="115">
                  <c:v>1469.6151028951306</c:v>
                </c:pt>
                <c:pt idx="116">
                  <c:v>2130.6878173601208</c:v>
                </c:pt>
                <c:pt idx="117">
                  <c:v>1427.1742638395399</c:v>
                </c:pt>
                <c:pt idx="118">
                  <c:v>1240.8190530404831</c:v>
                </c:pt>
                <c:pt idx="119">
                  <c:v>1427.0828144189741</c:v>
                </c:pt>
                <c:pt idx="120">
                  <c:v>1759.1944948979813</c:v>
                </c:pt>
                <c:pt idx="121">
                  <c:v>1711.693055868285</c:v>
                </c:pt>
                <c:pt idx="122">
                  <c:v>1594.379203994094</c:v>
                </c:pt>
                <c:pt idx="123">
                  <c:v>1456.022851425181</c:v>
                </c:pt>
                <c:pt idx="124">
                  <c:v>1776.4096685985376</c:v>
                </c:pt>
                <c:pt idx="125">
                  <c:v>1520.1968765643524</c:v>
                </c:pt>
                <c:pt idx="126">
                  <c:v>2163.0697746635087</c:v>
                </c:pt>
                <c:pt idx="127">
                  <c:v>2102.7817204405596</c:v>
                </c:pt>
                <c:pt idx="128">
                  <c:v>1776.7719635924086</c:v>
                </c:pt>
                <c:pt idx="129">
                  <c:v>2001.8907300510878</c:v>
                </c:pt>
                <c:pt idx="130">
                  <c:v>1411.6509994105363</c:v>
                </c:pt>
                <c:pt idx="131">
                  <c:v>2052.1520733360594</c:v>
                </c:pt>
                <c:pt idx="132">
                  <c:v>1787.9908413048754</c:v>
                </c:pt>
                <c:pt idx="133">
                  <c:v>1936.5136883907164</c:v>
                </c:pt>
                <c:pt idx="134">
                  <c:v>1670.9076349843263</c:v>
                </c:pt>
                <c:pt idx="135">
                  <c:v>1692.7010094290754</c:v>
                </c:pt>
                <c:pt idx="136">
                  <c:v>2102.0323965801585</c:v>
                </c:pt>
                <c:pt idx="137">
                  <c:v>1946.5934678534913</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'Tab2'!$O$103:$O$240</c:f>
              <c:numCache>
                <c:formatCode>#,##0</c:formatCode>
                <c:ptCount val="138"/>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pt idx="128" formatCode="0">
                  <c:v>6557.2362137681157</c:v>
                </c:pt>
                <c:pt idx="129" formatCode="0">
                  <c:v>6814.816473074854</c:v>
                </c:pt>
                <c:pt idx="130" formatCode="0">
                  <c:v>7564.7841240265989</c:v>
                </c:pt>
                <c:pt idx="131" formatCode="0">
                  <c:v>10671.830522463766</c:v>
                </c:pt>
                <c:pt idx="132" formatCode="0">
                  <c:v>8194.415441304347</c:v>
                </c:pt>
                <c:pt idx="133" formatCode="0">
                  <c:v>9625.8553342463492</c:v>
                </c:pt>
                <c:pt idx="134" formatCode="0">
                  <c:v>10461.248100536261</c:v>
                </c:pt>
                <c:pt idx="135" formatCode="0">
                  <c:v>7310.8396253623141</c:v>
                </c:pt>
                <c:pt idx="136" formatCode="0">
                  <c:v>7505</c:v>
                </c:pt>
                <c:pt idx="137" formatCode="0">
                  <c:v>5920</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2025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27. august 2025</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6</xdr:col>
      <xdr:colOff>438150</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13410"/>
          <a:ext cx="5407974" cy="81019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900" b="1" i="0">
              <a:latin typeface="+mn-lt"/>
              <a:ea typeface="+mn-ea"/>
              <a:cs typeface="Times New Roman" pitchFamily="18" charset="0"/>
            </a:rPr>
            <a:t>Hovedtrekk 1.halvår 2025</a:t>
          </a:r>
        </a:p>
        <a:p>
          <a:pPr rtl="0"/>
          <a:endParaRPr lang="en-US" sz="900" b="1" i="0">
            <a:latin typeface="+mn-lt"/>
            <a:ea typeface="+mn-ea"/>
            <a:cs typeface="Times New Roman" pitchFamily="18" charset="0"/>
          </a:endParaRPr>
        </a:p>
        <a:p>
          <a:pPr rtl="0"/>
          <a:r>
            <a:rPr lang="en-US" sz="900" b="1" i="0">
              <a:latin typeface="+mn-lt"/>
              <a:ea typeface="+mn-ea"/>
              <a:cs typeface="Times New Roman" pitchFamily="18" charset="0"/>
            </a:rPr>
            <a:t>Normal vinter – fortsatt inflasjonseffekt. Flere store brannskader</a:t>
          </a:r>
        </a:p>
        <a:p>
          <a:pPr rtl="0"/>
          <a:r>
            <a:rPr lang="en-US" sz="900" b="0" i="0">
              <a:latin typeface="+mn-lt"/>
              <a:ea typeface="+mn-ea"/>
              <a:cs typeface="Times New Roman" pitchFamily="18" charset="0"/>
            </a:rPr>
            <a:t>Erstatningene for landbasert forsikring totalt hittil i år ble på 33,5 mrd.kr, mot 34,5 mrd. i fjor til samme tid. Fjoråret var krevende med ekstraordinært mange vinterskader, slik at 1.halvår i år er mer tilbake til normalen med antall skader omtrent som 1.halvår 2023. Mens erstatningene er på nivå med i fjor. Det siste skyldes dyrere erstatninger på grunn av inflasjon, større branner, og dyrere reparasjoner på motorkjøretøy. </a:t>
          </a:r>
        </a:p>
        <a:p>
          <a:pPr rtl="0"/>
          <a:endParaRPr lang="en-US" sz="900" b="0" i="0">
            <a:latin typeface="+mn-lt"/>
            <a:ea typeface="+mn-ea"/>
            <a:cs typeface="Times New Roman" pitchFamily="18" charset="0"/>
          </a:endParaRPr>
        </a:p>
        <a:p>
          <a:r>
            <a:rPr lang="nb-NO" sz="900" b="1">
              <a:effectLst/>
              <a:latin typeface="+mn-lt"/>
              <a:ea typeface="+mn-ea"/>
              <a:cs typeface="+mn-cs"/>
            </a:rPr>
            <a:t>Motor – bedre kjøreforhold – fortsatt økt erstatningsnivå</a:t>
          </a:r>
          <a:endParaRPr lang="nb-NO" sz="900">
            <a:effectLst/>
            <a:latin typeface="+mn-lt"/>
            <a:ea typeface="+mn-ea"/>
            <a:cs typeface="+mn-cs"/>
          </a:endParaRPr>
        </a:p>
        <a:p>
          <a:r>
            <a:rPr lang="nb-NO" sz="900">
              <a:effectLst/>
              <a:latin typeface="+mn-lt"/>
              <a:ea typeface="+mn-ea"/>
              <a:cs typeface="+mn-cs"/>
            </a:rPr>
            <a:t>Erstatning på motorkjøretøy er samlet på 12,8 mrd.kr som er marginalt over samme periode i fjor, mens antall meldte skader er redusert med nesten 6%. Kaskoskadene er nesten 9% færre enn i fjor, men er fortsatt 3% flere enn 1.halvår i 2023. I gjennomsnitt har en kaskoskade blitt 7% dyrere enn i fjor. Kollisjonsskadene (trafikkansvar) er også redusert i antall, men økt i erstatning fra i fjor. Glasskadene har økt med 6% i antall, men litt redusert i erstatning – i snitt ble det erstattet en glasskade for 6.650 kr hittil i år, mot 7.100 i fjor, noe som kan ha sammenheng med type kjøretøy og type skade.</a:t>
          </a:r>
        </a:p>
        <a:p>
          <a:endParaRPr lang="nb-NO" sz="900" b="0" i="0">
            <a:effectLst/>
            <a:latin typeface="+mn-lt"/>
            <a:ea typeface="+mn-ea"/>
            <a:cs typeface="+mn-cs"/>
          </a:endParaRPr>
        </a:p>
        <a:p>
          <a:r>
            <a:rPr lang="nb-NO" sz="900" b="1">
              <a:effectLst/>
              <a:latin typeface="+mn-lt"/>
              <a:ea typeface="+mn-ea"/>
              <a:cs typeface="+mn-cs"/>
            </a:rPr>
            <a:t>Hus, hjem, hytte – færre brann- og vannskader</a:t>
          </a:r>
          <a:endParaRPr lang="nb-NO" sz="900">
            <a:effectLst/>
            <a:latin typeface="+mn-lt"/>
            <a:ea typeface="+mn-ea"/>
            <a:cs typeface="+mn-cs"/>
          </a:endParaRPr>
        </a:p>
        <a:p>
          <a:r>
            <a:rPr lang="nb-NO" sz="900">
              <a:effectLst/>
              <a:latin typeface="+mn-lt"/>
              <a:ea typeface="+mn-ea"/>
              <a:cs typeface="+mn-cs"/>
            </a:rPr>
            <a:t>For hus, hjem og hytter ble de totale erstatningene hittil i år på 5,5 mrd.kr, en reduksjon på 21% fra i fjor. Vinteren i fjor var svært krevende, så skadene hittil i år er mer tilbake til normalen; antall skader er omtrent som 1.halvår i 2023 og nesten 15% færre enn i fjor. Reduksjonen i erstatninger fra i fjor skyldes i stor grad mindre vannskader og til dels mindre brann. Fram til juni år var det lite lyn og torden som kan innvirke på at det oppstår færre branner og skader på elektrisk anlegg.  </a:t>
          </a:r>
        </a:p>
        <a:p>
          <a:endParaRPr lang="en-US" sz="900" b="0" i="0">
            <a:latin typeface="+mn-lt"/>
            <a:ea typeface="+mn-ea"/>
            <a:cs typeface="Times New Roman" pitchFamily="18" charset="0"/>
          </a:endParaRPr>
        </a:p>
        <a:p>
          <a:endParaRPr lang="en-US" sz="900" b="0" i="0">
            <a:latin typeface="+mn-lt"/>
            <a:ea typeface="+mn-ea"/>
            <a:cs typeface="Times New Roman" pitchFamily="18" charset="0"/>
          </a:endParaRPr>
        </a:p>
        <a:p>
          <a:r>
            <a:rPr lang="nb-NO" sz="900" b="1">
              <a:effectLst/>
              <a:latin typeface="+mn-lt"/>
              <a:ea typeface="+mn-ea"/>
              <a:cs typeface="+mn-cs"/>
            </a:rPr>
            <a:t>Næringsbygg og landbruk – mindre vannskader, større brannskader </a:t>
          </a:r>
          <a:endParaRPr lang="nb-NO" sz="900">
            <a:effectLst/>
            <a:latin typeface="+mn-lt"/>
            <a:ea typeface="+mn-ea"/>
            <a:cs typeface="+mn-cs"/>
          </a:endParaRPr>
        </a:p>
        <a:p>
          <a:r>
            <a:rPr lang="nb-NO" sz="900">
              <a:effectLst/>
              <a:latin typeface="+mn-lt"/>
              <a:ea typeface="+mn-ea"/>
              <a:cs typeface="+mn-cs"/>
            </a:rPr>
            <a:t>Hittil i år ble det erstattet skader for totalt 4,5 mrd.kr, en økning på nesten 2% fra i fjor til samme tid. Det er reduksjonen i vannskadeerstatningene med 25%; vannskadene er på 1,2 mrd.kr i år, mot 1,6 mrd. i fjor. Erstatningene etter brann økte derimot med 51% fra i fjor. Snittskaden etter brann økte fra 663.000 kr i fjor til nå 1,1 mill.kr. </a:t>
          </a:r>
        </a:p>
        <a:p>
          <a:endParaRPr lang="en-US" sz="900" b="0" i="0">
            <a:latin typeface="+mn-lt"/>
            <a:ea typeface="+mn-ea"/>
            <a:cs typeface="Times New Roman" pitchFamily="18" charset="0"/>
          </a:endParaRPr>
        </a:p>
        <a:p>
          <a:r>
            <a:rPr lang="nb-NO" sz="900" b="1">
              <a:effectLst/>
              <a:latin typeface="+mn-lt"/>
              <a:ea typeface="+mn-ea"/>
              <a:cs typeface="+mn-cs"/>
            </a:rPr>
            <a:t>Reiseforsikring – lav kronekurs, høye flypriser og mer eksotiske reisemål</a:t>
          </a:r>
          <a:endParaRPr lang="nb-NO" sz="900">
            <a:effectLst/>
            <a:latin typeface="+mn-lt"/>
            <a:ea typeface="+mn-ea"/>
            <a:cs typeface="+mn-cs"/>
          </a:endParaRPr>
        </a:p>
        <a:p>
          <a:r>
            <a:rPr lang="nb-NO" sz="900">
              <a:effectLst/>
              <a:latin typeface="+mn-lt"/>
              <a:ea typeface="+mn-ea"/>
              <a:cs typeface="+mn-cs"/>
            </a:rPr>
            <a:t>Hittil i år er det meldt rundt 195.000 reiseskader som er en økning på nesten 2 prosent fra i fjor. Og hvor det er antall sykdomsskader og tyveri som øker mest, nesten 6% på sykdom og 7% på tyveri. Samlet erstatning hittil er på 1,6 mrd. kr, en økning på nesten 8% fra fjoråret. Både økte flypriser og lav kronekurs vil innvirke på erstatningsutviklingen. Dessuten ved at flere reiser til fjerne himmelstrøk hvor kostnadene ved hjemtransport kan bli store. Erstatning etter sykdom utgjør 50% av totalen på 1,6 mrd.kr; som er en økning på 13% fra i fjor. Til sammenligning var denne andelen 32% i 2022, rett i etterkant av at koronarestriksjonene opphørte. I «koronatoppåret 2021» var andelen nede i 22%; dvs vi reise svært lite utenlands.  </a:t>
          </a:r>
        </a:p>
        <a:p>
          <a:endParaRPr lang="nb-NO" sz="900">
            <a:effectLst/>
            <a:latin typeface="+mn-lt"/>
            <a:ea typeface="+mn-ea"/>
            <a:cs typeface="+mn-cs"/>
          </a:endParaRPr>
        </a:p>
        <a:p>
          <a:r>
            <a:rPr lang="nb-NO" sz="900" b="1">
              <a:effectLst/>
              <a:latin typeface="+mn-lt"/>
              <a:ea typeface="+mn-ea"/>
              <a:cs typeface="+mn-cs"/>
            </a:rPr>
            <a:t>Behandlingsforsikring – redusert bruk </a:t>
          </a:r>
          <a:endParaRPr lang="nb-NO" sz="900">
            <a:effectLst/>
            <a:latin typeface="+mn-lt"/>
            <a:ea typeface="+mn-ea"/>
            <a:cs typeface="+mn-cs"/>
          </a:endParaRPr>
        </a:p>
        <a:p>
          <a:r>
            <a:rPr lang="nb-NO" sz="900">
              <a:effectLst/>
              <a:latin typeface="+mn-lt"/>
              <a:ea typeface="+mn-ea"/>
              <a:cs typeface="+mn-cs"/>
            </a:rPr>
            <a:t>Det er fortsatt økning i porteføljen på behandlingsforsikring med 4% flere forsikrede fra 2.kvartal i fjor til i år. Det ble innført egenandel på enkelte behandlinger for et par år siden som kan ha medført mindre bruk. Hittil i år er det nesten 28% færre tilfeller av bruk og 6% redusert erstatning fra i fjor. Bruken er mest redusert på fysioterapi/kiropraktikk med 33%. Hittil i år er forsikringen brukt av nesten 262.000 mot 361.500 i fjor til samme tid. I fjor var det erstatningskostnad på 1,4 mrd.kr mot i år på 1,3 mrd.kr.</a:t>
          </a:r>
        </a:p>
        <a:p>
          <a:endParaRPr lang="nb-NO" sz="900">
            <a:effectLst/>
            <a:latin typeface="+mn-lt"/>
            <a:ea typeface="+mn-ea"/>
            <a:cs typeface="+mn-cs"/>
          </a:endParaRPr>
        </a:p>
        <a:p>
          <a:r>
            <a:rPr lang="nb-NO" sz="900" b="1">
              <a:effectLst/>
              <a:latin typeface="+mn-lt"/>
              <a:ea typeface="+mn-ea"/>
              <a:cs typeface="+mn-cs"/>
            </a:rPr>
            <a:t>Fritidsbåt</a:t>
          </a:r>
          <a:endParaRPr lang="nb-NO" sz="900">
            <a:effectLst/>
            <a:latin typeface="+mn-lt"/>
            <a:ea typeface="+mn-ea"/>
            <a:cs typeface="+mn-cs"/>
          </a:endParaRPr>
        </a:p>
        <a:p>
          <a:r>
            <a:rPr lang="nb-NO" sz="900">
              <a:effectLst/>
              <a:latin typeface="+mn-lt"/>
              <a:ea typeface="+mn-ea"/>
              <a:cs typeface="+mn-cs"/>
            </a:rPr>
            <a:t>Båtskadene følger gjerne sesongen, så 1.halvår er nok ennå ikke da båtene brukes mest; i hvert fall ser det slik ut for i år. Det var først i juli hvor sommervarmen kom. Mens det i fjor var mer sesong i juni. Antall båtskader er 23% færre enn i fjor og erstatningene er 15% lavere. Det er noe mer brann enn i fjor, men andel av de totale erstatningene utgjør bare 10%, mens havari utgjør nesten 50% av totale erstatninger på 659 mill.kr.  </a:t>
          </a:r>
          <a:endParaRPr lang="nb-NO" sz="900" b="0" i="0" baseline="0">
            <a:effectLst/>
            <a:latin typeface="+mn-lt"/>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none" strike="noStrike" kern="0" cap="none" spc="0" normalizeH="0" baseline="0" noProof="0">
              <a:ln>
                <a:noFill/>
              </a:ln>
              <a:solidFill>
                <a:srgbClr val="000000"/>
              </a:solidFill>
              <a:effectLst/>
              <a:uLnTx/>
              <a:uFillTx/>
              <a:latin typeface="Times New Roman"/>
              <a:ea typeface="+mn-ea"/>
              <a:cs typeface="Times New Roman"/>
            </a:rPr>
            <a:t>Formål</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Hovedformålet med statistikken er å skaffe en oversikt over utviklingen av antall skader og erstatningsnivå over tid innen de forskjellige bransjene i landbasert skadeforsikring, fordelt på skadetyper.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none" strike="noStrike" kern="0" cap="none" spc="0" normalizeH="0" baseline="0" noProof="0">
              <a:ln>
                <a:noFill/>
              </a:ln>
              <a:solidFill>
                <a:srgbClr val="000000"/>
              </a:solidFill>
              <a:effectLst/>
              <a:uLnTx/>
              <a:uFillTx/>
              <a:latin typeface="Times New Roman"/>
              <a:ea typeface="+mn-ea"/>
              <a:cs typeface="Times New Roman"/>
            </a:rPr>
            <a:t>Datagrunnlag</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Følgende selskaper inngår i statistikken: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DNB Liv  Eir Försäkring AB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Ergo Forsikring AS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Euro Accident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Fremtind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Frende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Gar-Bo Försäkring AB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Gjensidige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Granne forsikring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HDI Global Specialty SE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If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Jernbanepersonalets bank og forsikring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KLP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KNIF Trygghet Forsikring AS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Landkreditt Forsikring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Ly Forsikring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Nordea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Oslo Forsikring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Oslo Pensjonsforsikring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Protector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Skogbrand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Storebrand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Telenor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Tryg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W. R. Berkley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WaterCircles Forsikring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YouPlus Livsforsikring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Naturskadeutbetalingene</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er holdt utenfor statistikken. Det samme gjelder </a:t>
          </a:r>
          <a:r>
            <a:rPr kumimoji="0" lang="en-US" sz="12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kreditt</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og </a:t>
          </a:r>
          <a:r>
            <a:rPr kumimoji="0" lang="en-US" sz="12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sjøforsikring.</a:t>
          </a:r>
          <a:endParaRPr kumimoji="0" lang="nb-NO"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Prinsipper</a:t>
          </a:r>
          <a:endParaRPr kumimoji="0" lang="en-US" sz="12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kumimoji="0" lang="nb-NO" sz="12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none" strike="noStrike" kern="0" cap="none" spc="0" normalizeH="0" baseline="0" noProof="0">
              <a:ln>
                <a:noFill/>
              </a:ln>
              <a:solidFill>
                <a:srgbClr val="000000"/>
              </a:solidFill>
              <a:effectLst/>
              <a:uLnTx/>
              <a:uFillTx/>
              <a:latin typeface="Times New Roman"/>
              <a:ea typeface="+mn-ea"/>
              <a:cs typeface="Times New Roman"/>
            </a:rPr>
            <a:t>Begreper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Bransjene</a:t>
          </a: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 angir hovedforretnings-områdene i henhold til bransjeinndeling utarbeidet i samarbeid med Finanstilsynet.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Hver bransje er så gruppert etter </a:t>
          </a: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skadetype. </a:t>
          </a: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Det gjøres oppmerksom på at antall skader for de ulike skadetypene under en bransje ikke nødvendigvis er lik totalen, siden en skade kan fordele seg på flere skadetyper.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Anslått erstatning</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Meldt skade</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Med meldt skade menes skade på en forsikring </a:t>
          </a: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meldt</a:t>
          </a: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 til selskapet i den tidsperiode statistikken omfatter (tall hittil i år). I dette begrepet inngår </a:t>
          </a: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ikke</a:t>
          </a: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 de skader som ennå ikke er meldt, j.fr. definisjonen av anslått erstatning. I antall skader inngår også såkalte </a:t>
          </a: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nullskader.</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Gjennomsnittsskade</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Framskriving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none" strike="noStrike" kern="0" cap="none" spc="0" normalizeH="0" baseline="0" noProof="0">
              <a:ln>
                <a:noFill/>
              </a:ln>
              <a:solidFill>
                <a:srgbClr val="000000"/>
              </a:solidFill>
              <a:effectLst/>
              <a:uLnTx/>
              <a:uFillTx/>
              <a:latin typeface="Times New Roman"/>
              <a:ea typeface="+mn-ea"/>
              <a:cs typeface="Times New Roman"/>
            </a:rPr>
            <a:t>Usikkerhet i erstatningsanslagene</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none" strike="noStrike" kern="0" cap="none" spc="0" normalizeH="0" baseline="0" noProof="0">
              <a:ln>
                <a:noFill/>
              </a:ln>
              <a:solidFill>
                <a:srgbClr val="000000"/>
              </a:solidFill>
              <a:effectLst/>
              <a:uLnTx/>
              <a:uFillTx/>
              <a:latin typeface="Times New Roman"/>
              <a:ea typeface="+mn-ea"/>
              <a:cs typeface="Times New Roman"/>
            </a:rPr>
            <a:t>Spesielle merknader</a:t>
          </a: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Brann</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kumimoji="0" lang="nb-NO"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200" b="0" i="1" u="none" strike="noStrike" kern="0" cap="none" spc="0" normalizeH="0" baseline="0" noProof="0">
              <a:ln>
                <a:noFill/>
              </a:ln>
              <a:solidFill>
                <a:srgbClr val="000000"/>
              </a:solidFill>
              <a:effectLst/>
              <a:uLnTx/>
              <a:uFillTx/>
              <a:latin typeface="Times New Roman"/>
              <a:ea typeface="+mn-ea"/>
              <a:cs typeface="Times New Roman"/>
            </a:rPr>
            <a:t>Yrkesskadeforsikring</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0000"/>
              </a:solidFill>
              <a:effectLst/>
              <a:uLnTx/>
              <a:uFillTx/>
              <a:latin typeface="Times New Roman"/>
              <a:ea typeface="+mn-ea"/>
              <a:cs typeface="Times New Roman"/>
            </a:rPr>
            <a:t>Her vises yrkesskader etter lov om yrkesskadeforsikring. Tilleggsdekninger rapporteres under trygghetsforsikring.</a:t>
          </a:r>
          <a:endParaRPr kumimoji="0" lang="nb-NO" sz="1200" b="0" i="0" u="none" strike="noStrike" kern="0" cap="none" spc="0" normalizeH="0" baseline="0" noProof="0">
            <a:ln>
              <a:noFill/>
            </a:ln>
            <a:solidFill>
              <a:srgbClr val="000000"/>
            </a:solidFill>
            <a:effectLst/>
            <a:uLnTx/>
            <a:uFillTx/>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Times New Roman"/>
            <a:ea typeface="+mn-ea"/>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tabSelected="1" zoomScale="65" zoomScaleNormal="65" zoomScaleSheetLayoutView="100" workbookViewId="0">
      <selection activeCell="F80" sqref="F80"/>
    </sheetView>
  </sheetViews>
  <sheetFormatPr defaultColWidth="11.44140625" defaultRowHeight="13.2" x14ac:dyDescent="0.25"/>
  <cols>
    <col min="1" max="1" width="16.33203125" style="138" customWidth="1"/>
    <col min="2" max="4" width="11.44140625" style="138"/>
    <col min="5" max="5" width="14.109375" style="138" bestFit="1" customWidth="1"/>
    <col min="6" max="7" width="11.44140625" style="138"/>
    <col min="8" max="8" width="13.44140625" style="138" customWidth="1"/>
    <col min="9" max="9" width="11.44140625" style="138"/>
    <col min="10" max="10" width="13.44140625" style="138" bestFit="1" customWidth="1"/>
    <col min="11" max="256" width="11.44140625" style="138"/>
    <col min="257" max="257" width="16.33203125" style="138" customWidth="1"/>
    <col min="258" max="260" width="11.44140625" style="138"/>
    <col min="261" max="261" width="14.109375" style="138" bestFit="1" customWidth="1"/>
    <col min="262" max="263" width="11.44140625" style="138"/>
    <col min="264" max="264" width="13.44140625" style="138" customWidth="1"/>
    <col min="265" max="265" width="11.44140625" style="138"/>
    <col min="266" max="266" width="13.44140625" style="138" bestFit="1" customWidth="1"/>
    <col min="267" max="512" width="11.44140625" style="138"/>
    <col min="513" max="513" width="16.33203125" style="138" customWidth="1"/>
    <col min="514" max="516" width="11.44140625" style="138"/>
    <col min="517" max="517" width="14.109375" style="138" bestFit="1" customWidth="1"/>
    <col min="518" max="519" width="11.44140625" style="138"/>
    <col min="520" max="520" width="13.44140625" style="138" customWidth="1"/>
    <col min="521" max="521" width="11.44140625" style="138"/>
    <col min="522" max="522" width="13.44140625" style="138" bestFit="1" customWidth="1"/>
    <col min="523" max="768" width="11.44140625" style="138"/>
    <col min="769" max="769" width="16.33203125" style="138" customWidth="1"/>
    <col min="770" max="772" width="11.44140625" style="138"/>
    <col min="773" max="773" width="14.109375" style="138" bestFit="1" customWidth="1"/>
    <col min="774" max="775" width="11.44140625" style="138"/>
    <col min="776" max="776" width="13.44140625" style="138" customWidth="1"/>
    <col min="777" max="777" width="11.44140625" style="138"/>
    <col min="778" max="778" width="13.44140625" style="138" bestFit="1" customWidth="1"/>
    <col min="779" max="1024" width="11.44140625" style="138"/>
    <col min="1025" max="1025" width="16.33203125" style="138" customWidth="1"/>
    <col min="1026" max="1028" width="11.44140625" style="138"/>
    <col min="1029" max="1029" width="14.109375" style="138" bestFit="1" customWidth="1"/>
    <col min="1030" max="1031" width="11.44140625" style="138"/>
    <col min="1032" max="1032" width="13.44140625" style="138" customWidth="1"/>
    <col min="1033" max="1033" width="11.44140625" style="138"/>
    <col min="1034" max="1034" width="13.44140625" style="138" bestFit="1" customWidth="1"/>
    <col min="1035" max="1280" width="11.44140625" style="138"/>
    <col min="1281" max="1281" width="16.33203125" style="138" customWidth="1"/>
    <col min="1282" max="1284" width="11.44140625" style="138"/>
    <col min="1285" max="1285" width="14.109375" style="138" bestFit="1" customWidth="1"/>
    <col min="1286" max="1287" width="11.44140625" style="138"/>
    <col min="1288" max="1288" width="13.44140625" style="138" customWidth="1"/>
    <col min="1289" max="1289" width="11.44140625" style="138"/>
    <col min="1290" max="1290" width="13.44140625" style="138" bestFit="1" customWidth="1"/>
    <col min="1291" max="1536" width="11.44140625" style="138"/>
    <col min="1537" max="1537" width="16.33203125" style="138" customWidth="1"/>
    <col min="1538" max="1540" width="11.44140625" style="138"/>
    <col min="1541" max="1541" width="14.109375" style="138" bestFit="1" customWidth="1"/>
    <col min="1542" max="1543" width="11.44140625" style="138"/>
    <col min="1544" max="1544" width="13.44140625" style="138" customWidth="1"/>
    <col min="1545" max="1545" width="11.44140625" style="138"/>
    <col min="1546" max="1546" width="13.44140625" style="138" bestFit="1" customWidth="1"/>
    <col min="1547" max="1792" width="11.44140625" style="138"/>
    <col min="1793" max="1793" width="16.33203125" style="138" customWidth="1"/>
    <col min="1794" max="1796" width="11.44140625" style="138"/>
    <col min="1797" max="1797" width="14.109375" style="138" bestFit="1" customWidth="1"/>
    <col min="1798" max="1799" width="11.44140625" style="138"/>
    <col min="1800" max="1800" width="13.44140625" style="138" customWidth="1"/>
    <col min="1801" max="1801" width="11.44140625" style="138"/>
    <col min="1802" max="1802" width="13.44140625" style="138" bestFit="1" customWidth="1"/>
    <col min="1803" max="2048" width="11.44140625" style="138"/>
    <col min="2049" max="2049" width="16.33203125" style="138" customWidth="1"/>
    <col min="2050" max="2052" width="11.44140625" style="138"/>
    <col min="2053" max="2053" width="14.109375" style="138" bestFit="1" customWidth="1"/>
    <col min="2054" max="2055" width="11.44140625" style="138"/>
    <col min="2056" max="2056" width="13.44140625" style="138" customWidth="1"/>
    <col min="2057" max="2057" width="11.44140625" style="138"/>
    <col min="2058" max="2058" width="13.44140625" style="138" bestFit="1" customWidth="1"/>
    <col min="2059" max="2304" width="11.44140625" style="138"/>
    <col min="2305" max="2305" width="16.33203125" style="138" customWidth="1"/>
    <col min="2306" max="2308" width="11.44140625" style="138"/>
    <col min="2309" max="2309" width="14.109375" style="138" bestFit="1" customWidth="1"/>
    <col min="2310" max="2311" width="11.44140625" style="138"/>
    <col min="2312" max="2312" width="13.44140625" style="138" customWidth="1"/>
    <col min="2313" max="2313" width="11.44140625" style="138"/>
    <col min="2314" max="2314" width="13.44140625" style="138" bestFit="1" customWidth="1"/>
    <col min="2315" max="2560" width="11.44140625" style="138"/>
    <col min="2561" max="2561" width="16.33203125" style="138" customWidth="1"/>
    <col min="2562" max="2564" width="11.44140625" style="138"/>
    <col min="2565" max="2565" width="14.109375" style="138" bestFit="1" customWidth="1"/>
    <col min="2566" max="2567" width="11.44140625" style="138"/>
    <col min="2568" max="2568" width="13.44140625" style="138" customWidth="1"/>
    <col min="2569" max="2569" width="11.44140625" style="138"/>
    <col min="2570" max="2570" width="13.44140625" style="138" bestFit="1" customWidth="1"/>
    <col min="2571" max="2816" width="11.44140625" style="138"/>
    <col min="2817" max="2817" width="16.33203125" style="138" customWidth="1"/>
    <col min="2818" max="2820" width="11.44140625" style="138"/>
    <col min="2821" max="2821" width="14.109375" style="138" bestFit="1" customWidth="1"/>
    <col min="2822" max="2823" width="11.44140625" style="138"/>
    <col min="2824" max="2824" width="13.44140625" style="138" customWidth="1"/>
    <col min="2825" max="2825" width="11.44140625" style="138"/>
    <col min="2826" max="2826" width="13.44140625" style="138" bestFit="1" customWidth="1"/>
    <col min="2827" max="3072" width="11.44140625" style="138"/>
    <col min="3073" max="3073" width="16.33203125" style="138" customWidth="1"/>
    <col min="3074" max="3076" width="11.44140625" style="138"/>
    <col min="3077" max="3077" width="14.109375" style="138" bestFit="1" customWidth="1"/>
    <col min="3078" max="3079" width="11.44140625" style="138"/>
    <col min="3080" max="3080" width="13.44140625" style="138" customWidth="1"/>
    <col min="3081" max="3081" width="11.44140625" style="138"/>
    <col min="3082" max="3082" width="13.44140625" style="138" bestFit="1" customWidth="1"/>
    <col min="3083" max="3328" width="11.44140625" style="138"/>
    <col min="3329" max="3329" width="16.33203125" style="138" customWidth="1"/>
    <col min="3330" max="3332" width="11.44140625" style="138"/>
    <col min="3333" max="3333" width="14.109375" style="138" bestFit="1" customWidth="1"/>
    <col min="3334" max="3335" width="11.44140625" style="138"/>
    <col min="3336" max="3336" width="13.44140625" style="138" customWidth="1"/>
    <col min="3337" max="3337" width="11.44140625" style="138"/>
    <col min="3338" max="3338" width="13.44140625" style="138" bestFit="1" customWidth="1"/>
    <col min="3339" max="3584" width="11.44140625" style="138"/>
    <col min="3585" max="3585" width="16.33203125" style="138" customWidth="1"/>
    <col min="3586" max="3588" width="11.44140625" style="138"/>
    <col min="3589" max="3589" width="14.109375" style="138" bestFit="1" customWidth="1"/>
    <col min="3590" max="3591" width="11.44140625" style="138"/>
    <col min="3592" max="3592" width="13.44140625" style="138" customWidth="1"/>
    <col min="3593" max="3593" width="11.44140625" style="138"/>
    <col min="3594" max="3594" width="13.44140625" style="138" bestFit="1" customWidth="1"/>
    <col min="3595" max="3840" width="11.44140625" style="138"/>
    <col min="3841" max="3841" width="16.33203125" style="138" customWidth="1"/>
    <col min="3842" max="3844" width="11.44140625" style="138"/>
    <col min="3845" max="3845" width="14.109375" style="138" bestFit="1" customWidth="1"/>
    <col min="3846" max="3847" width="11.44140625" style="138"/>
    <col min="3848" max="3848" width="13.44140625" style="138" customWidth="1"/>
    <col min="3849" max="3849" width="11.44140625" style="138"/>
    <col min="3850" max="3850" width="13.44140625" style="138" bestFit="1" customWidth="1"/>
    <col min="3851" max="4096" width="11.44140625" style="138"/>
    <col min="4097" max="4097" width="16.33203125" style="138" customWidth="1"/>
    <col min="4098" max="4100" width="11.44140625" style="138"/>
    <col min="4101" max="4101" width="14.109375" style="138" bestFit="1" customWidth="1"/>
    <col min="4102" max="4103" width="11.44140625" style="138"/>
    <col min="4104" max="4104" width="13.44140625" style="138" customWidth="1"/>
    <col min="4105" max="4105" width="11.44140625" style="138"/>
    <col min="4106" max="4106" width="13.44140625" style="138" bestFit="1" customWidth="1"/>
    <col min="4107" max="4352" width="11.44140625" style="138"/>
    <col min="4353" max="4353" width="16.33203125" style="138" customWidth="1"/>
    <col min="4354" max="4356" width="11.44140625" style="138"/>
    <col min="4357" max="4357" width="14.109375" style="138" bestFit="1" customWidth="1"/>
    <col min="4358" max="4359" width="11.44140625" style="138"/>
    <col min="4360" max="4360" width="13.44140625" style="138" customWidth="1"/>
    <col min="4361" max="4361" width="11.44140625" style="138"/>
    <col min="4362" max="4362" width="13.44140625" style="138" bestFit="1" customWidth="1"/>
    <col min="4363" max="4608" width="11.44140625" style="138"/>
    <col min="4609" max="4609" width="16.33203125" style="138" customWidth="1"/>
    <col min="4610" max="4612" width="11.44140625" style="138"/>
    <col min="4613" max="4613" width="14.109375" style="138" bestFit="1" customWidth="1"/>
    <col min="4614" max="4615" width="11.44140625" style="138"/>
    <col min="4616" max="4616" width="13.44140625" style="138" customWidth="1"/>
    <col min="4617" max="4617" width="11.44140625" style="138"/>
    <col min="4618" max="4618" width="13.44140625" style="138" bestFit="1" customWidth="1"/>
    <col min="4619" max="4864" width="11.44140625" style="138"/>
    <col min="4865" max="4865" width="16.33203125" style="138" customWidth="1"/>
    <col min="4866" max="4868" width="11.44140625" style="138"/>
    <col min="4869" max="4869" width="14.109375" style="138" bestFit="1" customWidth="1"/>
    <col min="4870" max="4871" width="11.44140625" style="138"/>
    <col min="4872" max="4872" width="13.44140625" style="138" customWidth="1"/>
    <col min="4873" max="4873" width="11.44140625" style="138"/>
    <col min="4874" max="4874" width="13.44140625" style="138" bestFit="1" customWidth="1"/>
    <col min="4875" max="5120" width="11.44140625" style="138"/>
    <col min="5121" max="5121" width="16.33203125" style="138" customWidth="1"/>
    <col min="5122" max="5124" width="11.44140625" style="138"/>
    <col min="5125" max="5125" width="14.109375" style="138" bestFit="1" customWidth="1"/>
    <col min="5126" max="5127" width="11.44140625" style="138"/>
    <col min="5128" max="5128" width="13.44140625" style="138" customWidth="1"/>
    <col min="5129" max="5129" width="11.44140625" style="138"/>
    <col min="5130" max="5130" width="13.44140625" style="138" bestFit="1" customWidth="1"/>
    <col min="5131" max="5376" width="11.44140625" style="138"/>
    <col min="5377" max="5377" width="16.33203125" style="138" customWidth="1"/>
    <col min="5378" max="5380" width="11.44140625" style="138"/>
    <col min="5381" max="5381" width="14.109375" style="138" bestFit="1" customWidth="1"/>
    <col min="5382" max="5383" width="11.44140625" style="138"/>
    <col min="5384" max="5384" width="13.44140625" style="138" customWidth="1"/>
    <col min="5385" max="5385" width="11.44140625" style="138"/>
    <col min="5386" max="5386" width="13.44140625" style="138" bestFit="1" customWidth="1"/>
    <col min="5387" max="5632" width="11.44140625" style="138"/>
    <col min="5633" max="5633" width="16.33203125" style="138" customWidth="1"/>
    <col min="5634" max="5636" width="11.44140625" style="138"/>
    <col min="5637" max="5637" width="14.109375" style="138" bestFit="1" customWidth="1"/>
    <col min="5638" max="5639" width="11.44140625" style="138"/>
    <col min="5640" max="5640" width="13.44140625" style="138" customWidth="1"/>
    <col min="5641" max="5641" width="11.44140625" style="138"/>
    <col min="5642" max="5642" width="13.44140625" style="138" bestFit="1" customWidth="1"/>
    <col min="5643" max="5888" width="11.44140625" style="138"/>
    <col min="5889" max="5889" width="16.33203125" style="138" customWidth="1"/>
    <col min="5890" max="5892" width="11.44140625" style="138"/>
    <col min="5893" max="5893" width="14.109375" style="138" bestFit="1" customWidth="1"/>
    <col min="5894" max="5895" width="11.44140625" style="138"/>
    <col min="5896" max="5896" width="13.44140625" style="138" customWidth="1"/>
    <col min="5897" max="5897" width="11.44140625" style="138"/>
    <col min="5898" max="5898" width="13.44140625" style="138" bestFit="1" customWidth="1"/>
    <col min="5899" max="6144" width="11.44140625" style="138"/>
    <col min="6145" max="6145" width="16.33203125" style="138" customWidth="1"/>
    <col min="6146" max="6148" width="11.44140625" style="138"/>
    <col min="6149" max="6149" width="14.109375" style="138" bestFit="1" customWidth="1"/>
    <col min="6150" max="6151" width="11.44140625" style="138"/>
    <col min="6152" max="6152" width="13.44140625" style="138" customWidth="1"/>
    <col min="6153" max="6153" width="11.44140625" style="138"/>
    <col min="6154" max="6154" width="13.44140625" style="138" bestFit="1" customWidth="1"/>
    <col min="6155" max="6400" width="11.44140625" style="138"/>
    <col min="6401" max="6401" width="16.33203125" style="138" customWidth="1"/>
    <col min="6402" max="6404" width="11.44140625" style="138"/>
    <col min="6405" max="6405" width="14.109375" style="138" bestFit="1" customWidth="1"/>
    <col min="6406" max="6407" width="11.44140625" style="138"/>
    <col min="6408" max="6408" width="13.44140625" style="138" customWidth="1"/>
    <col min="6409" max="6409" width="11.44140625" style="138"/>
    <col min="6410" max="6410" width="13.44140625" style="138" bestFit="1" customWidth="1"/>
    <col min="6411" max="6656" width="11.44140625" style="138"/>
    <col min="6657" max="6657" width="16.33203125" style="138" customWidth="1"/>
    <col min="6658" max="6660" width="11.44140625" style="138"/>
    <col min="6661" max="6661" width="14.109375" style="138" bestFit="1" customWidth="1"/>
    <col min="6662" max="6663" width="11.44140625" style="138"/>
    <col min="6664" max="6664" width="13.44140625" style="138" customWidth="1"/>
    <col min="6665" max="6665" width="11.44140625" style="138"/>
    <col min="6666" max="6666" width="13.44140625" style="138" bestFit="1" customWidth="1"/>
    <col min="6667" max="6912" width="11.44140625" style="138"/>
    <col min="6913" max="6913" width="16.33203125" style="138" customWidth="1"/>
    <col min="6914" max="6916" width="11.44140625" style="138"/>
    <col min="6917" max="6917" width="14.109375" style="138" bestFit="1" customWidth="1"/>
    <col min="6918" max="6919" width="11.44140625" style="138"/>
    <col min="6920" max="6920" width="13.44140625" style="138" customWidth="1"/>
    <col min="6921" max="6921" width="11.44140625" style="138"/>
    <col min="6922" max="6922" width="13.44140625" style="138" bestFit="1" customWidth="1"/>
    <col min="6923" max="7168" width="11.44140625" style="138"/>
    <col min="7169" max="7169" width="16.33203125" style="138" customWidth="1"/>
    <col min="7170" max="7172" width="11.44140625" style="138"/>
    <col min="7173" max="7173" width="14.109375" style="138" bestFit="1" customWidth="1"/>
    <col min="7174" max="7175" width="11.44140625" style="138"/>
    <col min="7176" max="7176" width="13.44140625" style="138" customWidth="1"/>
    <col min="7177" max="7177" width="11.44140625" style="138"/>
    <col min="7178" max="7178" width="13.44140625" style="138" bestFit="1" customWidth="1"/>
    <col min="7179" max="7424" width="11.44140625" style="138"/>
    <col min="7425" max="7425" width="16.33203125" style="138" customWidth="1"/>
    <col min="7426" max="7428" width="11.44140625" style="138"/>
    <col min="7429" max="7429" width="14.109375" style="138" bestFit="1" customWidth="1"/>
    <col min="7430" max="7431" width="11.44140625" style="138"/>
    <col min="7432" max="7432" width="13.44140625" style="138" customWidth="1"/>
    <col min="7433" max="7433" width="11.44140625" style="138"/>
    <col min="7434" max="7434" width="13.44140625" style="138" bestFit="1" customWidth="1"/>
    <col min="7435" max="7680" width="11.44140625" style="138"/>
    <col min="7681" max="7681" width="16.33203125" style="138" customWidth="1"/>
    <col min="7682" max="7684" width="11.44140625" style="138"/>
    <col min="7685" max="7685" width="14.109375" style="138" bestFit="1" customWidth="1"/>
    <col min="7686" max="7687" width="11.44140625" style="138"/>
    <col min="7688" max="7688" width="13.44140625" style="138" customWidth="1"/>
    <col min="7689" max="7689" width="11.44140625" style="138"/>
    <col min="7690" max="7690" width="13.44140625" style="138" bestFit="1" customWidth="1"/>
    <col min="7691" max="7936" width="11.44140625" style="138"/>
    <col min="7937" max="7937" width="16.33203125" style="138" customWidth="1"/>
    <col min="7938" max="7940" width="11.44140625" style="138"/>
    <col min="7941" max="7941" width="14.109375" style="138" bestFit="1" customWidth="1"/>
    <col min="7942" max="7943" width="11.44140625" style="138"/>
    <col min="7944" max="7944" width="13.44140625" style="138" customWidth="1"/>
    <col min="7945" max="7945" width="11.44140625" style="138"/>
    <col min="7946" max="7946" width="13.44140625" style="138" bestFit="1" customWidth="1"/>
    <col min="7947" max="8192" width="11.44140625" style="138"/>
    <col min="8193" max="8193" width="16.33203125" style="138" customWidth="1"/>
    <col min="8194" max="8196" width="11.44140625" style="138"/>
    <col min="8197" max="8197" width="14.109375" style="138" bestFit="1" customWidth="1"/>
    <col min="8198" max="8199" width="11.44140625" style="138"/>
    <col min="8200" max="8200" width="13.44140625" style="138" customWidth="1"/>
    <col min="8201" max="8201" width="11.44140625" style="138"/>
    <col min="8202" max="8202" width="13.44140625" style="138" bestFit="1" customWidth="1"/>
    <col min="8203" max="8448" width="11.44140625" style="138"/>
    <col min="8449" max="8449" width="16.33203125" style="138" customWidth="1"/>
    <col min="8450" max="8452" width="11.44140625" style="138"/>
    <col min="8453" max="8453" width="14.109375" style="138" bestFit="1" customWidth="1"/>
    <col min="8454" max="8455" width="11.44140625" style="138"/>
    <col min="8456" max="8456" width="13.44140625" style="138" customWidth="1"/>
    <col min="8457" max="8457" width="11.44140625" style="138"/>
    <col min="8458" max="8458" width="13.44140625" style="138" bestFit="1" customWidth="1"/>
    <col min="8459" max="8704" width="11.44140625" style="138"/>
    <col min="8705" max="8705" width="16.33203125" style="138" customWidth="1"/>
    <col min="8706" max="8708" width="11.44140625" style="138"/>
    <col min="8709" max="8709" width="14.109375" style="138" bestFit="1" customWidth="1"/>
    <col min="8710" max="8711" width="11.44140625" style="138"/>
    <col min="8712" max="8712" width="13.44140625" style="138" customWidth="1"/>
    <col min="8713" max="8713" width="11.44140625" style="138"/>
    <col min="8714" max="8714" width="13.44140625" style="138" bestFit="1" customWidth="1"/>
    <col min="8715" max="8960" width="11.44140625" style="138"/>
    <col min="8961" max="8961" width="16.33203125" style="138" customWidth="1"/>
    <col min="8962" max="8964" width="11.44140625" style="138"/>
    <col min="8965" max="8965" width="14.109375" style="138" bestFit="1" customWidth="1"/>
    <col min="8966" max="8967" width="11.44140625" style="138"/>
    <col min="8968" max="8968" width="13.44140625" style="138" customWidth="1"/>
    <col min="8969" max="8969" width="11.44140625" style="138"/>
    <col min="8970" max="8970" width="13.44140625" style="138" bestFit="1" customWidth="1"/>
    <col min="8971" max="9216" width="11.44140625" style="138"/>
    <col min="9217" max="9217" width="16.33203125" style="138" customWidth="1"/>
    <col min="9218" max="9220" width="11.44140625" style="138"/>
    <col min="9221" max="9221" width="14.109375" style="138" bestFit="1" customWidth="1"/>
    <col min="9222" max="9223" width="11.44140625" style="138"/>
    <col min="9224" max="9224" width="13.44140625" style="138" customWidth="1"/>
    <col min="9225" max="9225" width="11.44140625" style="138"/>
    <col min="9226" max="9226" width="13.44140625" style="138" bestFit="1" customWidth="1"/>
    <col min="9227" max="9472" width="11.44140625" style="138"/>
    <col min="9473" max="9473" width="16.33203125" style="138" customWidth="1"/>
    <col min="9474" max="9476" width="11.44140625" style="138"/>
    <col min="9477" max="9477" width="14.109375" style="138" bestFit="1" customWidth="1"/>
    <col min="9478" max="9479" width="11.44140625" style="138"/>
    <col min="9480" max="9480" width="13.44140625" style="138" customWidth="1"/>
    <col min="9481" max="9481" width="11.44140625" style="138"/>
    <col min="9482" max="9482" width="13.44140625" style="138" bestFit="1" customWidth="1"/>
    <col min="9483" max="9728" width="11.44140625" style="138"/>
    <col min="9729" max="9729" width="16.33203125" style="138" customWidth="1"/>
    <col min="9730" max="9732" width="11.44140625" style="138"/>
    <col min="9733" max="9733" width="14.109375" style="138" bestFit="1" customWidth="1"/>
    <col min="9734" max="9735" width="11.44140625" style="138"/>
    <col min="9736" max="9736" width="13.44140625" style="138" customWidth="1"/>
    <col min="9737" max="9737" width="11.44140625" style="138"/>
    <col min="9738" max="9738" width="13.44140625" style="138" bestFit="1" customWidth="1"/>
    <col min="9739" max="9984" width="11.44140625" style="138"/>
    <col min="9985" max="9985" width="16.33203125" style="138" customWidth="1"/>
    <col min="9986" max="9988" width="11.44140625" style="138"/>
    <col min="9989" max="9989" width="14.109375" style="138" bestFit="1" customWidth="1"/>
    <col min="9990" max="9991" width="11.44140625" style="138"/>
    <col min="9992" max="9992" width="13.44140625" style="138" customWidth="1"/>
    <col min="9993" max="9993" width="11.44140625" style="138"/>
    <col min="9994" max="9994" width="13.44140625" style="138" bestFit="1" customWidth="1"/>
    <col min="9995" max="10240" width="11.44140625" style="138"/>
    <col min="10241" max="10241" width="16.33203125" style="138" customWidth="1"/>
    <col min="10242" max="10244" width="11.44140625" style="138"/>
    <col min="10245" max="10245" width="14.109375" style="138" bestFit="1" customWidth="1"/>
    <col min="10246" max="10247" width="11.44140625" style="138"/>
    <col min="10248" max="10248" width="13.44140625" style="138" customWidth="1"/>
    <col min="10249" max="10249" width="11.44140625" style="138"/>
    <col min="10250" max="10250" width="13.44140625" style="138" bestFit="1" customWidth="1"/>
    <col min="10251" max="10496" width="11.44140625" style="138"/>
    <col min="10497" max="10497" width="16.33203125" style="138" customWidth="1"/>
    <col min="10498" max="10500" width="11.44140625" style="138"/>
    <col min="10501" max="10501" width="14.109375" style="138" bestFit="1" customWidth="1"/>
    <col min="10502" max="10503" width="11.44140625" style="138"/>
    <col min="10504" max="10504" width="13.44140625" style="138" customWidth="1"/>
    <col min="10505" max="10505" width="11.44140625" style="138"/>
    <col min="10506" max="10506" width="13.44140625" style="138" bestFit="1" customWidth="1"/>
    <col min="10507" max="10752" width="11.44140625" style="138"/>
    <col min="10753" max="10753" width="16.33203125" style="138" customWidth="1"/>
    <col min="10754" max="10756" width="11.44140625" style="138"/>
    <col min="10757" max="10757" width="14.109375" style="138" bestFit="1" customWidth="1"/>
    <col min="10758" max="10759" width="11.44140625" style="138"/>
    <col min="10760" max="10760" width="13.44140625" style="138" customWidth="1"/>
    <col min="10761" max="10761" width="11.44140625" style="138"/>
    <col min="10762" max="10762" width="13.44140625" style="138" bestFit="1" customWidth="1"/>
    <col min="10763" max="11008" width="11.44140625" style="138"/>
    <col min="11009" max="11009" width="16.33203125" style="138" customWidth="1"/>
    <col min="11010" max="11012" width="11.44140625" style="138"/>
    <col min="11013" max="11013" width="14.109375" style="138" bestFit="1" customWidth="1"/>
    <col min="11014" max="11015" width="11.44140625" style="138"/>
    <col min="11016" max="11016" width="13.44140625" style="138" customWidth="1"/>
    <col min="11017" max="11017" width="11.44140625" style="138"/>
    <col min="11018" max="11018" width="13.44140625" style="138" bestFit="1" customWidth="1"/>
    <col min="11019" max="11264" width="11.44140625" style="138"/>
    <col min="11265" max="11265" width="16.33203125" style="138" customWidth="1"/>
    <col min="11266" max="11268" width="11.44140625" style="138"/>
    <col min="11269" max="11269" width="14.109375" style="138" bestFit="1" customWidth="1"/>
    <col min="11270" max="11271" width="11.44140625" style="138"/>
    <col min="11272" max="11272" width="13.44140625" style="138" customWidth="1"/>
    <col min="11273" max="11273" width="11.44140625" style="138"/>
    <col min="11274" max="11274" width="13.44140625" style="138" bestFit="1" customWidth="1"/>
    <col min="11275" max="11520" width="11.44140625" style="138"/>
    <col min="11521" max="11521" width="16.33203125" style="138" customWidth="1"/>
    <col min="11522" max="11524" width="11.44140625" style="138"/>
    <col min="11525" max="11525" width="14.109375" style="138" bestFit="1" customWidth="1"/>
    <col min="11526" max="11527" width="11.44140625" style="138"/>
    <col min="11528" max="11528" width="13.44140625" style="138" customWidth="1"/>
    <col min="11529" max="11529" width="11.44140625" style="138"/>
    <col min="11530" max="11530" width="13.44140625" style="138" bestFit="1" customWidth="1"/>
    <col min="11531" max="11776" width="11.44140625" style="138"/>
    <col min="11777" max="11777" width="16.33203125" style="138" customWidth="1"/>
    <col min="11778" max="11780" width="11.44140625" style="138"/>
    <col min="11781" max="11781" width="14.109375" style="138" bestFit="1" customWidth="1"/>
    <col min="11782" max="11783" width="11.44140625" style="138"/>
    <col min="11784" max="11784" width="13.44140625" style="138" customWidth="1"/>
    <col min="11785" max="11785" width="11.44140625" style="138"/>
    <col min="11786" max="11786" width="13.44140625" style="138" bestFit="1" customWidth="1"/>
    <col min="11787" max="12032" width="11.44140625" style="138"/>
    <col min="12033" max="12033" width="16.33203125" style="138" customWidth="1"/>
    <col min="12034" max="12036" width="11.44140625" style="138"/>
    <col min="12037" max="12037" width="14.109375" style="138" bestFit="1" customWidth="1"/>
    <col min="12038" max="12039" width="11.44140625" style="138"/>
    <col min="12040" max="12040" width="13.44140625" style="138" customWidth="1"/>
    <col min="12041" max="12041" width="11.44140625" style="138"/>
    <col min="12042" max="12042" width="13.44140625" style="138" bestFit="1" customWidth="1"/>
    <col min="12043" max="12288" width="11.44140625" style="138"/>
    <col min="12289" max="12289" width="16.33203125" style="138" customWidth="1"/>
    <col min="12290" max="12292" width="11.44140625" style="138"/>
    <col min="12293" max="12293" width="14.109375" style="138" bestFit="1" customWidth="1"/>
    <col min="12294" max="12295" width="11.44140625" style="138"/>
    <col min="12296" max="12296" width="13.44140625" style="138" customWidth="1"/>
    <col min="12297" max="12297" width="11.44140625" style="138"/>
    <col min="12298" max="12298" width="13.44140625" style="138" bestFit="1" customWidth="1"/>
    <col min="12299" max="12544" width="11.44140625" style="138"/>
    <col min="12545" max="12545" width="16.33203125" style="138" customWidth="1"/>
    <col min="12546" max="12548" width="11.44140625" style="138"/>
    <col min="12549" max="12549" width="14.109375" style="138" bestFit="1" customWidth="1"/>
    <col min="12550" max="12551" width="11.44140625" style="138"/>
    <col min="12552" max="12552" width="13.44140625" style="138" customWidth="1"/>
    <col min="12553" max="12553" width="11.44140625" style="138"/>
    <col min="12554" max="12554" width="13.44140625" style="138" bestFit="1" customWidth="1"/>
    <col min="12555" max="12800" width="11.44140625" style="138"/>
    <col min="12801" max="12801" width="16.33203125" style="138" customWidth="1"/>
    <col min="12802" max="12804" width="11.44140625" style="138"/>
    <col min="12805" max="12805" width="14.109375" style="138" bestFit="1" customWidth="1"/>
    <col min="12806" max="12807" width="11.44140625" style="138"/>
    <col min="12808" max="12808" width="13.44140625" style="138" customWidth="1"/>
    <col min="12809" max="12809" width="11.44140625" style="138"/>
    <col min="12810" max="12810" width="13.44140625" style="138" bestFit="1" customWidth="1"/>
    <col min="12811" max="13056" width="11.44140625" style="138"/>
    <col min="13057" max="13057" width="16.33203125" style="138" customWidth="1"/>
    <col min="13058" max="13060" width="11.44140625" style="138"/>
    <col min="13061" max="13061" width="14.109375" style="138" bestFit="1" customWidth="1"/>
    <col min="13062" max="13063" width="11.44140625" style="138"/>
    <col min="13064" max="13064" width="13.44140625" style="138" customWidth="1"/>
    <col min="13065" max="13065" width="11.44140625" style="138"/>
    <col min="13066" max="13066" width="13.44140625" style="138" bestFit="1" customWidth="1"/>
    <col min="13067" max="13312" width="11.44140625" style="138"/>
    <col min="13313" max="13313" width="16.33203125" style="138" customWidth="1"/>
    <col min="13314" max="13316" width="11.44140625" style="138"/>
    <col min="13317" max="13317" width="14.109375" style="138" bestFit="1" customWidth="1"/>
    <col min="13318" max="13319" width="11.44140625" style="138"/>
    <col min="13320" max="13320" width="13.44140625" style="138" customWidth="1"/>
    <col min="13321" max="13321" width="11.44140625" style="138"/>
    <col min="13322" max="13322" width="13.44140625" style="138" bestFit="1" customWidth="1"/>
    <col min="13323" max="13568" width="11.44140625" style="138"/>
    <col min="13569" max="13569" width="16.33203125" style="138" customWidth="1"/>
    <col min="13570" max="13572" width="11.44140625" style="138"/>
    <col min="13573" max="13573" width="14.109375" style="138" bestFit="1" customWidth="1"/>
    <col min="13574" max="13575" width="11.44140625" style="138"/>
    <col min="13576" max="13576" width="13.44140625" style="138" customWidth="1"/>
    <col min="13577" max="13577" width="11.44140625" style="138"/>
    <col min="13578" max="13578" width="13.44140625" style="138" bestFit="1" customWidth="1"/>
    <col min="13579" max="13824" width="11.44140625" style="138"/>
    <col min="13825" max="13825" width="16.33203125" style="138" customWidth="1"/>
    <col min="13826" max="13828" width="11.44140625" style="138"/>
    <col min="13829" max="13829" width="14.109375" style="138" bestFit="1" customWidth="1"/>
    <col min="13830" max="13831" width="11.44140625" style="138"/>
    <col min="13832" max="13832" width="13.44140625" style="138" customWidth="1"/>
    <col min="13833" max="13833" width="11.44140625" style="138"/>
    <col min="13834" max="13834" width="13.44140625" style="138" bestFit="1" customWidth="1"/>
    <col min="13835" max="14080" width="11.44140625" style="138"/>
    <col min="14081" max="14081" width="16.33203125" style="138" customWidth="1"/>
    <col min="14082" max="14084" width="11.44140625" style="138"/>
    <col min="14085" max="14085" width="14.109375" style="138" bestFit="1" customWidth="1"/>
    <col min="14086" max="14087" width="11.44140625" style="138"/>
    <col min="14088" max="14088" width="13.44140625" style="138" customWidth="1"/>
    <col min="14089" max="14089" width="11.44140625" style="138"/>
    <col min="14090" max="14090" width="13.44140625" style="138" bestFit="1" customWidth="1"/>
    <col min="14091" max="14336" width="11.44140625" style="138"/>
    <col min="14337" max="14337" width="16.33203125" style="138" customWidth="1"/>
    <col min="14338" max="14340" width="11.44140625" style="138"/>
    <col min="14341" max="14341" width="14.109375" style="138" bestFit="1" customWidth="1"/>
    <col min="14342" max="14343" width="11.44140625" style="138"/>
    <col min="14344" max="14344" width="13.44140625" style="138" customWidth="1"/>
    <col min="14345" max="14345" width="11.44140625" style="138"/>
    <col min="14346" max="14346" width="13.44140625" style="138" bestFit="1" customWidth="1"/>
    <col min="14347" max="14592" width="11.44140625" style="138"/>
    <col min="14593" max="14593" width="16.33203125" style="138" customWidth="1"/>
    <col min="14594" max="14596" width="11.44140625" style="138"/>
    <col min="14597" max="14597" width="14.109375" style="138" bestFit="1" customWidth="1"/>
    <col min="14598" max="14599" width="11.44140625" style="138"/>
    <col min="14600" max="14600" width="13.44140625" style="138" customWidth="1"/>
    <col min="14601" max="14601" width="11.44140625" style="138"/>
    <col min="14602" max="14602" width="13.44140625" style="138" bestFit="1" customWidth="1"/>
    <col min="14603" max="14848" width="11.44140625" style="138"/>
    <col min="14849" max="14849" width="16.33203125" style="138" customWidth="1"/>
    <col min="14850" max="14852" width="11.44140625" style="138"/>
    <col min="14853" max="14853" width="14.109375" style="138" bestFit="1" customWidth="1"/>
    <col min="14854" max="14855" width="11.44140625" style="138"/>
    <col min="14856" max="14856" width="13.44140625" style="138" customWidth="1"/>
    <col min="14857" max="14857" width="11.44140625" style="138"/>
    <col min="14858" max="14858" width="13.44140625" style="138" bestFit="1" customWidth="1"/>
    <col min="14859" max="15104" width="11.44140625" style="138"/>
    <col min="15105" max="15105" width="16.33203125" style="138" customWidth="1"/>
    <col min="15106" max="15108" width="11.44140625" style="138"/>
    <col min="15109" max="15109" width="14.109375" style="138" bestFit="1" customWidth="1"/>
    <col min="15110" max="15111" width="11.44140625" style="138"/>
    <col min="15112" max="15112" width="13.44140625" style="138" customWidth="1"/>
    <col min="15113" max="15113" width="11.44140625" style="138"/>
    <col min="15114" max="15114" width="13.44140625" style="138" bestFit="1" customWidth="1"/>
    <col min="15115" max="15360" width="11.44140625" style="138"/>
    <col min="15361" max="15361" width="16.33203125" style="138" customWidth="1"/>
    <col min="15362" max="15364" width="11.44140625" style="138"/>
    <col min="15365" max="15365" width="14.109375" style="138" bestFit="1" customWidth="1"/>
    <col min="15366" max="15367" width="11.44140625" style="138"/>
    <col min="15368" max="15368" width="13.44140625" style="138" customWidth="1"/>
    <col min="15369" max="15369" width="11.44140625" style="138"/>
    <col min="15370" max="15370" width="13.44140625" style="138" bestFit="1" customWidth="1"/>
    <col min="15371" max="15616" width="11.44140625" style="138"/>
    <col min="15617" max="15617" width="16.33203125" style="138" customWidth="1"/>
    <col min="15618" max="15620" width="11.44140625" style="138"/>
    <col min="15621" max="15621" width="14.109375" style="138" bestFit="1" customWidth="1"/>
    <col min="15622" max="15623" width="11.44140625" style="138"/>
    <col min="15624" max="15624" width="13.44140625" style="138" customWidth="1"/>
    <col min="15625" max="15625" width="11.44140625" style="138"/>
    <col min="15626" max="15626" width="13.44140625" style="138" bestFit="1" customWidth="1"/>
    <col min="15627" max="15872" width="11.44140625" style="138"/>
    <col min="15873" max="15873" width="16.33203125" style="138" customWidth="1"/>
    <col min="15874" max="15876" width="11.44140625" style="138"/>
    <col min="15877" max="15877" width="14.109375" style="138" bestFit="1" customWidth="1"/>
    <col min="15878" max="15879" width="11.44140625" style="138"/>
    <col min="15880" max="15880" width="13.44140625" style="138" customWidth="1"/>
    <col min="15881" max="15881" width="11.44140625" style="138"/>
    <col min="15882" max="15882" width="13.44140625" style="138" bestFit="1" customWidth="1"/>
    <col min="15883" max="16128" width="11.44140625" style="138"/>
    <col min="16129" max="16129" width="16.33203125" style="138" customWidth="1"/>
    <col min="16130" max="16132" width="11.44140625" style="138"/>
    <col min="16133" max="16133" width="14.109375" style="138" bestFit="1" customWidth="1"/>
    <col min="16134" max="16135" width="11.44140625" style="138"/>
    <col min="16136" max="16136" width="13.44140625" style="138" customWidth="1"/>
    <col min="16137" max="16137" width="11.44140625" style="138"/>
    <col min="16138" max="16138" width="13.44140625" style="138" bestFit="1" customWidth="1"/>
    <col min="16139" max="16384" width="11.44140625" style="138"/>
  </cols>
  <sheetData>
    <row r="5" spans="2:9" x14ac:dyDescent="0.25">
      <c r="B5" s="137"/>
      <c r="C5" s="137"/>
      <c r="D5" s="137"/>
      <c r="E5" s="137"/>
      <c r="F5" s="137"/>
      <c r="G5" s="137"/>
      <c r="H5" s="137"/>
    </row>
    <row r="6" spans="2:9" ht="22.8" x14ac:dyDescent="0.4">
      <c r="B6" s="139"/>
      <c r="C6" s="137"/>
      <c r="D6" s="137"/>
      <c r="E6" s="137"/>
      <c r="F6" s="137"/>
      <c r="G6" s="137"/>
      <c r="H6" s="137"/>
      <c r="I6" s="140"/>
    </row>
    <row r="7" spans="2:9" x14ac:dyDescent="0.25">
      <c r="B7" s="137"/>
      <c r="C7" s="137"/>
      <c r="D7" s="137"/>
      <c r="E7" s="137"/>
      <c r="F7" s="137"/>
      <c r="G7" s="137"/>
      <c r="H7" s="137"/>
      <c r="I7" s="137"/>
    </row>
    <row r="8" spans="2:9" x14ac:dyDescent="0.25">
      <c r="B8" s="137"/>
      <c r="C8" s="137"/>
      <c r="D8" s="137"/>
      <c r="F8" s="137"/>
      <c r="G8" s="137"/>
      <c r="H8" s="137"/>
    </row>
    <row r="9" spans="2:9" x14ac:dyDescent="0.25">
      <c r="B9" s="137"/>
      <c r="C9" s="137"/>
      <c r="D9" s="137"/>
      <c r="E9" s="137"/>
      <c r="F9" s="137"/>
      <c r="G9" s="137"/>
      <c r="H9" s="137"/>
    </row>
    <row r="10" spans="2:9" ht="22.8" x14ac:dyDescent="0.4">
      <c r="B10" s="137"/>
      <c r="C10" s="137"/>
      <c r="D10" s="137"/>
      <c r="I10" s="140"/>
    </row>
    <row r="11" spans="2:9" x14ac:dyDescent="0.25">
      <c r="B11" s="137"/>
      <c r="C11" s="137"/>
      <c r="D11" s="137"/>
    </row>
    <row r="12" spans="2:9" ht="27" customHeight="1" x14ac:dyDescent="0.4">
      <c r="B12" s="137"/>
      <c r="C12" s="137"/>
      <c r="D12" s="137"/>
      <c r="E12" s="137"/>
      <c r="F12" s="137"/>
      <c r="G12" s="137"/>
      <c r="H12" s="137"/>
      <c r="I12" s="140"/>
    </row>
    <row r="13" spans="2:9" ht="19.5" customHeight="1" x14ac:dyDescent="0.4">
      <c r="B13" s="137"/>
      <c r="C13" s="141"/>
      <c r="D13" s="141"/>
      <c r="E13" s="141"/>
      <c r="F13" s="141"/>
      <c r="G13" s="141"/>
      <c r="H13" s="141"/>
      <c r="I13" s="140"/>
    </row>
    <row r="14" spans="2:9" x14ac:dyDescent="0.25">
      <c r="B14" s="137"/>
      <c r="C14" s="137"/>
      <c r="D14" s="137"/>
      <c r="F14" s="137"/>
      <c r="G14" s="137"/>
      <c r="H14" s="137"/>
    </row>
    <row r="15" spans="2:9" x14ac:dyDescent="0.25">
      <c r="B15" s="137"/>
      <c r="C15" s="137"/>
      <c r="D15" s="137"/>
      <c r="F15" s="137"/>
      <c r="G15" s="137"/>
      <c r="H15" s="137"/>
      <c r="I15" s="137"/>
    </row>
    <row r="16" spans="2:9" ht="34.799999999999997" x14ac:dyDescent="0.55000000000000004">
      <c r="B16" s="137"/>
      <c r="C16" s="137"/>
      <c r="D16" s="137"/>
      <c r="E16" s="142"/>
      <c r="F16" s="137"/>
      <c r="G16" s="137"/>
      <c r="H16" s="137"/>
      <c r="I16" s="137"/>
    </row>
    <row r="17" spans="2:9" ht="32.4" x14ac:dyDescent="0.55000000000000004">
      <c r="B17" s="137"/>
      <c r="C17" s="137"/>
      <c r="D17" s="137"/>
      <c r="E17" s="143"/>
      <c r="F17" s="137"/>
      <c r="G17" s="137"/>
      <c r="H17" s="137"/>
      <c r="I17" s="137"/>
    </row>
    <row r="18" spans="2:9" ht="32.4" x14ac:dyDescent="0.55000000000000004">
      <c r="D18" s="143"/>
    </row>
    <row r="19" spans="2:9" ht="18" x14ac:dyDescent="0.35">
      <c r="E19" s="144"/>
      <c r="I19" s="145"/>
    </row>
    <row r="21" spans="2:9" x14ac:dyDescent="0.25">
      <c r="E21" s="146"/>
    </row>
    <row r="22" spans="2:9" ht="25.8" x14ac:dyDescent="0.5">
      <c r="E22" s="147"/>
    </row>
    <row r="25" spans="2:9" ht="18" x14ac:dyDescent="0.35">
      <c r="E25" s="148"/>
    </row>
    <row r="26" spans="2:9" ht="18" x14ac:dyDescent="0.35">
      <c r="E26" s="149"/>
    </row>
    <row r="28" spans="2:9" x14ac:dyDescent="0.25">
      <c r="D28" s="141"/>
      <c r="E28" s="141"/>
      <c r="F28" s="141"/>
      <c r="G28" s="141"/>
      <c r="H28" s="141"/>
    </row>
    <row r="33" spans="1:9" ht="35.4" x14ac:dyDescent="0.25">
      <c r="A33" s="150"/>
    </row>
    <row r="36" spans="1:9" ht="32.4" x14ac:dyDescent="0.25">
      <c r="B36" s="151"/>
    </row>
    <row r="39" spans="1:9" ht="17.399999999999999" x14ac:dyDescent="0.3">
      <c r="B39" s="152"/>
    </row>
    <row r="41" spans="1:9" ht="18" x14ac:dyDescent="0.35">
      <c r="I41" s="153"/>
    </row>
    <row r="43" spans="1:9" ht="18" x14ac:dyDescent="0.35">
      <c r="B43" s="186"/>
      <c r="C43" s="186"/>
      <c r="D43" s="186"/>
    </row>
    <row r="57" spans="10:10" ht="18" x14ac:dyDescent="0.35">
      <c r="J57" s="154"/>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zoomScaleNormal="100" workbookViewId="0">
      <selection activeCell="A6" sqref="A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42</v>
      </c>
      <c r="B7" s="19" t="s">
        <v>3</v>
      </c>
      <c r="C7" s="20">
        <v>264402.51689077239</v>
      </c>
      <c r="D7" s="20">
        <v>273712.21559497027</v>
      </c>
      <c r="E7" s="21">
        <v>251553.61849691832</v>
      </c>
      <c r="F7" s="22" t="s">
        <v>240</v>
      </c>
      <c r="G7" s="23">
        <v>-4.8595976108510683</v>
      </c>
      <c r="H7" s="24">
        <v>-8.0955820878822067</v>
      </c>
    </row>
    <row r="8" spans="1:8" x14ac:dyDescent="0.25">
      <c r="A8" s="193"/>
      <c r="B8" s="25" t="s">
        <v>241</v>
      </c>
      <c r="C8" s="26">
        <v>119152.60463492846</v>
      </c>
      <c r="D8" s="26">
        <v>133839.25844538619</v>
      </c>
      <c r="E8" s="26">
        <v>119613</v>
      </c>
      <c r="F8" s="27"/>
      <c r="G8" s="28">
        <v>0.38639135626294774</v>
      </c>
      <c r="H8" s="29">
        <v>-10.629361377694195</v>
      </c>
    </row>
    <row r="9" spans="1:8" x14ac:dyDescent="0.25">
      <c r="A9" s="30" t="s">
        <v>18</v>
      </c>
      <c r="B9" s="31" t="s">
        <v>3</v>
      </c>
      <c r="C9" s="20">
        <v>12282.251773913044</v>
      </c>
      <c r="D9" s="20">
        <v>14044.788765217392</v>
      </c>
      <c r="E9" s="21">
        <v>11037.111397176173</v>
      </c>
      <c r="F9" s="22" t="s">
        <v>240</v>
      </c>
      <c r="G9" s="32">
        <v>-10.137720669279005</v>
      </c>
      <c r="H9" s="33">
        <v>-21.414899279153843</v>
      </c>
    </row>
    <row r="10" spans="1:8" x14ac:dyDescent="0.25">
      <c r="A10" s="34"/>
      <c r="B10" s="25" t="s">
        <v>241</v>
      </c>
      <c r="C10" s="26">
        <v>4613.5761807292838</v>
      </c>
      <c r="D10" s="26">
        <v>7133.6258869565218</v>
      </c>
      <c r="E10" s="26">
        <v>5017</v>
      </c>
      <c r="F10" s="27"/>
      <c r="G10" s="35">
        <v>8.7442756652811084</v>
      </c>
      <c r="H10" s="29">
        <v>-29.671108640932047</v>
      </c>
    </row>
    <row r="11" spans="1:8" x14ac:dyDescent="0.25">
      <c r="A11" s="30" t="s">
        <v>19</v>
      </c>
      <c r="B11" s="31" t="s">
        <v>3</v>
      </c>
      <c r="C11" s="20">
        <v>16709.505913043478</v>
      </c>
      <c r="D11" s="20">
        <v>16971.629217391303</v>
      </c>
      <c r="E11" s="21">
        <v>13417.481722766322</v>
      </c>
      <c r="F11" s="22" t="s">
        <v>240</v>
      </c>
      <c r="G11" s="37">
        <v>-19.701505283333333</v>
      </c>
      <c r="H11" s="33">
        <v>-20.941698932374422</v>
      </c>
    </row>
    <row r="12" spans="1:8" x14ac:dyDescent="0.25">
      <c r="A12" s="34"/>
      <c r="B12" s="25" t="s">
        <v>241</v>
      </c>
      <c r="C12" s="26">
        <v>5841.8152486037898</v>
      </c>
      <c r="D12" s="26">
        <v>9615.7529565217392</v>
      </c>
      <c r="E12" s="26">
        <v>6299</v>
      </c>
      <c r="F12" s="27"/>
      <c r="G12" s="28">
        <v>7.8260734367708409</v>
      </c>
      <c r="H12" s="29">
        <v>-34.492909411448665</v>
      </c>
    </row>
    <row r="13" spans="1:8" x14ac:dyDescent="0.25">
      <c r="A13" s="30" t="s">
        <v>20</v>
      </c>
      <c r="B13" s="31" t="s">
        <v>3</v>
      </c>
      <c r="C13" s="20">
        <v>32782.336149068324</v>
      </c>
      <c r="D13" s="20">
        <v>34705.013913043476</v>
      </c>
      <c r="E13" s="21">
        <v>32075.743456804768</v>
      </c>
      <c r="F13" s="22" t="s">
        <v>240</v>
      </c>
      <c r="G13" s="23">
        <v>-2.1554067686040668</v>
      </c>
      <c r="H13" s="24">
        <v>-7.5760536008617692</v>
      </c>
    </row>
    <row r="14" spans="1:8" x14ac:dyDescent="0.25">
      <c r="A14" s="34"/>
      <c r="B14" s="25" t="s">
        <v>241</v>
      </c>
      <c r="C14" s="26">
        <v>14705.893313863409</v>
      </c>
      <c r="D14" s="26">
        <v>16180.168074534162</v>
      </c>
      <c r="E14" s="26">
        <v>14761</v>
      </c>
      <c r="F14" s="27"/>
      <c r="G14" s="23">
        <v>0.37472518643014041</v>
      </c>
      <c r="H14" s="24">
        <v>-8.7710341944332413</v>
      </c>
    </row>
    <row r="15" spans="1:8" x14ac:dyDescent="0.25">
      <c r="A15" s="30" t="s">
        <v>21</v>
      </c>
      <c r="B15" s="31" t="s">
        <v>3</v>
      </c>
      <c r="C15" s="20">
        <v>3271.4313768115944</v>
      </c>
      <c r="D15" s="20">
        <v>3604.7540579710144</v>
      </c>
      <c r="E15" s="21">
        <v>3950.6183008386947</v>
      </c>
      <c r="F15" s="22" t="s">
        <v>240</v>
      </c>
      <c r="G15" s="37">
        <v>20.761154546639162</v>
      </c>
      <c r="H15" s="33">
        <v>9.5946696308694754</v>
      </c>
    </row>
    <row r="16" spans="1:8" x14ac:dyDescent="0.25">
      <c r="A16" s="34"/>
      <c r="B16" s="25" t="s">
        <v>241</v>
      </c>
      <c r="C16" s="26">
        <v>1557.5190579710145</v>
      </c>
      <c r="D16" s="26">
        <v>1752.2156884057972</v>
      </c>
      <c r="E16" s="26">
        <v>1907</v>
      </c>
      <c r="F16" s="27"/>
      <c r="G16" s="28">
        <v>22.438309196951693</v>
      </c>
      <c r="H16" s="29">
        <v>8.8336334743714531</v>
      </c>
    </row>
    <row r="17" spans="1:8" x14ac:dyDescent="0.25">
      <c r="A17" s="30" t="s">
        <v>22</v>
      </c>
      <c r="B17" s="31" t="s">
        <v>3</v>
      </c>
      <c r="C17" s="20">
        <v>8304.4313768115935</v>
      </c>
      <c r="D17" s="20">
        <v>8733.7540579710148</v>
      </c>
      <c r="E17" s="21">
        <v>11513.345082462989</v>
      </c>
      <c r="F17" s="22" t="s">
        <v>240</v>
      </c>
      <c r="G17" s="37">
        <v>38.640980460283203</v>
      </c>
      <c r="H17" s="33">
        <v>31.825844946425207</v>
      </c>
    </row>
    <row r="18" spans="1:8" x14ac:dyDescent="0.25">
      <c r="A18" s="34"/>
      <c r="B18" s="25" t="s">
        <v>241</v>
      </c>
      <c r="C18" s="26">
        <v>3361.2972397891967</v>
      </c>
      <c r="D18" s="26">
        <v>3868.2156884057972</v>
      </c>
      <c r="E18" s="26">
        <v>4944</v>
      </c>
      <c r="F18" s="27"/>
      <c r="G18" s="28">
        <v>47.086069672019306</v>
      </c>
      <c r="H18" s="29">
        <v>27.810866772984014</v>
      </c>
    </row>
    <row r="19" spans="1:8" x14ac:dyDescent="0.25">
      <c r="A19" s="30" t="s">
        <v>189</v>
      </c>
      <c r="B19" s="31" t="s">
        <v>3</v>
      </c>
      <c r="C19" s="20">
        <v>182584.84037267079</v>
      </c>
      <c r="D19" s="20">
        <v>183801.03478260871</v>
      </c>
      <c r="E19" s="21">
        <v>170538.07333692117</v>
      </c>
      <c r="F19" s="22" t="s">
        <v>240</v>
      </c>
      <c r="G19" s="23">
        <v>-6.5979010147617885</v>
      </c>
      <c r="H19" s="24">
        <v>-7.2159340459504762</v>
      </c>
    </row>
    <row r="20" spans="1:8" x14ac:dyDescent="0.25">
      <c r="A20" s="30"/>
      <c r="B20" s="25" t="s">
        <v>241</v>
      </c>
      <c r="C20" s="26">
        <v>76756.18297158854</v>
      </c>
      <c r="D20" s="26">
        <v>89833.420186335396</v>
      </c>
      <c r="E20" s="26">
        <v>79065</v>
      </c>
      <c r="F20" s="27"/>
      <c r="G20" s="23">
        <v>3.007988332700279</v>
      </c>
      <c r="H20" s="24">
        <v>-11.987098079978693</v>
      </c>
    </row>
    <row r="21" spans="1:8" x14ac:dyDescent="0.25">
      <c r="A21" s="38" t="s">
        <v>12</v>
      </c>
      <c r="B21" s="31" t="s">
        <v>3</v>
      </c>
      <c r="C21" s="20">
        <v>1916.4588260869564</v>
      </c>
      <c r="D21" s="20">
        <v>1918.0524347826085</v>
      </c>
      <c r="E21" s="21">
        <v>2178.6924455662506</v>
      </c>
      <c r="F21" s="22" t="s">
        <v>240</v>
      </c>
      <c r="G21" s="37">
        <v>13.683237850443433</v>
      </c>
      <c r="H21" s="33">
        <v>13.588784438689387</v>
      </c>
    </row>
    <row r="22" spans="1:8" x14ac:dyDescent="0.25">
      <c r="A22" s="34"/>
      <c r="B22" s="25" t="s">
        <v>241</v>
      </c>
      <c r="C22" s="26">
        <v>700.58790537084394</v>
      </c>
      <c r="D22" s="26">
        <v>920.72941304347819</v>
      </c>
      <c r="E22" s="26">
        <v>947</v>
      </c>
      <c r="F22" s="27"/>
      <c r="G22" s="28">
        <v>35.172187921046429</v>
      </c>
      <c r="H22" s="29">
        <v>2.8532364215110988</v>
      </c>
    </row>
    <row r="23" spans="1:8" x14ac:dyDescent="0.25">
      <c r="A23" s="38" t="s">
        <v>23</v>
      </c>
      <c r="B23" s="31" t="s">
        <v>3</v>
      </c>
      <c r="C23" s="20">
        <v>5227.4313768115944</v>
      </c>
      <c r="D23" s="20">
        <v>5832.7540579710148</v>
      </c>
      <c r="E23" s="21">
        <v>6185.4640252084782</v>
      </c>
      <c r="F23" s="22" t="s">
        <v>240</v>
      </c>
      <c r="G23" s="23">
        <v>18.327024868210202</v>
      </c>
      <c r="H23" s="24">
        <v>6.0470570802732908</v>
      </c>
    </row>
    <row r="24" spans="1:8" x14ac:dyDescent="0.25">
      <c r="A24" s="34"/>
      <c r="B24" s="25" t="s">
        <v>241</v>
      </c>
      <c r="C24" s="26">
        <v>2652.5686447478738</v>
      </c>
      <c r="D24" s="26">
        <v>2862.2156884057972</v>
      </c>
      <c r="E24" s="26">
        <v>3069</v>
      </c>
      <c r="F24" s="27"/>
      <c r="G24" s="28">
        <v>15.699173556796225</v>
      </c>
      <c r="H24" s="29">
        <v>7.2246236519434888</v>
      </c>
    </row>
    <row r="25" spans="1:8" x14ac:dyDescent="0.25">
      <c r="A25" s="30" t="s">
        <v>24</v>
      </c>
      <c r="B25" s="31" t="s">
        <v>3</v>
      </c>
      <c r="C25" s="20">
        <v>9742.8627536231888</v>
      </c>
      <c r="D25" s="20">
        <v>11201.50811594203</v>
      </c>
      <c r="E25" s="21">
        <v>8845.8561213242156</v>
      </c>
      <c r="F25" s="22" t="s">
        <v>240</v>
      </c>
      <c r="G25" s="23">
        <v>-9.2068076394219389</v>
      </c>
      <c r="H25" s="24">
        <v>-21.029775368061749</v>
      </c>
    </row>
    <row r="26" spans="1:8" ht="13.8" thickBot="1" x14ac:dyDescent="0.3">
      <c r="A26" s="40"/>
      <c r="B26" s="41" t="s">
        <v>241</v>
      </c>
      <c r="C26" s="42">
        <v>10703.877688134542</v>
      </c>
      <c r="D26" s="42">
        <v>5820.4313768115944</v>
      </c>
      <c r="E26" s="42">
        <v>5576</v>
      </c>
      <c r="F26" s="43"/>
      <c r="G26" s="44">
        <v>-47.906729108264145</v>
      </c>
      <c r="H26" s="45">
        <v>-4.1995405664501249</v>
      </c>
    </row>
    <row r="31" spans="1:8" x14ac:dyDescent="0.25">
      <c r="A31" s="46"/>
      <c r="B31" s="47"/>
      <c r="C31" s="48"/>
      <c r="D31" s="53"/>
      <c r="E31" s="48"/>
      <c r="F31" s="48"/>
      <c r="G31" s="49"/>
      <c r="H31" s="49"/>
    </row>
    <row r="32" spans="1:8" ht="16.8" thickBot="1" x14ac:dyDescent="0.4">
      <c r="A32" s="4" t="s">
        <v>43</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42</v>
      </c>
      <c r="B35" s="19" t="s">
        <v>3</v>
      </c>
      <c r="C35" s="73">
        <v>2360.0600227842233</v>
      </c>
      <c r="D35" s="73">
        <v>2243.7997409243708</v>
      </c>
      <c r="E35" s="76">
        <v>2187.473196869938</v>
      </c>
      <c r="F35" s="22" t="s">
        <v>240</v>
      </c>
      <c r="G35" s="23">
        <v>-7.3128151084344069</v>
      </c>
      <c r="H35" s="24">
        <v>-2.5103195720678713</v>
      </c>
    </row>
    <row r="36" spans="1:8" ht="12.75" customHeight="1" x14ac:dyDescent="0.25">
      <c r="A36" s="193"/>
      <c r="B36" s="25" t="s">
        <v>241</v>
      </c>
      <c r="C36" s="75">
        <v>957.44520565873438</v>
      </c>
      <c r="D36" s="75">
        <v>1157.0011248609126</v>
      </c>
      <c r="E36" s="75">
        <v>1034.4940268332994</v>
      </c>
      <c r="F36" s="27"/>
      <c r="G36" s="28">
        <v>8.0473347946376208</v>
      </c>
      <c r="H36" s="29">
        <v>-10.588330071186419</v>
      </c>
    </row>
    <row r="37" spans="1:8" x14ac:dyDescent="0.25">
      <c r="A37" s="30" t="s">
        <v>18</v>
      </c>
      <c r="B37" s="31" t="s">
        <v>3</v>
      </c>
      <c r="C37" s="73">
        <v>524.54101127805723</v>
      </c>
      <c r="D37" s="73">
        <v>571.40922351883853</v>
      </c>
      <c r="E37" s="76">
        <v>574.2707121607225</v>
      </c>
      <c r="F37" s="22" t="s">
        <v>240</v>
      </c>
      <c r="G37" s="32">
        <v>9.4806125380926005</v>
      </c>
      <c r="H37" s="33">
        <v>0.50077746807488666</v>
      </c>
    </row>
    <row r="38" spans="1:8" x14ac:dyDescent="0.25">
      <c r="A38" s="34"/>
      <c r="B38" s="25" t="s">
        <v>241</v>
      </c>
      <c r="C38" s="75">
        <v>229.92810174785342</v>
      </c>
      <c r="D38" s="75">
        <v>306.82866290906111</v>
      </c>
      <c r="E38" s="75">
        <v>286.85134419528174</v>
      </c>
      <c r="F38" s="27"/>
      <c r="G38" s="35">
        <v>24.75697490420383</v>
      </c>
      <c r="H38" s="29">
        <v>-6.5109036829783804</v>
      </c>
    </row>
    <row r="39" spans="1:8" x14ac:dyDescent="0.25">
      <c r="A39" s="30" t="s">
        <v>19</v>
      </c>
      <c r="B39" s="31" t="s">
        <v>3</v>
      </c>
      <c r="C39" s="73">
        <v>414.51700959414927</v>
      </c>
      <c r="D39" s="73">
        <v>242.15964395931937</v>
      </c>
      <c r="E39" s="76">
        <v>210.07342317062725</v>
      </c>
      <c r="F39" s="22" t="s">
        <v>240</v>
      </c>
      <c r="G39" s="37">
        <v>-49.320916076204277</v>
      </c>
      <c r="H39" s="33">
        <v>-13.250028065816906</v>
      </c>
    </row>
    <row r="40" spans="1:8" x14ac:dyDescent="0.25">
      <c r="A40" s="34"/>
      <c r="B40" s="25" t="s">
        <v>241</v>
      </c>
      <c r="C40" s="75">
        <v>82.039532564889768</v>
      </c>
      <c r="D40" s="75">
        <v>141.16323229701669</v>
      </c>
      <c r="E40" s="75">
        <v>74.287186607700519</v>
      </c>
      <c r="F40" s="27"/>
      <c r="G40" s="28">
        <v>-9.4495247776521296</v>
      </c>
      <c r="H40" s="29">
        <v>-47.374974772895953</v>
      </c>
    </row>
    <row r="41" spans="1:8" x14ac:dyDescent="0.25">
      <c r="A41" s="30" t="s">
        <v>20</v>
      </c>
      <c r="B41" s="31" t="s">
        <v>3</v>
      </c>
      <c r="C41" s="73">
        <v>398.93590467513502</v>
      </c>
      <c r="D41" s="73">
        <v>401.25218233526266</v>
      </c>
      <c r="E41" s="76">
        <v>427.1938038436835</v>
      </c>
      <c r="F41" s="22" t="s">
        <v>240</v>
      </c>
      <c r="G41" s="23">
        <v>7.0833181063408404</v>
      </c>
      <c r="H41" s="24">
        <v>6.4651664590189171</v>
      </c>
    </row>
    <row r="42" spans="1:8" x14ac:dyDescent="0.25">
      <c r="A42" s="34"/>
      <c r="B42" s="25" t="s">
        <v>241</v>
      </c>
      <c r="C42" s="75">
        <v>173.18294690898787</v>
      </c>
      <c r="D42" s="75">
        <v>191.03324517139339</v>
      </c>
      <c r="E42" s="75">
        <v>197.032563868788</v>
      </c>
      <c r="F42" s="27"/>
      <c r="G42" s="23">
        <v>13.771342609346931</v>
      </c>
      <c r="H42" s="24">
        <v>3.1404579302477345</v>
      </c>
    </row>
    <row r="43" spans="1:8" x14ac:dyDescent="0.25">
      <c r="A43" s="30" t="s">
        <v>21</v>
      </c>
      <c r="B43" s="31" t="s">
        <v>3</v>
      </c>
      <c r="C43" s="73">
        <v>20.523302093918527</v>
      </c>
      <c r="D43" s="73">
        <v>24.947427376106564</v>
      </c>
      <c r="E43" s="76">
        <v>26.463820346128557</v>
      </c>
      <c r="F43" s="22" t="s">
        <v>240</v>
      </c>
      <c r="G43" s="37">
        <v>28.945236127330247</v>
      </c>
      <c r="H43" s="33">
        <v>6.0783540810076602</v>
      </c>
    </row>
    <row r="44" spans="1:8" x14ac:dyDescent="0.25">
      <c r="A44" s="34"/>
      <c r="B44" s="25" t="s">
        <v>241</v>
      </c>
      <c r="C44" s="75">
        <v>9.7734185237558453</v>
      </c>
      <c r="D44" s="75">
        <v>10.705511010976302</v>
      </c>
      <c r="E44" s="75">
        <v>11.743290790247375</v>
      </c>
      <c r="F44" s="27"/>
      <c r="G44" s="28">
        <v>20.155406848723828</v>
      </c>
      <c r="H44" s="29">
        <v>9.6938836287874892</v>
      </c>
    </row>
    <row r="45" spans="1:8" x14ac:dyDescent="0.25">
      <c r="A45" s="30" t="s">
        <v>22</v>
      </c>
      <c r="B45" s="31" t="s">
        <v>3</v>
      </c>
      <c r="C45" s="73">
        <v>50.229537541643353</v>
      </c>
      <c r="D45" s="73">
        <v>54.117118199979387</v>
      </c>
      <c r="E45" s="76">
        <v>81.077335507383694</v>
      </c>
      <c r="F45" s="22" t="s">
        <v>240</v>
      </c>
      <c r="G45" s="37">
        <v>61.413661115564992</v>
      </c>
      <c r="H45" s="33">
        <v>49.818279694380635</v>
      </c>
    </row>
    <row r="46" spans="1:8" x14ac:dyDescent="0.25">
      <c r="A46" s="34"/>
      <c r="B46" s="25" t="s">
        <v>241</v>
      </c>
      <c r="C46" s="75">
        <v>20.056918625044748</v>
      </c>
      <c r="D46" s="75">
        <v>24.01824104489679</v>
      </c>
      <c r="E46" s="75">
        <v>34.694473299357405</v>
      </c>
      <c r="F46" s="27"/>
      <c r="G46" s="28">
        <v>72.980077089383911</v>
      </c>
      <c r="H46" s="29">
        <v>44.450516732277606</v>
      </c>
    </row>
    <row r="47" spans="1:8" x14ac:dyDescent="0.25">
      <c r="A47" s="30" t="s">
        <v>189</v>
      </c>
      <c r="B47" s="31" t="s">
        <v>3</v>
      </c>
      <c r="C47" s="73">
        <v>683.74155894406567</v>
      </c>
      <c r="D47" s="73">
        <v>690.97438827524695</v>
      </c>
      <c r="E47" s="76">
        <v>630.70772058389093</v>
      </c>
      <c r="F47" s="22" t="s">
        <v>240</v>
      </c>
      <c r="G47" s="23">
        <v>-7.7564158074693239</v>
      </c>
      <c r="H47" s="24">
        <v>-8.7219828569606932</v>
      </c>
    </row>
    <row r="48" spans="1:8" x14ac:dyDescent="0.25">
      <c r="A48" s="30"/>
      <c r="B48" s="25" t="s">
        <v>241</v>
      </c>
      <c r="C48" s="75">
        <v>281.90712449095929</v>
      </c>
      <c r="D48" s="75">
        <v>351.4792306030825</v>
      </c>
      <c r="E48" s="75">
        <v>297.63364375338023</v>
      </c>
      <c r="F48" s="27"/>
      <c r="G48" s="23">
        <v>5.5786171742975057</v>
      </c>
      <c r="H48" s="24">
        <v>-15.319706589010053</v>
      </c>
    </row>
    <row r="49" spans="1:8" x14ac:dyDescent="0.25">
      <c r="A49" s="38" t="s">
        <v>12</v>
      </c>
      <c r="B49" s="31" t="s">
        <v>3</v>
      </c>
      <c r="C49" s="73">
        <v>23.581761609093995</v>
      </c>
      <c r="D49" s="73">
        <v>24.522707816918278</v>
      </c>
      <c r="E49" s="76">
        <v>26.388593539445218</v>
      </c>
      <c r="F49" s="22" t="s">
        <v>240</v>
      </c>
      <c r="G49" s="37">
        <v>11.902554087684464</v>
      </c>
      <c r="H49" s="33">
        <v>7.6088078708814493</v>
      </c>
    </row>
    <row r="50" spans="1:8" x14ac:dyDescent="0.25">
      <c r="A50" s="34"/>
      <c r="B50" s="25" t="s">
        <v>241</v>
      </c>
      <c r="C50" s="75">
        <v>14.656967228074143</v>
      </c>
      <c r="D50" s="75">
        <v>15.72220539348122</v>
      </c>
      <c r="E50" s="75">
        <v>16.742575537353389</v>
      </c>
      <c r="F50" s="27"/>
      <c r="G50" s="28">
        <v>14.229466961517431</v>
      </c>
      <c r="H50" s="29">
        <v>6.4899937275672386</v>
      </c>
    </row>
    <row r="51" spans="1:8" x14ac:dyDescent="0.25">
      <c r="A51" s="38" t="s">
        <v>23</v>
      </c>
      <c r="B51" s="31" t="s">
        <v>3</v>
      </c>
      <c r="C51" s="73">
        <v>129.48761302071114</v>
      </c>
      <c r="D51" s="73">
        <v>128.9513379204285</v>
      </c>
      <c r="E51" s="76">
        <v>113.67541637167211</v>
      </c>
      <c r="F51" s="22" t="s">
        <v>240</v>
      </c>
      <c r="G51" s="23">
        <v>-12.211358507712944</v>
      </c>
      <c r="H51" s="24">
        <v>-11.846268363793669</v>
      </c>
    </row>
    <row r="52" spans="1:8" x14ac:dyDescent="0.25">
      <c r="A52" s="34"/>
      <c r="B52" s="25" t="s">
        <v>241</v>
      </c>
      <c r="C52" s="75">
        <v>61.062236605931119</v>
      </c>
      <c r="D52" s="75">
        <v>57.021102075251967</v>
      </c>
      <c r="E52" s="75">
        <v>51.33217742734675</v>
      </c>
      <c r="F52" s="27"/>
      <c r="G52" s="23">
        <v>-15.934658996161417</v>
      </c>
      <c r="H52" s="24">
        <v>-9.9768760000419263</v>
      </c>
    </row>
    <row r="53" spans="1:8" x14ac:dyDescent="0.25">
      <c r="A53" s="30" t="s">
        <v>24</v>
      </c>
      <c r="B53" s="31" t="s">
        <v>3</v>
      </c>
      <c r="C53" s="73">
        <v>114.50232402744903</v>
      </c>
      <c r="D53" s="73">
        <v>105.46571152227108</v>
      </c>
      <c r="E53" s="76">
        <v>105.313430332572</v>
      </c>
      <c r="F53" s="22" t="s">
        <v>240</v>
      </c>
      <c r="G53" s="37">
        <v>-8.02507178166465</v>
      </c>
      <c r="H53" s="33">
        <v>-0.14438928776100113</v>
      </c>
    </row>
    <row r="54" spans="1:8" ht="13.8" thickBot="1" x14ac:dyDescent="0.3">
      <c r="A54" s="40"/>
      <c r="B54" s="41" t="s">
        <v>241</v>
      </c>
      <c r="C54" s="79">
        <v>84.837958963238094</v>
      </c>
      <c r="D54" s="79">
        <v>59.029694355752838</v>
      </c>
      <c r="E54" s="79">
        <v>64.176771353843876</v>
      </c>
      <c r="F54" s="43"/>
      <c r="G54" s="44">
        <v>-24.353706597711891</v>
      </c>
      <c r="H54" s="45">
        <v>8.719470859990011</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87">
        <v>14</v>
      </c>
    </row>
    <row r="62" spans="1:8" ht="12.75" customHeight="1" x14ac:dyDescent="0.25">
      <c r="A62" s="52" t="str">
        <f>+Innhold!$B$124</f>
        <v>Skadestatistikk for landbasert forsikring 2. kvartal 2025</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zoomScaleNormal="100" workbookViewId="0">
      <selection activeCell="A6" sqref="A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44</v>
      </c>
      <c r="B7" s="19" t="s">
        <v>3</v>
      </c>
      <c r="C7" s="20">
        <v>145536.81848305691</v>
      </c>
      <c r="D7" s="20">
        <v>153353.43106785958</v>
      </c>
      <c r="E7" s="21">
        <v>128445.78283444</v>
      </c>
      <c r="F7" s="22" t="s">
        <v>240</v>
      </c>
      <c r="G7" s="23">
        <v>-11.743444598252367</v>
      </c>
      <c r="H7" s="24">
        <v>-16.241989540095673</v>
      </c>
    </row>
    <row r="8" spans="1:8" x14ac:dyDescent="0.25">
      <c r="A8" s="193"/>
      <c r="B8" s="25" t="s">
        <v>241</v>
      </c>
      <c r="C8" s="26">
        <v>68045.339656676413</v>
      </c>
      <c r="D8" s="26">
        <v>82196.721585918829</v>
      </c>
      <c r="E8" s="26">
        <v>65643</v>
      </c>
      <c r="F8" s="27"/>
      <c r="G8" s="28">
        <v>-3.5304984423583505</v>
      </c>
      <c r="H8" s="29">
        <v>-20.139150645583243</v>
      </c>
    </row>
    <row r="9" spans="1:8" x14ac:dyDescent="0.25">
      <c r="A9" s="30" t="s">
        <v>18</v>
      </c>
      <c r="B9" s="31" t="s">
        <v>3</v>
      </c>
      <c r="C9" s="20">
        <v>12585.143165217392</v>
      </c>
      <c r="D9" s="20">
        <v>13413.46704347826</v>
      </c>
      <c r="E9" s="21">
        <v>10765.236167222727</v>
      </c>
      <c r="F9" s="22" t="s">
        <v>240</v>
      </c>
      <c r="G9" s="32">
        <v>-14.460757212714853</v>
      </c>
      <c r="H9" s="33">
        <v>-19.743075132414219</v>
      </c>
    </row>
    <row r="10" spans="1:8" x14ac:dyDescent="0.25">
      <c r="A10" s="34"/>
      <c r="B10" s="25" t="s">
        <v>241</v>
      </c>
      <c r="C10" s="26">
        <v>5412.1037046181564</v>
      </c>
      <c r="D10" s="26">
        <v>6853.8497008930435</v>
      </c>
      <c r="E10" s="26">
        <v>5176</v>
      </c>
      <c r="F10" s="27"/>
      <c r="G10" s="35">
        <v>-4.3625125737463009</v>
      </c>
      <c r="H10" s="29">
        <v>-24.480398230419652</v>
      </c>
    </row>
    <row r="11" spans="1:8" x14ac:dyDescent="0.25">
      <c r="A11" s="30" t="s">
        <v>19</v>
      </c>
      <c r="B11" s="31" t="s">
        <v>3</v>
      </c>
      <c r="C11" s="20">
        <v>60318.477217391308</v>
      </c>
      <c r="D11" s="20">
        <v>63203.223478260872</v>
      </c>
      <c r="E11" s="21">
        <v>47988.79875512937</v>
      </c>
      <c r="F11" s="22" t="s">
        <v>240</v>
      </c>
      <c r="G11" s="37">
        <v>-20.440964412654282</v>
      </c>
      <c r="H11" s="33">
        <v>-24.072229050729661</v>
      </c>
    </row>
    <row r="12" spans="1:8" x14ac:dyDescent="0.25">
      <c r="A12" s="34"/>
      <c r="B12" s="25" t="s">
        <v>241</v>
      </c>
      <c r="C12" s="26">
        <v>27026.616924668411</v>
      </c>
      <c r="D12" s="26">
        <v>35424.16566964348</v>
      </c>
      <c r="E12" s="26">
        <v>24821</v>
      </c>
      <c r="F12" s="27"/>
      <c r="G12" s="28">
        <v>-8.1609064531315596</v>
      </c>
      <c r="H12" s="29">
        <v>-29.932012424867921</v>
      </c>
    </row>
    <row r="13" spans="1:8" x14ac:dyDescent="0.25">
      <c r="A13" s="30" t="s">
        <v>20</v>
      </c>
      <c r="B13" s="31" t="s">
        <v>3</v>
      </c>
      <c r="C13" s="20">
        <v>3496.1796273291925</v>
      </c>
      <c r="D13" s="20">
        <v>3438.5826086956522</v>
      </c>
      <c r="E13" s="21">
        <v>3040.7461510308694</v>
      </c>
      <c r="F13" s="22" t="s">
        <v>240</v>
      </c>
      <c r="G13" s="23">
        <v>-13.026604031962691</v>
      </c>
      <c r="H13" s="24">
        <v>-11.56978042809601</v>
      </c>
    </row>
    <row r="14" spans="1:8" x14ac:dyDescent="0.25">
      <c r="A14" s="34"/>
      <c r="B14" s="25" t="s">
        <v>241</v>
      </c>
      <c r="C14" s="26">
        <v>1563.1527674258107</v>
      </c>
      <c r="D14" s="26">
        <v>1591.4122236397516</v>
      </c>
      <c r="E14" s="26">
        <v>1391</v>
      </c>
      <c r="F14" s="27"/>
      <c r="G14" s="23">
        <v>-11.013176127968009</v>
      </c>
      <c r="H14" s="24">
        <v>-12.59335706127635</v>
      </c>
    </row>
    <row r="15" spans="1:8" x14ac:dyDescent="0.25">
      <c r="A15" s="30" t="s">
        <v>21</v>
      </c>
      <c r="B15" s="31" t="s">
        <v>3</v>
      </c>
      <c r="C15" s="20">
        <v>4772.844057971015</v>
      </c>
      <c r="D15" s="20">
        <v>5170.7532608695656</v>
      </c>
      <c r="E15" s="21">
        <v>4996.0296809649217</v>
      </c>
      <c r="F15" s="22" t="s">
        <v>240</v>
      </c>
      <c r="G15" s="37">
        <v>4.676155773855001</v>
      </c>
      <c r="H15" s="33">
        <v>-3.379074016679354</v>
      </c>
    </row>
    <row r="16" spans="1:8" x14ac:dyDescent="0.25">
      <c r="A16" s="34"/>
      <c r="B16" s="25" t="s">
        <v>241</v>
      </c>
      <c r="C16" s="26">
        <v>2288.9896938913721</v>
      </c>
      <c r="D16" s="26">
        <v>2630.2452318949277</v>
      </c>
      <c r="E16" s="26">
        <v>2491</v>
      </c>
      <c r="F16" s="27"/>
      <c r="G16" s="28">
        <v>8.825304309920341</v>
      </c>
      <c r="H16" s="29">
        <v>-5.2940018750498865</v>
      </c>
    </row>
    <row r="17" spans="1:8" x14ac:dyDescent="0.25">
      <c r="A17" s="30" t="s">
        <v>22</v>
      </c>
      <c r="B17" s="31" t="s">
        <v>3</v>
      </c>
      <c r="C17" s="20">
        <v>316.84405797101448</v>
      </c>
      <c r="D17" s="20">
        <v>388.75326086956522</v>
      </c>
      <c r="E17" s="21">
        <v>368.65841840395342</v>
      </c>
      <c r="F17" s="22" t="s">
        <v>240</v>
      </c>
      <c r="G17" s="37">
        <v>16.353268786148107</v>
      </c>
      <c r="H17" s="33">
        <v>-5.1690479510483271</v>
      </c>
    </row>
    <row r="18" spans="1:8" x14ac:dyDescent="0.25">
      <c r="A18" s="34"/>
      <c r="B18" s="25" t="s">
        <v>241</v>
      </c>
      <c r="C18" s="26">
        <v>116.91492753623189</v>
      </c>
      <c r="D18" s="26">
        <v>181.24523189492754</v>
      </c>
      <c r="E18" s="26">
        <v>158</v>
      </c>
      <c r="F18" s="27"/>
      <c r="G18" s="28">
        <v>35.140998099695935</v>
      </c>
      <c r="H18" s="29">
        <v>-12.82529292047991</v>
      </c>
    </row>
    <row r="19" spans="1:8" x14ac:dyDescent="0.25">
      <c r="A19" s="30" t="s">
        <v>189</v>
      </c>
      <c r="B19" s="31" t="s">
        <v>3</v>
      </c>
      <c r="C19" s="20">
        <v>40460.949068322981</v>
      </c>
      <c r="D19" s="20">
        <v>42351.456521739128</v>
      </c>
      <c r="E19" s="21">
        <v>40253.630161450768</v>
      </c>
      <c r="F19" s="22" t="s">
        <v>240</v>
      </c>
      <c r="G19" s="23">
        <v>-0.51239259494909106</v>
      </c>
      <c r="H19" s="24">
        <v>-4.9533747657805804</v>
      </c>
    </row>
    <row r="20" spans="1:8" x14ac:dyDescent="0.25">
      <c r="A20" s="30"/>
      <c r="B20" s="25" t="s">
        <v>241</v>
      </c>
      <c r="C20" s="26">
        <v>17567.591637995945</v>
      </c>
      <c r="D20" s="26">
        <v>21895.530559099381</v>
      </c>
      <c r="E20" s="26">
        <v>19567</v>
      </c>
      <c r="F20" s="27"/>
      <c r="G20" s="23">
        <v>11.381232004958775</v>
      </c>
      <c r="H20" s="24">
        <v>-10.63473000946162</v>
      </c>
    </row>
    <row r="21" spans="1:8" x14ac:dyDescent="0.25">
      <c r="A21" s="38" t="s">
        <v>12</v>
      </c>
      <c r="B21" s="31" t="s">
        <v>3</v>
      </c>
      <c r="C21" s="20">
        <v>741.70643478260877</v>
      </c>
      <c r="D21" s="20">
        <v>812.85195652173911</v>
      </c>
      <c r="E21" s="21">
        <v>1138.724903746767</v>
      </c>
      <c r="F21" s="22" t="s">
        <v>240</v>
      </c>
      <c r="G21" s="37">
        <v>53.527709932909346</v>
      </c>
      <c r="H21" s="33">
        <v>40.090073550350468</v>
      </c>
    </row>
    <row r="22" spans="1:8" x14ac:dyDescent="0.25">
      <c r="A22" s="34"/>
      <c r="B22" s="25" t="s">
        <v>241</v>
      </c>
      <c r="C22" s="26">
        <v>152.54895652173911</v>
      </c>
      <c r="D22" s="26">
        <v>429.34713913695651</v>
      </c>
      <c r="E22" s="26">
        <v>395</v>
      </c>
      <c r="F22" s="27"/>
      <c r="G22" s="28">
        <v>158.93326903465919</v>
      </c>
      <c r="H22" s="29">
        <v>-7.9998528011619499</v>
      </c>
    </row>
    <row r="23" spans="1:8" x14ac:dyDescent="0.25">
      <c r="A23" s="38" t="s">
        <v>23</v>
      </c>
      <c r="B23" s="31" t="s">
        <v>3</v>
      </c>
      <c r="C23" s="20">
        <v>5418.844057971015</v>
      </c>
      <c r="D23" s="20">
        <v>5549.7532608695656</v>
      </c>
      <c r="E23" s="21">
        <v>5298.7180448945237</v>
      </c>
      <c r="F23" s="22" t="s">
        <v>240</v>
      </c>
      <c r="G23" s="23">
        <v>-2.2168198935303991</v>
      </c>
      <c r="H23" s="24">
        <v>-4.5233581417943611</v>
      </c>
    </row>
    <row r="24" spans="1:8" x14ac:dyDescent="0.25">
      <c r="A24" s="34"/>
      <c r="B24" s="25" t="s">
        <v>241</v>
      </c>
      <c r="C24" s="26">
        <v>2853.0608350095417</v>
      </c>
      <c r="D24" s="26">
        <v>2697.2452318949277</v>
      </c>
      <c r="E24" s="26">
        <v>2643</v>
      </c>
      <c r="F24" s="27"/>
      <c r="G24" s="28">
        <v>-7.3626482979932319</v>
      </c>
      <c r="H24" s="29">
        <v>-2.0111345921934571</v>
      </c>
    </row>
    <row r="25" spans="1:8" x14ac:dyDescent="0.25">
      <c r="A25" s="30" t="s">
        <v>24</v>
      </c>
      <c r="B25" s="31" t="s">
        <v>3</v>
      </c>
      <c r="C25" s="20">
        <v>28207.68811594203</v>
      </c>
      <c r="D25" s="20">
        <v>28832.506521739131</v>
      </c>
      <c r="E25" s="21">
        <v>23351.338131275512</v>
      </c>
      <c r="F25" s="22" t="s">
        <v>240</v>
      </c>
      <c r="G25" s="23">
        <v>-17.216405558319664</v>
      </c>
      <c r="H25" s="24">
        <v>-19.01037770105394</v>
      </c>
    </row>
    <row r="26" spans="1:8" ht="13.8" thickBot="1" x14ac:dyDescent="0.3">
      <c r="A26" s="40"/>
      <c r="B26" s="41" t="s">
        <v>241</v>
      </c>
      <c r="C26" s="42">
        <v>15187.003070790186</v>
      </c>
      <c r="D26" s="42">
        <v>15828.490463789854</v>
      </c>
      <c r="E26" s="42">
        <v>12736</v>
      </c>
      <c r="F26" s="43"/>
      <c r="G26" s="44">
        <v>-16.138819880166523</v>
      </c>
      <c r="H26" s="45">
        <v>-19.537494563138608</v>
      </c>
    </row>
    <row r="31" spans="1:8" x14ac:dyDescent="0.25">
      <c r="A31" s="46"/>
      <c r="B31" s="47"/>
      <c r="C31" s="48"/>
      <c r="D31" s="53"/>
      <c r="E31" s="48"/>
      <c r="F31" s="48"/>
      <c r="G31" s="49"/>
      <c r="H31" s="49"/>
    </row>
    <row r="32" spans="1:8" ht="16.8" thickBot="1" x14ac:dyDescent="0.4">
      <c r="A32" s="4" t="s">
        <v>99</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44</v>
      </c>
      <c r="B35" s="19" t="s">
        <v>3</v>
      </c>
      <c r="C35" s="73">
        <v>8824.0053412301204</v>
      </c>
      <c r="D35" s="73">
        <v>8422.830602627615</v>
      </c>
      <c r="E35" s="76">
        <v>7518.6603603130879</v>
      </c>
      <c r="F35" s="22" t="s">
        <v>240</v>
      </c>
      <c r="G35" s="23">
        <v>-14.793111862906684</v>
      </c>
      <c r="H35" s="24">
        <v>-10.734755155024231</v>
      </c>
    </row>
    <row r="36" spans="1:8" ht="12.75" customHeight="1" x14ac:dyDescent="0.25">
      <c r="A36" s="193"/>
      <c r="B36" s="25" t="s">
        <v>241</v>
      </c>
      <c r="C36" s="75">
        <v>3611.1547079422721</v>
      </c>
      <c r="D36" s="75">
        <v>4905.6333954636248</v>
      </c>
      <c r="E36" s="75">
        <v>3837.6937489236952</v>
      </c>
      <c r="F36" s="27"/>
      <c r="G36" s="28">
        <v>6.2733130896657485</v>
      </c>
      <c r="H36" s="29">
        <v>-21.769658685206338</v>
      </c>
    </row>
    <row r="37" spans="1:8" x14ac:dyDescent="0.25">
      <c r="A37" s="30" t="s">
        <v>18</v>
      </c>
      <c r="B37" s="31" t="s">
        <v>3</v>
      </c>
      <c r="C37" s="73">
        <v>2513.2311262640251</v>
      </c>
      <c r="D37" s="73">
        <v>2666.9742610028666</v>
      </c>
      <c r="E37" s="76">
        <v>2527.2406969954645</v>
      </c>
      <c r="F37" s="22" t="s">
        <v>240</v>
      </c>
      <c r="G37" s="32">
        <v>0.55743264457595387</v>
      </c>
      <c r="H37" s="33">
        <v>-5.2394042961201137</v>
      </c>
    </row>
    <row r="38" spans="1:8" x14ac:dyDescent="0.25">
      <c r="A38" s="34"/>
      <c r="B38" s="25" t="s">
        <v>241</v>
      </c>
      <c r="C38" s="75">
        <v>1126.0203652487853</v>
      </c>
      <c r="D38" s="75">
        <v>1569.8737548889369</v>
      </c>
      <c r="E38" s="75">
        <v>1346.7480322382248</v>
      </c>
      <c r="F38" s="27"/>
      <c r="G38" s="35">
        <v>19.602457806406676</v>
      </c>
      <c r="H38" s="29">
        <v>-14.212972346078715</v>
      </c>
    </row>
    <row r="39" spans="1:8" x14ac:dyDescent="0.25">
      <c r="A39" s="30" t="s">
        <v>19</v>
      </c>
      <c r="B39" s="31" t="s">
        <v>3</v>
      </c>
      <c r="C39" s="73">
        <v>4226.0067855049592</v>
      </c>
      <c r="D39" s="73">
        <v>3888.7783937896365</v>
      </c>
      <c r="E39" s="76">
        <v>3364.8195821478721</v>
      </c>
      <c r="F39" s="22" t="s">
        <v>240</v>
      </c>
      <c r="G39" s="37">
        <v>-20.378273085384663</v>
      </c>
      <c r="H39" s="33">
        <v>-13.473609411082009</v>
      </c>
    </row>
    <row r="40" spans="1:8" x14ac:dyDescent="0.25">
      <c r="A40" s="34"/>
      <c r="B40" s="25" t="s">
        <v>241</v>
      </c>
      <c r="C40" s="75">
        <v>1586.6543365500677</v>
      </c>
      <c r="D40" s="75">
        <v>2252.9369716775072</v>
      </c>
      <c r="E40" s="75">
        <v>1650.5929479944289</v>
      </c>
      <c r="F40" s="27"/>
      <c r="G40" s="28">
        <v>4.029775734479486</v>
      </c>
      <c r="H40" s="29">
        <v>-26.735946511392243</v>
      </c>
    </row>
    <row r="41" spans="1:8" x14ac:dyDescent="0.25">
      <c r="A41" s="30" t="s">
        <v>20</v>
      </c>
      <c r="B41" s="31" t="s">
        <v>3</v>
      </c>
      <c r="C41" s="73">
        <v>83.538353292859853</v>
      </c>
      <c r="D41" s="73">
        <v>81.488265976223204</v>
      </c>
      <c r="E41" s="76">
        <v>81.617338067002805</v>
      </c>
      <c r="F41" s="22" t="s">
        <v>240</v>
      </c>
      <c r="G41" s="23">
        <v>-2.29956080068105</v>
      </c>
      <c r="H41" s="24">
        <v>0.15839346835196011</v>
      </c>
    </row>
    <row r="42" spans="1:8" x14ac:dyDescent="0.25">
      <c r="A42" s="34"/>
      <c r="B42" s="25" t="s">
        <v>241</v>
      </c>
      <c r="C42" s="75">
        <v>34.16421096388175</v>
      </c>
      <c r="D42" s="75">
        <v>40.738571987876924</v>
      </c>
      <c r="E42" s="75">
        <v>37.986601722933351</v>
      </c>
      <c r="F42" s="27"/>
      <c r="G42" s="23">
        <v>11.188289298097985</v>
      </c>
      <c r="H42" s="24">
        <v>-6.7551957043622224</v>
      </c>
    </row>
    <row r="43" spans="1:8" x14ac:dyDescent="0.25">
      <c r="A43" s="30" t="s">
        <v>21</v>
      </c>
      <c r="B43" s="31" t="s">
        <v>3</v>
      </c>
      <c r="C43" s="73">
        <v>67.406254527841483</v>
      </c>
      <c r="D43" s="73">
        <v>71.224831116805632</v>
      </c>
      <c r="E43" s="76">
        <v>70.322670309258413</v>
      </c>
      <c r="F43" s="22" t="s">
        <v>240</v>
      </c>
      <c r="G43" s="37">
        <v>4.3266248834703305</v>
      </c>
      <c r="H43" s="33">
        <v>-1.2666380437851927</v>
      </c>
    </row>
    <row r="44" spans="1:8" x14ac:dyDescent="0.25">
      <c r="A44" s="34"/>
      <c r="B44" s="25" t="s">
        <v>241</v>
      </c>
      <c r="C44" s="75">
        <v>30.833885525366995</v>
      </c>
      <c r="D44" s="75">
        <v>38.118705726072953</v>
      </c>
      <c r="E44" s="75">
        <v>35.617769806292586</v>
      </c>
      <c r="F44" s="27"/>
      <c r="G44" s="28">
        <v>15.515022513104597</v>
      </c>
      <c r="H44" s="29">
        <v>-6.5609150996691454</v>
      </c>
    </row>
    <row r="45" spans="1:8" x14ac:dyDescent="0.25">
      <c r="A45" s="30" t="s">
        <v>22</v>
      </c>
      <c r="B45" s="31" t="s">
        <v>3</v>
      </c>
      <c r="C45" s="73">
        <v>3.3642921260110512</v>
      </c>
      <c r="D45" s="73">
        <v>3.4905504256197042</v>
      </c>
      <c r="E45" s="76">
        <v>3.5649602065877115</v>
      </c>
      <c r="F45" s="22" t="s">
        <v>240</v>
      </c>
      <c r="G45" s="37">
        <v>5.9646449553293337</v>
      </c>
      <c r="H45" s="33">
        <v>2.1317492055653844</v>
      </c>
    </row>
    <row r="46" spans="1:8" x14ac:dyDescent="0.25">
      <c r="A46" s="34"/>
      <c r="B46" s="25" t="s">
        <v>241</v>
      </c>
      <c r="C46" s="75">
        <v>1.2546120515195918</v>
      </c>
      <c r="D46" s="75">
        <v>1.7514469510483159</v>
      </c>
      <c r="E46" s="75">
        <v>1.6040449157230992</v>
      </c>
      <c r="F46" s="27"/>
      <c r="G46" s="28">
        <v>27.851865744496294</v>
      </c>
      <c r="H46" s="29">
        <v>-8.4160148405859729</v>
      </c>
    </row>
    <row r="47" spans="1:8" x14ac:dyDescent="0.25">
      <c r="A47" s="30" t="s">
        <v>189</v>
      </c>
      <c r="B47" s="31" t="s">
        <v>3</v>
      </c>
      <c r="C47" s="73">
        <v>682.20584986976553</v>
      </c>
      <c r="D47" s="73">
        <v>621.86449503526478</v>
      </c>
      <c r="E47" s="76">
        <v>564.08282431042085</v>
      </c>
      <c r="F47" s="22" t="s">
        <v>240</v>
      </c>
      <c r="G47" s="23">
        <v>-17.314865532433444</v>
      </c>
      <c r="H47" s="24">
        <v>-9.2916818995378208</v>
      </c>
    </row>
    <row r="48" spans="1:8" x14ac:dyDescent="0.25">
      <c r="A48" s="30"/>
      <c r="B48" s="25" t="s">
        <v>241</v>
      </c>
      <c r="C48" s="75">
        <v>265.01405104251671</v>
      </c>
      <c r="D48" s="75">
        <v>371.86451976514434</v>
      </c>
      <c r="E48" s="75">
        <v>285.91069978407205</v>
      </c>
      <c r="F48" s="27"/>
      <c r="G48" s="23">
        <v>7.8851097363901204</v>
      </c>
      <c r="H48" s="24">
        <v>-23.11428367389216</v>
      </c>
    </row>
    <row r="49" spans="1:8" x14ac:dyDescent="0.25">
      <c r="A49" s="38" t="s">
        <v>12</v>
      </c>
      <c r="B49" s="31" t="s">
        <v>3</v>
      </c>
      <c r="C49" s="73">
        <v>14.626814588053211</v>
      </c>
      <c r="D49" s="73">
        <v>15.08056151650902</v>
      </c>
      <c r="E49" s="76">
        <v>31.37419993370457</v>
      </c>
      <c r="F49" s="22" t="s">
        <v>240</v>
      </c>
      <c r="G49" s="37">
        <v>114.49783030223256</v>
      </c>
      <c r="H49" s="33">
        <v>108.0439770054885</v>
      </c>
    </row>
    <row r="50" spans="1:8" x14ac:dyDescent="0.25">
      <c r="A50" s="34"/>
      <c r="B50" s="25" t="s">
        <v>241</v>
      </c>
      <c r="C50" s="75">
        <v>2.2110169283865257</v>
      </c>
      <c r="D50" s="75">
        <v>9.4918521073361202</v>
      </c>
      <c r="E50" s="75">
        <v>9.6112077103655409</v>
      </c>
      <c r="F50" s="27"/>
      <c r="G50" s="28">
        <v>334.69625161935113</v>
      </c>
      <c r="H50" s="29">
        <v>1.2574532523233586</v>
      </c>
    </row>
    <row r="51" spans="1:8" x14ac:dyDescent="0.25">
      <c r="A51" s="38" t="s">
        <v>23</v>
      </c>
      <c r="B51" s="31" t="s">
        <v>3</v>
      </c>
      <c r="C51" s="73">
        <v>220.67341616584955</v>
      </c>
      <c r="D51" s="73">
        <v>188.16510369122446</v>
      </c>
      <c r="E51" s="76">
        <v>167.47379804909926</v>
      </c>
      <c r="F51" s="22" t="s">
        <v>240</v>
      </c>
      <c r="G51" s="23">
        <v>-24.107850887108</v>
      </c>
      <c r="H51" s="24">
        <v>-10.996356516816888</v>
      </c>
    </row>
    <row r="52" spans="1:8" x14ac:dyDescent="0.25">
      <c r="A52" s="34"/>
      <c r="B52" s="25" t="s">
        <v>241</v>
      </c>
      <c r="C52" s="75">
        <v>94.862488226250974</v>
      </c>
      <c r="D52" s="75">
        <v>96.278438443856061</v>
      </c>
      <c r="E52" s="75">
        <v>80.580628106189408</v>
      </c>
      <c r="F52" s="27"/>
      <c r="G52" s="28">
        <v>-15.055329442760069</v>
      </c>
      <c r="H52" s="29">
        <v>-16.304595910974086</v>
      </c>
    </row>
    <row r="53" spans="1:8" x14ac:dyDescent="0.25">
      <c r="A53" s="30" t="s">
        <v>24</v>
      </c>
      <c r="B53" s="31" t="s">
        <v>3</v>
      </c>
      <c r="C53" s="73">
        <v>1012.9524488907548</v>
      </c>
      <c r="D53" s="73">
        <v>885.76414007346375</v>
      </c>
      <c r="E53" s="76">
        <v>717.34437106404039</v>
      </c>
      <c r="F53" s="22" t="s">
        <v>240</v>
      </c>
      <c r="G53" s="23">
        <v>-29.182818813501413</v>
      </c>
      <c r="H53" s="24">
        <v>-19.014064962649641</v>
      </c>
    </row>
    <row r="54" spans="1:8" ht="13.8" thickBot="1" x14ac:dyDescent="0.3">
      <c r="A54" s="40"/>
      <c r="B54" s="41" t="s">
        <v>241</v>
      </c>
      <c r="C54" s="79">
        <v>470.13974140549658</v>
      </c>
      <c r="D54" s="79">
        <v>524.57913391584589</v>
      </c>
      <c r="E54" s="79">
        <v>389.04181664546581</v>
      </c>
      <c r="F54" s="43"/>
      <c r="G54" s="44">
        <v>-17.249748876277962</v>
      </c>
      <c r="H54" s="45">
        <v>-25.837344359969009</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15</v>
      </c>
    </row>
    <row r="62" spans="1:8" ht="12.75" customHeight="1" x14ac:dyDescent="0.25">
      <c r="A62" s="52" t="str">
        <f>+Innhold!$B$124</f>
        <v>Skadestatistikk for landbasert forsikring 2. kvartal 2025</v>
      </c>
      <c r="G62" s="51"/>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zoomScaleNormal="100" workbookViewId="0">
      <selection activeCell="B6" sqref="B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ht="12.75" customHeight="1" x14ac:dyDescent="0.25">
      <c r="A7" s="192" t="s">
        <v>45</v>
      </c>
      <c r="B7" s="19" t="s">
        <v>3</v>
      </c>
      <c r="C7" s="20">
        <v>23403.869983780671</v>
      </c>
      <c r="D7" s="20">
        <v>27162.855386386229</v>
      </c>
      <c r="E7" s="21">
        <v>21272.80997094476</v>
      </c>
      <c r="F7" s="22" t="s">
        <v>240</v>
      </c>
      <c r="G7" s="23">
        <v>-9.1055881540650176</v>
      </c>
      <c r="H7" s="24">
        <v>-21.684190898404239</v>
      </c>
    </row>
    <row r="8" spans="1:8" ht="12.75" customHeight="1" x14ac:dyDescent="0.25">
      <c r="A8" s="193"/>
      <c r="B8" s="25" t="s">
        <v>241</v>
      </c>
      <c r="C8" s="26">
        <v>10719.996600606582</v>
      </c>
      <c r="D8" s="26">
        <v>14804.434991890335</v>
      </c>
      <c r="E8" s="26">
        <v>10904</v>
      </c>
      <c r="F8" s="27"/>
      <c r="G8" s="28">
        <v>1.7164501655066289</v>
      </c>
      <c r="H8" s="29">
        <v>-26.346395482346608</v>
      </c>
    </row>
    <row r="9" spans="1:8" x14ac:dyDescent="0.25">
      <c r="A9" s="30" t="s">
        <v>18</v>
      </c>
      <c r="B9" s="31" t="s">
        <v>3</v>
      </c>
      <c r="C9" s="20">
        <v>2945.026991304348</v>
      </c>
      <c r="D9" s="20">
        <v>3356.499965217391</v>
      </c>
      <c r="E9" s="21">
        <v>2601.9433778758303</v>
      </c>
      <c r="F9" s="22" t="s">
        <v>240</v>
      </c>
      <c r="G9" s="32">
        <v>-11.649591478839611</v>
      </c>
      <c r="H9" s="33">
        <v>-22.480458667089252</v>
      </c>
    </row>
    <row r="10" spans="1:8" x14ac:dyDescent="0.25">
      <c r="A10" s="34"/>
      <c r="B10" s="25" t="s">
        <v>241</v>
      </c>
      <c r="C10" s="26">
        <v>1102.8839413043479</v>
      </c>
      <c r="D10" s="26">
        <v>1473.013495652174</v>
      </c>
      <c r="E10" s="26">
        <v>1080</v>
      </c>
      <c r="F10" s="27"/>
      <c r="G10" s="35">
        <v>-2.0749183524500125</v>
      </c>
      <c r="H10" s="29">
        <v>-26.68091614993439</v>
      </c>
    </row>
    <row r="11" spans="1:8" x14ac:dyDescent="0.25">
      <c r="A11" s="30" t="s">
        <v>19</v>
      </c>
      <c r="B11" s="31" t="s">
        <v>3</v>
      </c>
      <c r="C11" s="20">
        <v>7799.4233043478262</v>
      </c>
      <c r="D11" s="20">
        <v>9710.3332173913041</v>
      </c>
      <c r="E11" s="21">
        <v>5810.6764530291448</v>
      </c>
      <c r="F11" s="22" t="s">
        <v>240</v>
      </c>
      <c r="G11" s="37">
        <v>-25.498639754686025</v>
      </c>
      <c r="H11" s="33">
        <v>-40.159865547948804</v>
      </c>
    </row>
    <row r="12" spans="1:8" x14ac:dyDescent="0.25">
      <c r="A12" s="34"/>
      <c r="B12" s="25" t="s">
        <v>241</v>
      </c>
      <c r="C12" s="26">
        <v>3796.5488021451829</v>
      </c>
      <c r="D12" s="26">
        <v>6264.7116521739135</v>
      </c>
      <c r="E12" s="26">
        <v>3382</v>
      </c>
      <c r="F12" s="27"/>
      <c r="G12" s="28">
        <v>-10.919095835432131</v>
      </c>
      <c r="H12" s="29">
        <v>-46.01507319452741</v>
      </c>
    </row>
    <row r="13" spans="1:8" x14ac:dyDescent="0.25">
      <c r="A13" s="30" t="s">
        <v>20</v>
      </c>
      <c r="B13" s="31" t="s">
        <v>3</v>
      </c>
      <c r="C13" s="20">
        <v>1113.3920496894411</v>
      </c>
      <c r="D13" s="20">
        <v>1166.968198757764</v>
      </c>
      <c r="E13" s="21">
        <v>1044.7300256266628</v>
      </c>
      <c r="F13" s="22" t="s">
        <v>240</v>
      </c>
      <c r="G13" s="23">
        <v>-6.1669224314948394</v>
      </c>
      <c r="H13" s="24">
        <v>-10.474850408196517</v>
      </c>
    </row>
    <row r="14" spans="1:8" x14ac:dyDescent="0.25">
      <c r="A14" s="34"/>
      <c r="B14" s="25" t="s">
        <v>241</v>
      </c>
      <c r="C14" s="26">
        <v>445.17490683229818</v>
      </c>
      <c r="D14" s="26">
        <v>603.19602484472057</v>
      </c>
      <c r="E14" s="26">
        <v>492</v>
      </c>
      <c r="F14" s="27"/>
      <c r="G14" s="23">
        <v>10.518358615693785</v>
      </c>
      <c r="H14" s="24">
        <v>-18.434475736696953</v>
      </c>
    </row>
    <row r="15" spans="1:8" x14ac:dyDescent="0.25">
      <c r="A15" s="30" t="s">
        <v>21</v>
      </c>
      <c r="B15" s="31" t="s">
        <v>3</v>
      </c>
      <c r="C15" s="20">
        <v>777.86434782608694</v>
      </c>
      <c r="D15" s="20">
        <v>780.15739130434781</v>
      </c>
      <c r="E15" s="21">
        <v>741.22031308831561</v>
      </c>
      <c r="F15" s="22" t="s">
        <v>240</v>
      </c>
      <c r="G15" s="37">
        <v>-4.7108515565961113</v>
      </c>
      <c r="H15" s="33">
        <v>-4.9909260169839769</v>
      </c>
    </row>
    <row r="16" spans="1:8" x14ac:dyDescent="0.25">
      <c r="A16" s="34"/>
      <c r="B16" s="25" t="s">
        <v>241</v>
      </c>
      <c r="C16" s="26">
        <v>349.06983169705472</v>
      </c>
      <c r="D16" s="26">
        <v>379.93217391304347</v>
      </c>
      <c r="E16" s="26">
        <v>351</v>
      </c>
      <c r="F16" s="27"/>
      <c r="G16" s="28">
        <v>0.55294618087202707</v>
      </c>
      <c r="H16" s="29">
        <v>-7.6150891921212462</v>
      </c>
    </row>
    <row r="17" spans="1:8" x14ac:dyDescent="0.25">
      <c r="A17" s="30" t="s">
        <v>22</v>
      </c>
      <c r="B17" s="31" t="s">
        <v>3</v>
      </c>
      <c r="C17" s="20">
        <v>451.86434782608694</v>
      </c>
      <c r="D17" s="20">
        <v>454.15739130434781</v>
      </c>
      <c r="E17" s="21">
        <v>555.24266182612075</v>
      </c>
      <c r="F17" s="22" t="s">
        <v>240</v>
      </c>
      <c r="G17" s="37">
        <v>22.878174500242253</v>
      </c>
      <c r="H17" s="33">
        <v>22.257761837026209</v>
      </c>
    </row>
    <row r="18" spans="1:8" x14ac:dyDescent="0.25">
      <c r="A18" s="34"/>
      <c r="B18" s="25" t="s">
        <v>241</v>
      </c>
      <c r="C18" s="26">
        <v>200.13434782608695</v>
      </c>
      <c r="D18" s="26">
        <v>218.93217391304347</v>
      </c>
      <c r="E18" s="26">
        <v>260</v>
      </c>
      <c r="F18" s="27"/>
      <c r="G18" s="28">
        <v>29.91273253401522</v>
      </c>
      <c r="H18" s="29">
        <v>18.758241583655064</v>
      </c>
    </row>
    <row r="19" spans="1:8" x14ac:dyDescent="0.25">
      <c r="A19" s="30" t="s">
        <v>189</v>
      </c>
      <c r="B19" s="31" t="s">
        <v>3</v>
      </c>
      <c r="C19" s="20">
        <v>6841.9801242236026</v>
      </c>
      <c r="D19" s="20">
        <v>7856.9204968944105</v>
      </c>
      <c r="E19" s="21">
        <v>8036.1170641394701</v>
      </c>
      <c r="F19" s="22" t="s">
        <v>240</v>
      </c>
      <c r="G19" s="23">
        <v>17.453089869233906</v>
      </c>
      <c r="H19" s="24">
        <v>2.2807481291924745</v>
      </c>
    </row>
    <row r="20" spans="1:8" x14ac:dyDescent="0.25">
      <c r="A20" s="30"/>
      <c r="B20" s="25" t="s">
        <v>241</v>
      </c>
      <c r="C20" s="26">
        <v>2586.3620791108206</v>
      </c>
      <c r="D20" s="26">
        <v>3765.9900621118013</v>
      </c>
      <c r="E20" s="26">
        <v>3536</v>
      </c>
      <c r="F20" s="27"/>
      <c r="G20" s="23">
        <v>36.71712976922629</v>
      </c>
      <c r="H20" s="24">
        <v>-6.1070278550558186</v>
      </c>
    </row>
    <row r="21" spans="1:8" x14ac:dyDescent="0.25">
      <c r="A21" s="38" t="s">
        <v>12</v>
      </c>
      <c r="B21" s="31" t="s">
        <v>3</v>
      </c>
      <c r="C21" s="20">
        <v>63.118608695652171</v>
      </c>
      <c r="D21" s="20">
        <v>83.694434782608695</v>
      </c>
      <c r="E21" s="21">
        <v>87.423722922272617</v>
      </c>
      <c r="F21" s="22" t="s">
        <v>240</v>
      </c>
      <c r="G21" s="37">
        <v>38.507050026745389</v>
      </c>
      <c r="H21" s="33">
        <v>4.4558376543799056</v>
      </c>
    </row>
    <row r="22" spans="1:8" x14ac:dyDescent="0.25">
      <c r="A22" s="34"/>
      <c r="B22" s="25" t="s">
        <v>241</v>
      </c>
      <c r="C22" s="26">
        <v>18.080608695652174</v>
      </c>
      <c r="D22" s="26">
        <v>37.559304347826085</v>
      </c>
      <c r="E22" s="26">
        <v>33</v>
      </c>
      <c r="F22" s="27"/>
      <c r="G22" s="28">
        <v>82.515979165764918</v>
      </c>
      <c r="H22" s="29">
        <v>-12.13894779733846</v>
      </c>
    </row>
    <row r="23" spans="1:8" x14ac:dyDescent="0.25">
      <c r="A23" s="38" t="s">
        <v>23</v>
      </c>
      <c r="B23" s="31" t="s">
        <v>3</v>
      </c>
      <c r="C23" s="20">
        <v>1603.8643478260869</v>
      </c>
      <c r="D23" s="20">
        <v>1495.1573913043478</v>
      </c>
      <c r="E23" s="21">
        <v>1576.9606826527327</v>
      </c>
      <c r="F23" s="22" t="s">
        <v>240</v>
      </c>
      <c r="G23" s="23">
        <v>-1.6774277207308756</v>
      </c>
      <c r="H23" s="24">
        <v>5.4712160622114396</v>
      </c>
    </row>
    <row r="24" spans="1:8" x14ac:dyDescent="0.25">
      <c r="A24" s="34"/>
      <c r="B24" s="25" t="s">
        <v>241</v>
      </c>
      <c r="C24" s="26">
        <v>842.33434782608697</v>
      </c>
      <c r="D24" s="26">
        <v>682.93217391304347</v>
      </c>
      <c r="E24" s="26">
        <v>753</v>
      </c>
      <c r="F24" s="27"/>
      <c r="G24" s="28">
        <v>-10.605568686192456</v>
      </c>
      <c r="H24" s="29">
        <v>10.259851382529561</v>
      </c>
    </row>
    <row r="25" spans="1:8" x14ac:dyDescent="0.25">
      <c r="A25" s="30" t="s">
        <v>24</v>
      </c>
      <c r="B25" s="31" t="s">
        <v>3</v>
      </c>
      <c r="C25" s="20">
        <v>3398.7286956521739</v>
      </c>
      <c r="D25" s="20">
        <v>3827.3147826086956</v>
      </c>
      <c r="E25" s="21">
        <v>2695.0264955468115</v>
      </c>
      <c r="F25" s="22" t="s">
        <v>240</v>
      </c>
      <c r="G25" s="23">
        <v>-20.704865351729126</v>
      </c>
      <c r="H25" s="24">
        <v>-29.584404507489111</v>
      </c>
    </row>
    <row r="26" spans="1:8" ht="13.8" thickBot="1" x14ac:dyDescent="0.3">
      <c r="A26" s="40"/>
      <c r="B26" s="41" t="s">
        <v>241</v>
      </c>
      <c r="C26" s="42">
        <v>1854.0033895297247</v>
      </c>
      <c r="D26" s="42">
        <v>2226.8643478260869</v>
      </c>
      <c r="E26" s="42">
        <v>1534</v>
      </c>
      <c r="F26" s="43"/>
      <c r="G26" s="44">
        <v>-17.26012969215202</v>
      </c>
      <c r="H26" s="45">
        <v>-31.11390006771073</v>
      </c>
    </row>
    <row r="31" spans="1:8" x14ac:dyDescent="0.25">
      <c r="A31" s="46"/>
      <c r="B31" s="47"/>
      <c r="C31" s="48"/>
      <c r="D31" s="53"/>
      <c r="E31" s="48"/>
      <c r="F31" s="48"/>
      <c r="G31" s="49"/>
      <c r="H31" s="49"/>
    </row>
    <row r="32" spans="1:8" ht="16.8" thickBot="1" x14ac:dyDescent="0.4">
      <c r="A32" s="4" t="s">
        <v>98</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45</v>
      </c>
      <c r="B35" s="19" t="s">
        <v>3</v>
      </c>
      <c r="C35" s="73">
        <v>1347.9676720498505</v>
      </c>
      <c r="D35" s="73">
        <v>1431.2174578167126</v>
      </c>
      <c r="E35" s="76">
        <v>1013.2723718125528</v>
      </c>
      <c r="F35" s="22" t="s">
        <v>240</v>
      </c>
      <c r="G35" s="23">
        <v>-24.829623675494204</v>
      </c>
      <c r="H35" s="24">
        <v>-29.202067353323429</v>
      </c>
    </row>
    <row r="36" spans="1:8" ht="12.75" customHeight="1" x14ac:dyDescent="0.25">
      <c r="A36" s="193"/>
      <c r="B36" s="25" t="s">
        <v>241</v>
      </c>
      <c r="C36" s="75">
        <v>638.81338290090957</v>
      </c>
      <c r="D36" s="75">
        <v>901.57654800479293</v>
      </c>
      <c r="E36" s="75">
        <v>575.17461749149186</v>
      </c>
      <c r="F36" s="27"/>
      <c r="G36" s="28">
        <v>-9.9620275831461669</v>
      </c>
      <c r="H36" s="29">
        <v>-36.203462838029132</v>
      </c>
    </row>
    <row r="37" spans="1:8" x14ac:dyDescent="0.25">
      <c r="A37" s="30" t="s">
        <v>18</v>
      </c>
      <c r="B37" s="31" t="s">
        <v>3</v>
      </c>
      <c r="C37" s="73">
        <v>511.05360892797552</v>
      </c>
      <c r="D37" s="73">
        <v>488.56474345624883</v>
      </c>
      <c r="E37" s="76">
        <v>357.15828200252133</v>
      </c>
      <c r="F37" s="22" t="s">
        <v>240</v>
      </c>
      <c r="G37" s="32">
        <v>-30.11334314775246</v>
      </c>
      <c r="H37" s="33">
        <v>-26.896427385267302</v>
      </c>
    </row>
    <row r="38" spans="1:8" x14ac:dyDescent="0.25">
      <c r="A38" s="34"/>
      <c r="B38" s="25" t="s">
        <v>241</v>
      </c>
      <c r="C38" s="75">
        <v>216.25659924516819</v>
      </c>
      <c r="D38" s="75">
        <v>293.72289810980197</v>
      </c>
      <c r="E38" s="75">
        <v>188.3121569194719</v>
      </c>
      <c r="F38" s="27"/>
      <c r="G38" s="35">
        <v>-12.92189113452946</v>
      </c>
      <c r="H38" s="29">
        <v>-35.887818712358111</v>
      </c>
    </row>
    <row r="39" spans="1:8" x14ac:dyDescent="0.25">
      <c r="A39" s="30" t="s">
        <v>19</v>
      </c>
      <c r="B39" s="31" t="s">
        <v>3</v>
      </c>
      <c r="C39" s="73">
        <v>472.24219797751482</v>
      </c>
      <c r="D39" s="73">
        <v>604.88885710303157</v>
      </c>
      <c r="E39" s="76">
        <v>388.81070789929942</v>
      </c>
      <c r="F39" s="22" t="s">
        <v>240</v>
      </c>
      <c r="G39" s="37">
        <v>-17.667097611253254</v>
      </c>
      <c r="H39" s="33">
        <v>-35.721958946075816</v>
      </c>
    </row>
    <row r="40" spans="1:8" x14ac:dyDescent="0.25">
      <c r="A40" s="34"/>
      <c r="B40" s="25" t="s">
        <v>241</v>
      </c>
      <c r="C40" s="75">
        <v>239.42634626838617</v>
      </c>
      <c r="D40" s="75">
        <v>393.21075499957016</v>
      </c>
      <c r="E40" s="75">
        <v>231.01988204003652</v>
      </c>
      <c r="F40" s="27"/>
      <c r="G40" s="28">
        <v>-3.5110857093923897</v>
      </c>
      <c r="H40" s="29">
        <v>-41.24782216593006</v>
      </c>
    </row>
    <row r="41" spans="1:8" x14ac:dyDescent="0.25">
      <c r="A41" s="30" t="s">
        <v>20</v>
      </c>
      <c r="B41" s="31" t="s">
        <v>3</v>
      </c>
      <c r="C41" s="73">
        <v>45.372031093984162</v>
      </c>
      <c r="D41" s="73">
        <v>42.091523772120198</v>
      </c>
      <c r="E41" s="76">
        <v>36.989144413046134</v>
      </c>
      <c r="F41" s="22" t="s">
        <v>240</v>
      </c>
      <c r="G41" s="23">
        <v>-18.475890276046087</v>
      </c>
      <c r="H41" s="24">
        <v>-12.122106547384448</v>
      </c>
    </row>
    <row r="42" spans="1:8" x14ac:dyDescent="0.25">
      <c r="A42" s="34"/>
      <c r="B42" s="25" t="s">
        <v>241</v>
      </c>
      <c r="C42" s="75">
        <v>18.45834602128868</v>
      </c>
      <c r="D42" s="75">
        <v>26.289945308155204</v>
      </c>
      <c r="E42" s="75">
        <v>19.604939572566568</v>
      </c>
      <c r="F42" s="27"/>
      <c r="G42" s="23">
        <v>6.2117892359124767</v>
      </c>
      <c r="H42" s="24">
        <v>-25.427994076179885</v>
      </c>
    </row>
    <row r="43" spans="1:8" x14ac:dyDescent="0.25">
      <c r="A43" s="30" t="s">
        <v>21</v>
      </c>
      <c r="B43" s="31" t="s">
        <v>3</v>
      </c>
      <c r="C43" s="73">
        <v>13.010591074527952</v>
      </c>
      <c r="D43" s="73">
        <v>13.995825833954727</v>
      </c>
      <c r="E43" s="76">
        <v>12.911294216787333</v>
      </c>
      <c r="F43" s="22" t="s">
        <v>240</v>
      </c>
      <c r="G43" s="37">
        <v>-0.76320020490861396</v>
      </c>
      <c r="H43" s="33">
        <v>-7.7489647987491708</v>
      </c>
    </row>
    <row r="44" spans="1:8" x14ac:dyDescent="0.25">
      <c r="A44" s="34"/>
      <c r="B44" s="25" t="s">
        <v>241</v>
      </c>
      <c r="C44" s="75">
        <v>5.8488318091941336</v>
      </c>
      <c r="D44" s="75">
        <v>7.399944248375534</v>
      </c>
      <c r="E44" s="75">
        <v>6.4479514790672487</v>
      </c>
      <c r="F44" s="27"/>
      <c r="G44" s="28">
        <v>10.243407391734564</v>
      </c>
      <c r="H44" s="29">
        <v>-12.86486407674316</v>
      </c>
    </row>
    <row r="45" spans="1:8" x14ac:dyDescent="0.25">
      <c r="A45" s="30" t="s">
        <v>22</v>
      </c>
      <c r="B45" s="31" t="s">
        <v>3</v>
      </c>
      <c r="C45" s="73">
        <v>3.1450758378601562</v>
      </c>
      <c r="D45" s="73">
        <v>2.925303028973735</v>
      </c>
      <c r="E45" s="76">
        <v>3.2650317988707971</v>
      </c>
      <c r="F45" s="22" t="s">
        <v>240</v>
      </c>
      <c r="G45" s="37">
        <v>3.8140880282319785</v>
      </c>
      <c r="H45" s="33">
        <v>11.613455649968913</v>
      </c>
    </row>
    <row r="46" spans="1:8" x14ac:dyDescent="0.25">
      <c r="A46" s="34"/>
      <c r="B46" s="25" t="s">
        <v>241</v>
      </c>
      <c r="C46" s="75">
        <v>1.4900905338328996</v>
      </c>
      <c r="D46" s="75">
        <v>1.6269551697568709</v>
      </c>
      <c r="E46" s="75">
        <v>1.7164180857584816</v>
      </c>
      <c r="F46" s="27"/>
      <c r="G46" s="28">
        <v>15.188845696738213</v>
      </c>
      <c r="H46" s="29">
        <v>5.4987941686788844</v>
      </c>
    </row>
    <row r="47" spans="1:8" x14ac:dyDescent="0.25">
      <c r="A47" s="30" t="s">
        <v>189</v>
      </c>
      <c r="B47" s="31" t="s">
        <v>3</v>
      </c>
      <c r="C47" s="73">
        <v>136.01959731541021</v>
      </c>
      <c r="D47" s="73">
        <v>129.40500122315362</v>
      </c>
      <c r="E47" s="76">
        <v>112.43734845592634</v>
      </c>
      <c r="F47" s="22" t="s">
        <v>240</v>
      </c>
      <c r="G47" s="23">
        <v>-17.337390585563909</v>
      </c>
      <c r="H47" s="24">
        <v>-13.112053326259982</v>
      </c>
    </row>
    <row r="48" spans="1:8" x14ac:dyDescent="0.25">
      <c r="A48" s="30"/>
      <c r="B48" s="25" t="s">
        <v>241</v>
      </c>
      <c r="C48" s="75">
        <v>58.788233781154446</v>
      </c>
      <c r="D48" s="75">
        <v>81.157550187585443</v>
      </c>
      <c r="E48" s="75">
        <v>61.299327074818692</v>
      </c>
      <c r="F48" s="27"/>
      <c r="G48" s="23">
        <v>4.2714215620290048</v>
      </c>
      <c r="H48" s="24">
        <v>-24.468731580570108</v>
      </c>
    </row>
    <row r="49" spans="1:8" x14ac:dyDescent="0.25">
      <c r="A49" s="38" t="s">
        <v>12</v>
      </c>
      <c r="B49" s="31" t="s">
        <v>3</v>
      </c>
      <c r="C49" s="73">
        <v>1.022169144200952</v>
      </c>
      <c r="D49" s="73">
        <v>0.99713548082041958</v>
      </c>
      <c r="E49" s="76">
        <v>2.078571526529609</v>
      </c>
      <c r="F49" s="22" t="s">
        <v>240</v>
      </c>
      <c r="G49" s="37">
        <v>103.34907762789746</v>
      </c>
      <c r="H49" s="33">
        <v>108.45427391866642</v>
      </c>
    </row>
    <row r="50" spans="1:8" x14ac:dyDescent="0.25">
      <c r="A50" s="34"/>
      <c r="B50" s="25" t="s">
        <v>241</v>
      </c>
      <c r="C50" s="75">
        <v>0.22095253430976869</v>
      </c>
      <c r="D50" s="75">
        <v>0.51973933611545053</v>
      </c>
      <c r="E50" s="75">
        <v>0.73679877022866158</v>
      </c>
      <c r="F50" s="27"/>
      <c r="G50" s="28">
        <v>233.46472921450732</v>
      </c>
      <c r="H50" s="29">
        <v>41.763133753839099</v>
      </c>
    </row>
    <row r="51" spans="1:8" x14ac:dyDescent="0.25">
      <c r="A51" s="38" t="s">
        <v>23</v>
      </c>
      <c r="B51" s="31" t="s">
        <v>3</v>
      </c>
      <c r="C51" s="73">
        <v>63.72292432636884</v>
      </c>
      <c r="D51" s="73">
        <v>51.008676032492282</v>
      </c>
      <c r="E51" s="76">
        <v>44.284974197414876</v>
      </c>
      <c r="F51" s="22" t="s">
        <v>240</v>
      </c>
      <c r="G51" s="23">
        <v>-30.503857653171835</v>
      </c>
      <c r="H51" s="24">
        <v>-13.181486676490962</v>
      </c>
    </row>
    <row r="52" spans="1:8" x14ac:dyDescent="0.25">
      <c r="A52" s="34"/>
      <c r="B52" s="25" t="s">
        <v>241</v>
      </c>
      <c r="C52" s="75">
        <v>29.313646983819719</v>
      </c>
      <c r="D52" s="75">
        <v>30.145476344699045</v>
      </c>
      <c r="E52" s="75">
        <v>23.903372065930284</v>
      </c>
      <c r="F52" s="27"/>
      <c r="G52" s="28">
        <v>-18.456505670808383</v>
      </c>
      <c r="H52" s="29">
        <v>-20.706603562648326</v>
      </c>
    </row>
    <row r="53" spans="1:8" x14ac:dyDescent="0.25">
      <c r="A53" s="30" t="s">
        <v>24</v>
      </c>
      <c r="B53" s="31" t="s">
        <v>3</v>
      </c>
      <c r="C53" s="73">
        <v>102.37947635200793</v>
      </c>
      <c r="D53" s="73">
        <v>97.340391885917143</v>
      </c>
      <c r="E53" s="76">
        <v>61.340559875866454</v>
      </c>
      <c r="F53" s="22" t="s">
        <v>240</v>
      </c>
      <c r="G53" s="23">
        <v>-40.085100977698637</v>
      </c>
      <c r="H53" s="24">
        <v>-36.983446760973038</v>
      </c>
    </row>
    <row r="54" spans="1:8" ht="13.8" thickBot="1" x14ac:dyDescent="0.3">
      <c r="A54" s="40"/>
      <c r="B54" s="41" t="s">
        <v>241</v>
      </c>
      <c r="C54" s="79">
        <v>69.010335723755603</v>
      </c>
      <c r="D54" s="79">
        <v>67.503284300733242</v>
      </c>
      <c r="E54" s="79">
        <v>42.13377148361343</v>
      </c>
      <c r="F54" s="43"/>
      <c r="G54" s="44">
        <v>-38.945708578679451</v>
      </c>
      <c r="H54" s="45">
        <v>-37.582634800547389</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87">
        <v>16</v>
      </c>
    </row>
    <row r="62" spans="1:8" ht="12.75" customHeight="1" x14ac:dyDescent="0.25">
      <c r="A62" s="52" t="str">
        <f>+Innhold!$B$124</f>
        <v>Skadestatistikk for landbasert forsikring 2. kvartal 2025</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zoomScaleNormal="100" workbookViewId="0">
      <selection activeCell="A6" sqref="A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163</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165</v>
      </c>
      <c r="B7" s="19" t="s">
        <v>3</v>
      </c>
      <c r="C7" s="20">
        <v>54048.423475075651</v>
      </c>
      <c r="D7" s="20">
        <v>58959.321388756172</v>
      </c>
      <c r="E7" s="72">
        <v>48233.341703089151</v>
      </c>
      <c r="F7" s="22" t="s">
        <v>240</v>
      </c>
      <c r="G7" s="23">
        <v>-10.759021999352342</v>
      </c>
      <c r="H7" s="24">
        <v>-18.192169504366987</v>
      </c>
    </row>
    <row r="8" spans="1:8" x14ac:dyDescent="0.25">
      <c r="A8" s="193"/>
      <c r="B8" s="25" t="s">
        <v>241</v>
      </c>
      <c r="C8" s="26">
        <v>25631.02574548325</v>
      </c>
      <c r="D8" s="26">
        <v>32184.619290778784</v>
      </c>
      <c r="E8" s="26">
        <v>25067</v>
      </c>
      <c r="F8" s="27"/>
      <c r="G8" s="28">
        <v>-2.2005586162802899</v>
      </c>
      <c r="H8" s="29">
        <v>-22.114971211786411</v>
      </c>
    </row>
    <row r="9" spans="1:8" x14ac:dyDescent="0.25">
      <c r="A9" s="30" t="s">
        <v>18</v>
      </c>
      <c r="B9" s="31" t="s">
        <v>3</v>
      </c>
      <c r="C9" s="20">
        <v>4513.4472463768116</v>
      </c>
      <c r="D9" s="20">
        <v>4682.284275362319</v>
      </c>
      <c r="E9" s="36">
        <v>4277.1070202284163</v>
      </c>
      <c r="F9" s="22" t="s">
        <v>240</v>
      </c>
      <c r="G9" s="32">
        <v>-5.2363573394619465</v>
      </c>
      <c r="H9" s="33">
        <v>-8.6534099876400603</v>
      </c>
    </row>
    <row r="10" spans="1:8" x14ac:dyDescent="0.25">
      <c r="A10" s="34"/>
      <c r="B10" s="25" t="s">
        <v>241</v>
      </c>
      <c r="C10" s="26">
        <v>2202.1958341042246</v>
      </c>
      <c r="D10" s="26">
        <v>2312.8014526239131</v>
      </c>
      <c r="E10" s="26">
        <v>2104</v>
      </c>
      <c r="F10" s="27"/>
      <c r="G10" s="35">
        <v>-4.4589964517922738</v>
      </c>
      <c r="H10" s="29">
        <v>-9.0280751245215782</v>
      </c>
    </row>
    <row r="11" spans="1:8" x14ac:dyDescent="0.25">
      <c r="A11" s="30" t="s">
        <v>19</v>
      </c>
      <c r="B11" s="31" t="s">
        <v>3</v>
      </c>
      <c r="C11" s="20">
        <v>26650.190988142291</v>
      </c>
      <c r="D11" s="20">
        <v>28492.657628458499</v>
      </c>
      <c r="E11" s="36">
        <v>22119.753909818643</v>
      </c>
      <c r="F11" s="22" t="s">
        <v>240</v>
      </c>
      <c r="G11" s="37">
        <v>-16.99964206762877</v>
      </c>
      <c r="H11" s="33">
        <v>-22.366827979832223</v>
      </c>
    </row>
    <row r="12" spans="1:8" x14ac:dyDescent="0.25">
      <c r="A12" s="34"/>
      <c r="B12" s="25" t="s">
        <v>241</v>
      </c>
      <c r="C12" s="26">
        <v>12249.110929553621</v>
      </c>
      <c r="D12" s="26">
        <v>16054.986572223715</v>
      </c>
      <c r="E12" s="26">
        <v>11591</v>
      </c>
      <c r="F12" s="27"/>
      <c r="G12" s="28">
        <v>-5.3727240559621805</v>
      </c>
      <c r="H12" s="29">
        <v>-27.804361916731438</v>
      </c>
    </row>
    <row r="13" spans="1:8" x14ac:dyDescent="0.25">
      <c r="A13" s="30" t="s">
        <v>20</v>
      </c>
      <c r="B13" s="31" t="s">
        <v>3</v>
      </c>
      <c r="C13" s="20">
        <v>3542.4683478260868</v>
      </c>
      <c r="D13" s="20">
        <v>3978.3705652173912</v>
      </c>
      <c r="E13" s="36">
        <v>3556.0407740673977</v>
      </c>
      <c r="F13" s="22" t="s">
        <v>240</v>
      </c>
      <c r="G13" s="23">
        <v>0.38313472157457795</v>
      </c>
      <c r="H13" s="24">
        <v>-10.615647391984865</v>
      </c>
    </row>
    <row r="14" spans="1:8" x14ac:dyDescent="0.25">
      <c r="A14" s="34"/>
      <c r="B14" s="25" t="s">
        <v>241</v>
      </c>
      <c r="C14" s="26">
        <v>1718.2933074534162</v>
      </c>
      <c r="D14" s="26">
        <v>1945.0808715743478</v>
      </c>
      <c r="E14" s="26">
        <v>1734</v>
      </c>
      <c r="F14" s="27"/>
      <c r="G14" s="23">
        <v>0.91408681384331203</v>
      </c>
      <c r="H14" s="24">
        <v>-10.852035751269256</v>
      </c>
    </row>
    <row r="15" spans="1:8" x14ac:dyDescent="0.25">
      <c r="A15" s="30" t="s">
        <v>21</v>
      </c>
      <c r="B15" s="31" t="s">
        <v>3</v>
      </c>
      <c r="C15" s="20">
        <v>1904.468347826087</v>
      </c>
      <c r="D15" s="20">
        <v>2111.3705652173912</v>
      </c>
      <c r="E15" s="36">
        <v>1957.5198352828829</v>
      </c>
      <c r="F15" s="22" t="s">
        <v>240</v>
      </c>
      <c r="G15" s="37">
        <v>2.7856324058813158</v>
      </c>
      <c r="H15" s="33">
        <v>-7.2867706156861942</v>
      </c>
    </row>
    <row r="16" spans="1:8" x14ac:dyDescent="0.25">
      <c r="A16" s="34"/>
      <c r="B16" s="25" t="s">
        <v>241</v>
      </c>
      <c r="C16" s="26">
        <v>932.36235507246374</v>
      </c>
      <c r="D16" s="26">
        <v>1074.0808715743478</v>
      </c>
      <c r="E16" s="26">
        <v>983</v>
      </c>
      <c r="F16" s="27"/>
      <c r="G16" s="28">
        <v>5.4311121263149573</v>
      </c>
      <c r="H16" s="29">
        <v>-8.4798895488050903</v>
      </c>
    </row>
    <row r="17" spans="1:8" x14ac:dyDescent="0.25">
      <c r="A17" s="30" t="s">
        <v>189</v>
      </c>
      <c r="B17" s="31" t="s">
        <v>3</v>
      </c>
      <c r="C17" s="20">
        <v>10059.447246376812</v>
      </c>
      <c r="D17" s="20">
        <v>11128.284275362319</v>
      </c>
      <c r="E17" s="36">
        <v>10465.745242449695</v>
      </c>
      <c r="F17" s="22" t="s">
        <v>240</v>
      </c>
      <c r="G17" s="37">
        <v>4.0389693998268399</v>
      </c>
      <c r="H17" s="33">
        <v>-5.9536494262594033</v>
      </c>
    </row>
    <row r="18" spans="1:8" x14ac:dyDescent="0.25">
      <c r="A18" s="34"/>
      <c r="B18" s="25" t="s">
        <v>241</v>
      </c>
      <c r="C18" s="26">
        <v>4414.7626800295275</v>
      </c>
      <c r="D18" s="26">
        <v>5816.8014526239131</v>
      </c>
      <c r="E18" s="26">
        <v>5143</v>
      </c>
      <c r="F18" s="27"/>
      <c r="G18" s="28">
        <v>16.495503218433512</v>
      </c>
      <c r="H18" s="29">
        <v>-11.58371070616424</v>
      </c>
    </row>
    <row r="19" spans="1:8" x14ac:dyDescent="0.25">
      <c r="A19" s="38" t="s">
        <v>12</v>
      </c>
      <c r="B19" s="31" t="s">
        <v>3</v>
      </c>
      <c r="C19" s="20">
        <v>658.46834782608698</v>
      </c>
      <c r="D19" s="20">
        <v>697.37056521739134</v>
      </c>
      <c r="E19" s="36">
        <v>618.21497649898367</v>
      </c>
      <c r="F19" s="22" t="s">
        <v>240</v>
      </c>
      <c r="G19" s="37">
        <v>-6.1131824270670876</v>
      </c>
      <c r="H19" s="33">
        <v>-11.35057782281541</v>
      </c>
    </row>
    <row r="20" spans="1:8" x14ac:dyDescent="0.25">
      <c r="A20" s="34"/>
      <c r="B20" s="25" t="s">
        <v>241</v>
      </c>
      <c r="C20" s="26">
        <v>247.57902173913044</v>
      </c>
      <c r="D20" s="26">
        <v>427.08087157434784</v>
      </c>
      <c r="E20" s="26">
        <v>313</v>
      </c>
      <c r="F20" s="27"/>
      <c r="G20" s="28">
        <v>26.424281751061457</v>
      </c>
      <c r="H20" s="29">
        <v>-26.711772679916947</v>
      </c>
    </row>
    <row r="21" spans="1:8" x14ac:dyDescent="0.25">
      <c r="A21" s="38" t="s">
        <v>23</v>
      </c>
      <c r="B21" s="31" t="s">
        <v>3</v>
      </c>
      <c r="C21" s="20">
        <v>695.97889855072458</v>
      </c>
      <c r="D21" s="20">
        <v>642.91371014492756</v>
      </c>
      <c r="E21" s="36">
        <v>620.08598114255278</v>
      </c>
      <c r="F21" s="22" t="s">
        <v>240</v>
      </c>
      <c r="G21" s="23">
        <v>-10.904485404113231</v>
      </c>
      <c r="H21" s="24">
        <v>-3.5506676311551786</v>
      </c>
    </row>
    <row r="22" spans="1:8" x14ac:dyDescent="0.25">
      <c r="A22" s="34"/>
      <c r="B22" s="25" t="s">
        <v>241</v>
      </c>
      <c r="C22" s="26">
        <v>368.7041963109354</v>
      </c>
      <c r="D22" s="26">
        <v>336.72058104956523</v>
      </c>
      <c r="E22" s="26">
        <v>326</v>
      </c>
      <c r="F22" s="27"/>
      <c r="G22" s="23">
        <v>-11.582237668627499</v>
      </c>
      <c r="H22" s="24">
        <v>-3.1838211421912348</v>
      </c>
    </row>
    <row r="23" spans="1:8" x14ac:dyDescent="0.25">
      <c r="A23" s="30" t="s">
        <v>24</v>
      </c>
      <c r="B23" s="31" t="s">
        <v>3</v>
      </c>
      <c r="C23" s="20">
        <v>7806.840504347826</v>
      </c>
      <c r="D23" s="20">
        <v>9499.8111695652169</v>
      </c>
      <c r="E23" s="36">
        <v>7185.0051490450633</v>
      </c>
      <c r="F23" s="22" t="s">
        <v>240</v>
      </c>
      <c r="G23" s="37">
        <v>-7.9652627071918118</v>
      </c>
      <c r="H23" s="33">
        <v>-24.366863500783637</v>
      </c>
    </row>
    <row r="24" spans="1:8" ht="13.8" thickBot="1" x14ac:dyDescent="0.3">
      <c r="A24" s="40"/>
      <c r="B24" s="41" t="s">
        <v>241</v>
      </c>
      <c r="C24" s="42">
        <v>3952.2304379604379</v>
      </c>
      <c r="D24" s="42">
        <v>5290.0242614723047</v>
      </c>
      <c r="E24" s="42">
        <v>3872</v>
      </c>
      <c r="F24" s="43"/>
      <c r="G24" s="44">
        <v>-2.0300040501140586</v>
      </c>
      <c r="H24" s="45">
        <v>-26.805628696259404</v>
      </c>
    </row>
    <row r="29" spans="1:8" x14ac:dyDescent="0.25">
      <c r="A29" s="6"/>
      <c r="B29" s="6"/>
      <c r="C29" s="21"/>
      <c r="D29" s="21"/>
      <c r="E29" s="21"/>
      <c r="F29" s="56"/>
      <c r="G29" s="23"/>
      <c r="H29" s="23"/>
    </row>
    <row r="30" spans="1:8" x14ac:dyDescent="0.25">
      <c r="A30" s="6"/>
      <c r="B30" s="57"/>
      <c r="C30" s="21"/>
      <c r="D30" s="21"/>
      <c r="E30" s="21"/>
      <c r="F30" s="58"/>
      <c r="G30" s="23"/>
      <c r="H30" s="23"/>
    </row>
    <row r="31" spans="1:8" x14ac:dyDescent="0.25">
      <c r="A31" s="46"/>
      <c r="B31" s="47"/>
      <c r="C31" s="48"/>
      <c r="D31" s="53"/>
      <c r="E31" s="48"/>
      <c r="F31" s="48"/>
      <c r="G31" s="49"/>
      <c r="H31" s="49"/>
    </row>
    <row r="32" spans="1:8" ht="16.2" thickBot="1" x14ac:dyDescent="0.35">
      <c r="A32" s="4" t="s">
        <v>164</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165</v>
      </c>
      <c r="B35" s="19" t="s">
        <v>3</v>
      </c>
      <c r="C35" s="73">
        <v>9747.4554725764829</v>
      </c>
      <c r="D35" s="73">
        <v>8476.4604420827982</v>
      </c>
      <c r="E35" s="74">
        <v>8572.4952112285282</v>
      </c>
      <c r="F35" s="22" t="s">
        <v>240</v>
      </c>
      <c r="G35" s="23">
        <v>-12.054020299488315</v>
      </c>
      <c r="H35" s="24">
        <v>1.1329583828286331</v>
      </c>
    </row>
    <row r="36" spans="1:8" ht="12.75" customHeight="1" x14ac:dyDescent="0.25">
      <c r="A36" s="193"/>
      <c r="B36" s="25" t="s">
        <v>241</v>
      </c>
      <c r="C36" s="75">
        <v>5208.1941584267151</v>
      </c>
      <c r="D36" s="75">
        <v>4449.6403132115292</v>
      </c>
      <c r="E36" s="75">
        <v>4526.5193594540469</v>
      </c>
      <c r="F36" s="27"/>
      <c r="G36" s="28">
        <v>-13.088505885859433</v>
      </c>
      <c r="H36" s="29">
        <v>1.7277586688131663</v>
      </c>
    </row>
    <row r="37" spans="1:8" x14ac:dyDescent="0.25">
      <c r="A37" s="30" t="s">
        <v>18</v>
      </c>
      <c r="B37" s="31" t="s">
        <v>3</v>
      </c>
      <c r="C37" s="73">
        <v>3500.0236178071209</v>
      </c>
      <c r="D37" s="73">
        <v>3347.0315267084916</v>
      </c>
      <c r="E37" s="76">
        <v>4685.1646751394555</v>
      </c>
      <c r="F37" s="22" t="s">
        <v>240</v>
      </c>
      <c r="G37" s="32">
        <v>33.860944574850151</v>
      </c>
      <c r="H37" s="33">
        <v>39.979699556248249</v>
      </c>
    </row>
    <row r="38" spans="1:8" x14ac:dyDescent="0.25">
      <c r="A38" s="34"/>
      <c r="B38" s="25" t="s">
        <v>241</v>
      </c>
      <c r="C38" s="75">
        <v>2051.4853240236639</v>
      </c>
      <c r="D38" s="75">
        <v>1533.5424708679825</v>
      </c>
      <c r="E38" s="75">
        <v>2315.1133746109317</v>
      </c>
      <c r="F38" s="27"/>
      <c r="G38" s="35">
        <v>12.85059403058284</v>
      </c>
      <c r="H38" s="29">
        <v>50.965064130280098</v>
      </c>
    </row>
    <row r="39" spans="1:8" x14ac:dyDescent="0.25">
      <c r="A39" s="30" t="s">
        <v>19</v>
      </c>
      <c r="B39" s="31" t="s">
        <v>3</v>
      </c>
      <c r="C39" s="73">
        <v>2618.9867460923429</v>
      </c>
      <c r="D39" s="73">
        <v>2807.7314370990703</v>
      </c>
      <c r="E39" s="76">
        <v>2368.4471447585993</v>
      </c>
      <c r="F39" s="22" t="s">
        <v>240</v>
      </c>
      <c r="G39" s="37">
        <v>-9.5662798487835374</v>
      </c>
      <c r="H39" s="33">
        <v>-15.645523875115941</v>
      </c>
    </row>
    <row r="40" spans="1:8" x14ac:dyDescent="0.25">
      <c r="A40" s="34"/>
      <c r="B40" s="25" t="s">
        <v>241</v>
      </c>
      <c r="C40" s="75">
        <v>1071.2167706254227</v>
      </c>
      <c r="D40" s="75">
        <v>1586.556686268364</v>
      </c>
      <c r="E40" s="75">
        <v>1187.3356697464408</v>
      </c>
      <c r="F40" s="27"/>
      <c r="G40" s="28">
        <v>10.839906758855449</v>
      </c>
      <c r="H40" s="29">
        <v>-25.162732600554278</v>
      </c>
    </row>
    <row r="41" spans="1:8" x14ac:dyDescent="0.25">
      <c r="A41" s="30" t="s">
        <v>20</v>
      </c>
      <c r="B41" s="31" t="s">
        <v>3</v>
      </c>
      <c r="C41" s="73">
        <v>230.12746343688869</v>
      </c>
      <c r="D41" s="73">
        <v>258.8339659852374</v>
      </c>
      <c r="E41" s="76">
        <v>237.57853537224668</v>
      </c>
      <c r="F41" s="22" t="s">
        <v>240</v>
      </c>
      <c r="G41" s="23">
        <v>3.2378021397699825</v>
      </c>
      <c r="H41" s="24">
        <v>-8.2119943308379391</v>
      </c>
    </row>
    <row r="42" spans="1:8" x14ac:dyDescent="0.25">
      <c r="A42" s="34"/>
      <c r="B42" s="25" t="s">
        <v>241</v>
      </c>
      <c r="C42" s="75">
        <v>109.60577559416183</v>
      </c>
      <c r="D42" s="75">
        <v>121.98261217846517</v>
      </c>
      <c r="E42" s="75">
        <v>112.35901555221902</v>
      </c>
      <c r="F42" s="27"/>
      <c r="G42" s="23">
        <v>2.5119478815164342</v>
      </c>
      <c r="H42" s="24">
        <v>-7.8893183662655701</v>
      </c>
    </row>
    <row r="43" spans="1:8" x14ac:dyDescent="0.25">
      <c r="A43" s="30" t="s">
        <v>21</v>
      </c>
      <c r="B43" s="31" t="s">
        <v>3</v>
      </c>
      <c r="C43" s="73">
        <v>43.570854270076659</v>
      </c>
      <c r="D43" s="73">
        <v>50.366140108535632</v>
      </c>
      <c r="E43" s="76">
        <v>54.216548057475421</v>
      </c>
      <c r="F43" s="22" t="s">
        <v>240</v>
      </c>
      <c r="G43" s="37">
        <v>24.433061884467008</v>
      </c>
      <c r="H43" s="33">
        <v>7.644834288755149</v>
      </c>
    </row>
    <row r="44" spans="1:8" x14ac:dyDescent="0.25">
      <c r="A44" s="34"/>
      <c r="B44" s="25" t="s">
        <v>241</v>
      </c>
      <c r="C44" s="75">
        <v>21.656319624479629</v>
      </c>
      <c r="D44" s="75">
        <v>26.255623463000269</v>
      </c>
      <c r="E44" s="75">
        <v>27.810386135371452</v>
      </c>
      <c r="F44" s="27"/>
      <c r="G44" s="28">
        <v>28.41695457770885</v>
      </c>
      <c r="H44" s="29">
        <v>5.9216368431020925</v>
      </c>
    </row>
    <row r="45" spans="1:8" x14ac:dyDescent="0.25">
      <c r="A45" s="30" t="s">
        <v>189</v>
      </c>
      <c r="B45" s="31" t="s">
        <v>3</v>
      </c>
      <c r="C45" s="73">
        <v>1119.0518174193353</v>
      </c>
      <c r="D45" s="73">
        <v>1014.9115723962958</v>
      </c>
      <c r="E45" s="76">
        <v>1016.9084568073696</v>
      </c>
      <c r="F45" s="22" t="s">
        <v>240</v>
      </c>
      <c r="G45" s="37">
        <v>-9.1276703207113599</v>
      </c>
      <c r="H45" s="33">
        <v>0.1967545218110871</v>
      </c>
    </row>
    <row r="46" spans="1:8" x14ac:dyDescent="0.25">
      <c r="A46" s="34"/>
      <c r="B46" s="25" t="s">
        <v>241</v>
      </c>
      <c r="C46" s="75">
        <v>458.16202987917603</v>
      </c>
      <c r="D46" s="75">
        <v>466.06604374592462</v>
      </c>
      <c r="E46" s="75">
        <v>448.78742418595886</v>
      </c>
      <c r="F46" s="27"/>
      <c r="G46" s="28">
        <v>-2.046133263310665</v>
      </c>
      <c r="H46" s="29">
        <v>-3.7073328537500601</v>
      </c>
    </row>
    <row r="47" spans="1:8" x14ac:dyDescent="0.25">
      <c r="A47" s="38" t="s">
        <v>12</v>
      </c>
      <c r="B47" s="31" t="s">
        <v>3</v>
      </c>
      <c r="C47" s="73">
        <v>40.581817930459813</v>
      </c>
      <c r="D47" s="73">
        <v>25.494554779231184</v>
      </c>
      <c r="E47" s="76">
        <v>36.393596508204958</v>
      </c>
      <c r="F47" s="22" t="s">
        <v>240</v>
      </c>
      <c r="G47" s="37">
        <v>-10.320438156397302</v>
      </c>
      <c r="H47" s="33">
        <v>42.750468966230159</v>
      </c>
    </row>
    <row r="48" spans="1:8" x14ac:dyDescent="0.25">
      <c r="A48" s="34"/>
      <c r="B48" s="25" t="s">
        <v>241</v>
      </c>
      <c r="C48" s="75">
        <v>15.813377161200476</v>
      </c>
      <c r="D48" s="75">
        <v>12.747002719228856</v>
      </c>
      <c r="E48" s="75">
        <v>16.627234660144239</v>
      </c>
      <c r="F48" s="27"/>
      <c r="G48" s="28">
        <v>5.1466393968053552</v>
      </c>
      <c r="H48" s="29">
        <v>30.440347636092156</v>
      </c>
    </row>
    <row r="49" spans="1:8" x14ac:dyDescent="0.25">
      <c r="A49" s="38" t="s">
        <v>23</v>
      </c>
      <c r="B49" s="31" t="s">
        <v>3</v>
      </c>
      <c r="C49" s="73">
        <v>53.461525983377598</v>
      </c>
      <c r="D49" s="73">
        <v>31.721700854700988</v>
      </c>
      <c r="E49" s="76">
        <v>38.110568180952718</v>
      </c>
      <c r="F49" s="22" t="s">
        <v>240</v>
      </c>
      <c r="G49" s="23">
        <v>-28.714028490690367</v>
      </c>
      <c r="H49" s="24">
        <v>20.140368120598225</v>
      </c>
    </row>
    <row r="50" spans="1:8" x14ac:dyDescent="0.25">
      <c r="A50" s="34"/>
      <c r="B50" s="25" t="s">
        <v>241</v>
      </c>
      <c r="C50" s="75">
        <v>18.110750378248351</v>
      </c>
      <c r="D50" s="75">
        <v>16.408575283407277</v>
      </c>
      <c r="E50" s="75">
        <v>16.768111990082861</v>
      </c>
      <c r="F50" s="27"/>
      <c r="G50" s="23">
        <v>-7.4134884536758108</v>
      </c>
      <c r="H50" s="24">
        <v>2.1911512758768197</v>
      </c>
    </row>
    <row r="51" spans="1:8" x14ac:dyDescent="0.25">
      <c r="A51" s="30" t="s">
        <v>24</v>
      </c>
      <c r="B51" s="31" t="s">
        <v>3</v>
      </c>
      <c r="C51" s="73">
        <v>2141.65162963688</v>
      </c>
      <c r="D51" s="73">
        <v>940.36954415123591</v>
      </c>
      <c r="E51" s="76">
        <v>563.21033738242636</v>
      </c>
      <c r="F51" s="22" t="s">
        <v>240</v>
      </c>
      <c r="G51" s="37">
        <v>-73.702056413445746</v>
      </c>
      <c r="H51" s="33">
        <v>-40.107552303730557</v>
      </c>
    </row>
    <row r="52" spans="1:8" ht="13.8" thickBot="1" x14ac:dyDescent="0.3">
      <c r="A52" s="40"/>
      <c r="B52" s="41" t="s">
        <v>241</v>
      </c>
      <c r="C52" s="79">
        <v>1462.1438111403627</v>
      </c>
      <c r="D52" s="79">
        <v>686.08129868515698</v>
      </c>
      <c r="E52" s="79">
        <v>401.71814257289861</v>
      </c>
      <c r="F52" s="43"/>
      <c r="G52" s="44">
        <v>-72.525401433694228</v>
      </c>
      <c r="H52" s="45">
        <v>-41.447443132064251</v>
      </c>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17</v>
      </c>
    </row>
    <row r="62" spans="1:8" ht="12.75" customHeight="1" x14ac:dyDescent="0.25">
      <c r="A62" s="52" t="str">
        <f>+Innhold!$B$124</f>
        <v>Skadestatistikk for landbasert forsikring 2. kvartal 2025</v>
      </c>
      <c r="G62" s="51"/>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showGridLines="0" zoomScaleNormal="100" workbookViewId="0">
      <selection activeCell="A6" sqref="A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58</v>
      </c>
      <c r="B7" s="19" t="s">
        <v>3</v>
      </c>
      <c r="C7" s="20">
        <v>9254.1604571428579</v>
      </c>
      <c r="D7" s="20">
        <v>10117.320163265307</v>
      </c>
      <c r="E7" s="72">
        <v>9911.6356772980416</v>
      </c>
      <c r="F7" s="22" t="s">
        <v>240</v>
      </c>
      <c r="G7" s="23">
        <v>7.1046446968369565</v>
      </c>
      <c r="H7" s="24">
        <v>-2.0329937438777392</v>
      </c>
    </row>
    <row r="8" spans="1:8" x14ac:dyDescent="0.25">
      <c r="A8" s="193"/>
      <c r="B8" s="25" t="s">
        <v>241</v>
      </c>
      <c r="C8" s="26">
        <v>5068.0363519274379</v>
      </c>
      <c r="D8" s="26">
        <v>5375.357839958041</v>
      </c>
      <c r="E8" s="26">
        <v>5319</v>
      </c>
      <c r="F8" s="27"/>
      <c r="G8" s="28">
        <v>4.9518912384501164</v>
      </c>
      <c r="H8" s="29">
        <v>-1.0484481524020879</v>
      </c>
    </row>
    <row r="9" spans="1:8" x14ac:dyDescent="0.25">
      <c r="A9" s="30" t="s">
        <v>9</v>
      </c>
      <c r="B9" s="31" t="s">
        <v>3</v>
      </c>
      <c r="C9" s="20">
        <v>8600.9056</v>
      </c>
      <c r="D9" s="20">
        <v>9363.0434285714291</v>
      </c>
      <c r="E9" s="21">
        <v>9255.2950943317028</v>
      </c>
      <c r="F9" s="22" t="s">
        <v>240</v>
      </c>
      <c r="G9" s="32">
        <v>7.6083789866464997</v>
      </c>
      <c r="H9" s="33">
        <v>-1.1507832369006366</v>
      </c>
    </row>
    <row r="10" spans="1:8" x14ac:dyDescent="0.25">
      <c r="A10" s="34"/>
      <c r="B10" s="25" t="s">
        <v>241</v>
      </c>
      <c r="C10" s="26">
        <v>4714.2931682539684</v>
      </c>
      <c r="D10" s="26">
        <v>5011.623889278857</v>
      </c>
      <c r="E10" s="26">
        <v>4993</v>
      </c>
      <c r="F10" s="27"/>
      <c r="G10" s="35">
        <v>5.9119537499882711</v>
      </c>
      <c r="H10" s="29">
        <v>-0.37161386589082213</v>
      </c>
    </row>
    <row r="11" spans="1:8" x14ac:dyDescent="0.25">
      <c r="A11" s="30" t="s">
        <v>46</v>
      </c>
      <c r="B11" s="31" t="s">
        <v>3</v>
      </c>
      <c r="C11" s="20">
        <v>653.25485714285719</v>
      </c>
      <c r="D11" s="20">
        <v>754.27673469387753</v>
      </c>
      <c r="E11" s="21">
        <v>650.12336955167723</v>
      </c>
      <c r="F11" s="22" t="s">
        <v>240</v>
      </c>
      <c r="G11" s="37">
        <v>-0.47936690511207303</v>
      </c>
      <c r="H11" s="33">
        <v>-13.808375673216389</v>
      </c>
    </row>
    <row r="12" spans="1:8" ht="13.8" thickBot="1" x14ac:dyDescent="0.3">
      <c r="A12" s="54"/>
      <c r="B12" s="41" t="s">
        <v>241</v>
      </c>
      <c r="C12" s="42">
        <v>353.74318367346939</v>
      </c>
      <c r="D12" s="42">
        <v>364.73395067918369</v>
      </c>
      <c r="E12" s="42">
        <v>326</v>
      </c>
      <c r="F12" s="43"/>
      <c r="G12" s="55">
        <v>-7.8427472115132986</v>
      </c>
      <c r="H12" s="45">
        <v>-10.61978206499721</v>
      </c>
    </row>
    <row r="13" spans="1:8" x14ac:dyDescent="0.25">
      <c r="A13" s="6"/>
      <c r="B13" s="6"/>
      <c r="C13" s="21"/>
      <c r="D13" s="21"/>
      <c r="E13" s="21"/>
      <c r="F13" s="56"/>
      <c r="G13" s="23"/>
      <c r="H13" s="23"/>
    </row>
    <row r="14" spans="1:8" x14ac:dyDescent="0.25">
      <c r="A14" s="6"/>
      <c r="B14" s="57"/>
      <c r="C14" s="21"/>
      <c r="D14" s="21"/>
      <c r="E14" s="21"/>
      <c r="F14" s="58"/>
      <c r="G14" s="23"/>
      <c r="H14" s="23"/>
    </row>
    <row r="15" spans="1:8" x14ac:dyDescent="0.25">
      <c r="A15" s="6"/>
      <c r="B15" s="6"/>
      <c r="C15" s="21"/>
      <c r="D15" s="21"/>
      <c r="E15" s="21"/>
      <c r="F15" s="56"/>
      <c r="G15" s="23"/>
      <c r="H15" s="23"/>
    </row>
    <row r="16" spans="1:8" x14ac:dyDescent="0.25">
      <c r="A16" s="6"/>
      <c r="B16" s="57"/>
      <c r="C16" s="21"/>
      <c r="D16" s="21"/>
      <c r="E16" s="21"/>
      <c r="F16" s="58"/>
      <c r="G16" s="23"/>
      <c r="H16" s="23"/>
    </row>
    <row r="17" spans="1:8" x14ac:dyDescent="0.25">
      <c r="A17" s="6"/>
      <c r="B17" s="6"/>
      <c r="C17" s="21"/>
      <c r="D17" s="21"/>
      <c r="E17" s="21"/>
      <c r="F17" s="56"/>
      <c r="G17" s="23"/>
      <c r="H17" s="23"/>
    </row>
    <row r="18" spans="1:8" x14ac:dyDescent="0.25">
      <c r="A18" s="6"/>
      <c r="B18" s="57"/>
      <c r="C18" s="21"/>
      <c r="D18" s="21"/>
      <c r="E18" s="21"/>
      <c r="F18" s="58"/>
      <c r="G18" s="23"/>
      <c r="H18" s="23"/>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59</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58</v>
      </c>
      <c r="B35" s="19" t="s">
        <v>3</v>
      </c>
      <c r="C35" s="73">
        <v>2115.9525174385899</v>
      </c>
      <c r="D35" s="73">
        <v>2003.6754158814861</v>
      </c>
      <c r="E35" s="74">
        <v>2288.7460674689601</v>
      </c>
      <c r="F35" s="22" t="s">
        <v>240</v>
      </c>
      <c r="G35" s="23">
        <v>8.1662300361796838</v>
      </c>
      <c r="H35" s="24">
        <v>14.227386797679586</v>
      </c>
    </row>
    <row r="36" spans="1:8" ht="12.75" customHeight="1" x14ac:dyDescent="0.25">
      <c r="A36" s="193"/>
      <c r="B36" s="25" t="s">
        <v>241</v>
      </c>
      <c r="C36" s="75">
        <v>966.99462730300058</v>
      </c>
      <c r="D36" s="75">
        <v>1050.0310508388609</v>
      </c>
      <c r="E36" s="75">
        <v>1143.499065354202</v>
      </c>
      <c r="F36" s="27"/>
      <c r="G36" s="28">
        <v>18.252887148244227</v>
      </c>
      <c r="H36" s="29">
        <v>8.9014524323514337</v>
      </c>
    </row>
    <row r="37" spans="1:8" x14ac:dyDescent="0.25">
      <c r="A37" s="30" t="s">
        <v>9</v>
      </c>
      <c r="B37" s="31" t="s">
        <v>3</v>
      </c>
      <c r="C37" s="73">
        <v>1488.3149688503865</v>
      </c>
      <c r="D37" s="73">
        <v>1428.2060151109472</v>
      </c>
      <c r="E37" s="76">
        <v>1614.7126754447154</v>
      </c>
      <c r="F37" s="22" t="s">
        <v>240</v>
      </c>
      <c r="G37" s="32">
        <v>8.4926718631313349</v>
      </c>
      <c r="H37" s="33">
        <v>13.058806527941954</v>
      </c>
    </row>
    <row r="38" spans="1:8" x14ac:dyDescent="0.25">
      <c r="A38" s="34"/>
      <c r="B38" s="25" t="s">
        <v>241</v>
      </c>
      <c r="C38" s="75">
        <v>683.64041478150671</v>
      </c>
      <c r="D38" s="75">
        <v>747.33740676317097</v>
      </c>
      <c r="E38" s="75">
        <v>807.46912252121706</v>
      </c>
      <c r="F38" s="27"/>
      <c r="G38" s="35">
        <v>18.113134487417099</v>
      </c>
      <c r="H38" s="29">
        <v>8.0461268516566662</v>
      </c>
    </row>
    <row r="39" spans="1:8" x14ac:dyDescent="0.25">
      <c r="A39" s="30" t="s">
        <v>46</v>
      </c>
      <c r="B39" s="31" t="s">
        <v>3</v>
      </c>
      <c r="C39" s="73">
        <v>627.63754858820334</v>
      </c>
      <c r="D39" s="73">
        <v>575.46940077053875</v>
      </c>
      <c r="E39" s="76">
        <v>674.00330903671033</v>
      </c>
      <c r="F39" s="22" t="s">
        <v>240</v>
      </c>
      <c r="G39" s="37">
        <v>7.3873464952505259</v>
      </c>
      <c r="H39" s="33">
        <v>17.122354052923967</v>
      </c>
    </row>
    <row r="40" spans="1:8" ht="13.8" thickBot="1" x14ac:dyDescent="0.3">
      <c r="A40" s="54"/>
      <c r="B40" s="41" t="s">
        <v>241</v>
      </c>
      <c r="C40" s="79">
        <v>283.35421252149376</v>
      </c>
      <c r="D40" s="79">
        <v>302.69364407568992</v>
      </c>
      <c r="E40" s="79">
        <v>336.02994283298517</v>
      </c>
      <c r="F40" s="43"/>
      <c r="G40" s="55">
        <v>18.590064302465834</v>
      </c>
      <c r="H40" s="45">
        <v>11.013213990366893</v>
      </c>
    </row>
    <row r="41" spans="1:8" x14ac:dyDescent="0.25">
      <c r="A41" s="6"/>
      <c r="B41" s="6"/>
      <c r="C41" s="21"/>
      <c r="D41" s="21"/>
      <c r="E41" s="21"/>
      <c r="F41" s="56"/>
      <c r="G41" s="23"/>
      <c r="H41" s="23"/>
    </row>
    <row r="42" spans="1:8" x14ac:dyDescent="0.25">
      <c r="A42" s="6"/>
      <c r="B42" s="57"/>
      <c r="C42" s="21"/>
      <c r="D42" s="21"/>
      <c r="E42" s="21"/>
      <c r="F42" s="58"/>
      <c r="G42" s="23"/>
      <c r="H42" s="23"/>
    </row>
    <row r="43" spans="1:8" x14ac:dyDescent="0.25">
      <c r="A43" s="6"/>
      <c r="B43" s="6"/>
      <c r="C43" s="21"/>
      <c r="D43" s="21"/>
      <c r="E43" s="21"/>
      <c r="F43" s="56"/>
      <c r="G43" s="23"/>
      <c r="H43" s="23"/>
    </row>
    <row r="44" spans="1:8" x14ac:dyDescent="0.25">
      <c r="A44" s="6"/>
      <c r="B44" s="57"/>
      <c r="C44" s="21"/>
      <c r="D44" s="21"/>
      <c r="E44" s="21"/>
      <c r="F44" s="58"/>
      <c r="G44" s="23"/>
      <c r="H44" s="23"/>
    </row>
    <row r="45" spans="1:8" x14ac:dyDescent="0.25">
      <c r="A45" s="6"/>
      <c r="B45" s="6"/>
      <c r="C45" s="21"/>
      <c r="D45" s="21"/>
      <c r="E45" s="21"/>
      <c r="F45" s="56"/>
      <c r="G45" s="23"/>
      <c r="H45" s="23"/>
    </row>
    <row r="46" spans="1:8" x14ac:dyDescent="0.25">
      <c r="A46" s="6"/>
      <c r="B46" s="57"/>
      <c r="C46" s="21"/>
      <c r="D46" s="21"/>
      <c r="E46" s="21"/>
      <c r="F46" s="58"/>
      <c r="G46" s="23"/>
      <c r="H46" s="23"/>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87">
        <v>18</v>
      </c>
    </row>
    <row r="62" spans="1:8" ht="12.75" customHeight="1" x14ac:dyDescent="0.25">
      <c r="A62" s="52" t="str">
        <f>+Innhold!$B$124</f>
        <v>Skadestatistikk for landbasert forsikring 2. kvartal 2025</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showGridLines="0" zoomScaleNormal="100" workbookViewId="0">
      <selection activeCell="A5" sqref="A5"/>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152</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57</v>
      </c>
      <c r="B7" s="19" t="s">
        <v>3</v>
      </c>
      <c r="C7" s="20">
        <v>6808</v>
      </c>
      <c r="D7" s="20">
        <v>7488</v>
      </c>
      <c r="E7" s="72">
        <v>7509.650974203837</v>
      </c>
      <c r="F7" s="22" t="s">
        <v>240</v>
      </c>
      <c r="G7" s="23">
        <v>10.306271653992923</v>
      </c>
      <c r="H7" s="24">
        <v>0.28914228370508965</v>
      </c>
    </row>
    <row r="8" spans="1:8" x14ac:dyDescent="0.25">
      <c r="A8" s="193"/>
      <c r="B8" s="25" t="s">
        <v>241</v>
      </c>
      <c r="C8" s="26">
        <v>3758.2769368209256</v>
      </c>
      <c r="D8" s="26">
        <v>4337.9705142857147</v>
      </c>
      <c r="E8" s="26">
        <v>4280</v>
      </c>
      <c r="F8" s="27"/>
      <c r="G8" s="28">
        <v>13.881974956863942</v>
      </c>
      <c r="H8" s="29">
        <v>-1.336351044683397</v>
      </c>
    </row>
    <row r="9" spans="1:8" x14ac:dyDescent="0.25">
      <c r="A9" s="30" t="s">
        <v>9</v>
      </c>
      <c r="B9" s="31" t="s">
        <v>3</v>
      </c>
      <c r="C9" s="20">
        <v>2295</v>
      </c>
      <c r="D9" s="20">
        <v>2925</v>
      </c>
      <c r="E9" s="21">
        <v>3214.0166081535895</v>
      </c>
      <c r="F9" s="22" t="s">
        <v>240</v>
      </c>
      <c r="G9" s="32">
        <v>40.044296651572523</v>
      </c>
      <c r="H9" s="33">
        <v>9.8809096804645975</v>
      </c>
    </row>
    <row r="10" spans="1:8" x14ac:dyDescent="0.25">
      <c r="A10" s="34"/>
      <c r="B10" s="25" t="s">
        <v>241</v>
      </c>
      <c r="C10" s="26">
        <v>1440.3043428571427</v>
      </c>
      <c r="D10" s="26">
        <v>1380.9803428571429</v>
      </c>
      <c r="E10" s="26">
        <v>1654</v>
      </c>
      <c r="F10" s="27"/>
      <c r="G10" s="35">
        <v>14.836840436025312</v>
      </c>
      <c r="H10" s="29">
        <v>19.769988657333101</v>
      </c>
    </row>
    <row r="11" spans="1:8" x14ac:dyDescent="0.25">
      <c r="A11" s="30" t="s">
        <v>46</v>
      </c>
      <c r="B11" s="31" t="s">
        <v>3</v>
      </c>
      <c r="C11" s="20">
        <v>3338</v>
      </c>
      <c r="D11" s="20">
        <v>3694</v>
      </c>
      <c r="E11" s="21">
        <v>3836.7903492807836</v>
      </c>
      <c r="F11" s="22" t="s">
        <v>240</v>
      </c>
      <c r="G11" s="37">
        <v>14.942790571623249</v>
      </c>
      <c r="H11" s="33">
        <v>3.8654669540006239</v>
      </c>
    </row>
    <row r="12" spans="1:8" x14ac:dyDescent="0.25">
      <c r="A12" s="34"/>
      <c r="B12" s="25" t="s">
        <v>241</v>
      </c>
      <c r="C12" s="26">
        <v>1506.9725939637826</v>
      </c>
      <c r="D12" s="26">
        <v>2544.9901714285716</v>
      </c>
      <c r="E12" s="26">
        <v>2249</v>
      </c>
      <c r="F12" s="27"/>
      <c r="G12" s="28">
        <v>49.239608537569097</v>
      </c>
      <c r="H12" s="29">
        <v>-11.630307053894199</v>
      </c>
    </row>
    <row r="13" spans="1:8" x14ac:dyDescent="0.25">
      <c r="A13" s="30" t="s">
        <v>24</v>
      </c>
      <c r="B13" s="31" t="s">
        <v>3</v>
      </c>
      <c r="C13" s="20">
        <v>1515</v>
      </c>
      <c r="D13" s="20">
        <v>954</v>
      </c>
      <c r="E13" s="21">
        <v>903.05352676050506</v>
      </c>
      <c r="F13" s="22" t="s">
        <v>240</v>
      </c>
      <c r="G13" s="23">
        <v>-40.392506484455112</v>
      </c>
      <c r="H13" s="24">
        <v>-5.3403011781441307</v>
      </c>
    </row>
    <row r="14" spans="1:8" ht="13.8" thickBot="1" x14ac:dyDescent="0.3">
      <c r="A14" s="54"/>
      <c r="B14" s="41" t="s">
        <v>241</v>
      </c>
      <c r="C14" s="42">
        <v>813.45108571428568</v>
      </c>
      <c r="D14" s="42">
        <v>561.49508571428578</v>
      </c>
      <c r="E14" s="42">
        <v>515</v>
      </c>
      <c r="F14" s="43"/>
      <c r="G14" s="55">
        <v>-36.689493806774855</v>
      </c>
      <c r="H14" s="45">
        <v>-8.2805864017738884</v>
      </c>
    </row>
    <row r="15" spans="1:8" x14ac:dyDescent="0.25">
      <c r="A15" s="6"/>
      <c r="B15" s="57"/>
      <c r="C15" s="21"/>
      <c r="D15" s="21"/>
      <c r="E15" s="21"/>
      <c r="F15" s="58"/>
      <c r="G15" s="23"/>
      <c r="H15" s="23"/>
    </row>
    <row r="16" spans="1:8" x14ac:dyDescent="0.25">
      <c r="A16" s="6"/>
      <c r="B16" s="57"/>
      <c r="C16" s="21"/>
      <c r="D16" s="21"/>
      <c r="E16" s="21"/>
      <c r="F16" s="58"/>
      <c r="G16" s="23"/>
      <c r="H16" s="23"/>
    </row>
    <row r="17" spans="1:8" x14ac:dyDescent="0.25">
      <c r="A17" s="6"/>
      <c r="B17" s="57"/>
      <c r="C17" s="21"/>
      <c r="D17" s="21"/>
      <c r="E17" s="21"/>
      <c r="F17" s="58"/>
      <c r="G17" s="23"/>
      <c r="H17" s="23"/>
    </row>
    <row r="18" spans="1:8" x14ac:dyDescent="0.25">
      <c r="A18" s="6"/>
      <c r="B18" s="57"/>
      <c r="C18" s="21"/>
      <c r="D18" s="21"/>
      <c r="E18" s="21"/>
      <c r="F18" s="58"/>
      <c r="G18" s="23"/>
      <c r="H18" s="23"/>
    </row>
    <row r="19" spans="1:8" x14ac:dyDescent="0.25">
      <c r="A19" s="6"/>
      <c r="B19" s="57"/>
      <c r="C19" s="21"/>
      <c r="D19" s="21"/>
      <c r="E19" s="21"/>
      <c r="F19" s="58"/>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73</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57</v>
      </c>
      <c r="B35" s="19" t="s">
        <v>3</v>
      </c>
      <c r="C35" s="73">
        <v>2755.0446756614247</v>
      </c>
      <c r="D35" s="73">
        <v>3657.209828106048</v>
      </c>
      <c r="E35" s="74">
        <v>3321.3302792354793</v>
      </c>
      <c r="F35" s="22" t="s">
        <v>240</v>
      </c>
      <c r="G35" s="23">
        <v>20.554498029622764</v>
      </c>
      <c r="H35" s="24">
        <v>-9.1840382328981605</v>
      </c>
    </row>
    <row r="36" spans="1:8" ht="12.75" customHeight="1" x14ac:dyDescent="0.25">
      <c r="A36" s="193"/>
      <c r="B36" s="25" t="s">
        <v>241</v>
      </c>
      <c r="C36" s="75">
        <v>1329.4597835691709</v>
      </c>
      <c r="D36" s="75">
        <v>1684.0638908140338</v>
      </c>
      <c r="E36" s="75">
        <v>1553.0833880781138</v>
      </c>
      <c r="F36" s="27"/>
      <c r="G36" s="28">
        <v>16.820637019089489</v>
      </c>
      <c r="H36" s="29">
        <v>-7.7776445092357704</v>
      </c>
    </row>
    <row r="37" spans="1:8" x14ac:dyDescent="0.25">
      <c r="A37" s="30" t="s">
        <v>9</v>
      </c>
      <c r="B37" s="31" t="s">
        <v>3</v>
      </c>
      <c r="C37" s="73">
        <v>498.17257199002881</v>
      </c>
      <c r="D37" s="73">
        <v>667.45686682931409</v>
      </c>
      <c r="E37" s="76">
        <v>727.47072857196918</v>
      </c>
      <c r="F37" s="22" t="s">
        <v>240</v>
      </c>
      <c r="G37" s="32">
        <v>46.027856504819766</v>
      </c>
      <c r="H37" s="33">
        <v>8.9914217270315504</v>
      </c>
    </row>
    <row r="38" spans="1:8" x14ac:dyDescent="0.25">
      <c r="A38" s="34"/>
      <c r="B38" s="25" t="s">
        <v>241</v>
      </c>
      <c r="C38" s="75">
        <v>204.34109547535851</v>
      </c>
      <c r="D38" s="75">
        <v>262.54456699432899</v>
      </c>
      <c r="E38" s="75">
        <v>290.11915311546295</v>
      </c>
      <c r="F38" s="27"/>
      <c r="G38" s="35">
        <v>41.977878918853321</v>
      </c>
      <c r="H38" s="29">
        <v>10.50282107788945</v>
      </c>
    </row>
    <row r="39" spans="1:8" x14ac:dyDescent="0.25">
      <c r="A39" s="30" t="s">
        <v>46</v>
      </c>
      <c r="B39" s="31" t="s">
        <v>3</v>
      </c>
      <c r="C39" s="73">
        <v>1699.6549171342238</v>
      </c>
      <c r="D39" s="73">
        <v>2813.8532427036589</v>
      </c>
      <c r="E39" s="76">
        <v>2622.0351159154088</v>
      </c>
      <c r="F39" s="22" t="s">
        <v>240</v>
      </c>
      <c r="G39" s="37">
        <v>54.268674745836279</v>
      </c>
      <c r="H39" s="33">
        <v>-6.8169200822976705</v>
      </c>
    </row>
    <row r="40" spans="1:8" x14ac:dyDescent="0.25">
      <c r="A40" s="34"/>
      <c r="B40" s="25" t="s">
        <v>241</v>
      </c>
      <c r="C40" s="75">
        <v>825.33430079089248</v>
      </c>
      <c r="D40" s="75">
        <v>1187.9916776328741</v>
      </c>
      <c r="E40" s="75">
        <v>1157.3736656836238</v>
      </c>
      <c r="F40" s="27"/>
      <c r="G40" s="28">
        <v>40.230893660247517</v>
      </c>
      <c r="H40" s="29">
        <v>-2.5772917879574777</v>
      </c>
    </row>
    <row r="41" spans="1:8" x14ac:dyDescent="0.25">
      <c r="A41" s="30" t="s">
        <v>24</v>
      </c>
      <c r="B41" s="31" t="s">
        <v>3</v>
      </c>
      <c r="C41" s="73">
        <v>557.21718653717176</v>
      </c>
      <c r="D41" s="73">
        <v>175.89971857307404</v>
      </c>
      <c r="E41" s="76">
        <v>118.37450619244707</v>
      </c>
      <c r="F41" s="22" t="s">
        <v>240</v>
      </c>
      <c r="G41" s="23">
        <v>-78.756127942125062</v>
      </c>
      <c r="H41" s="24">
        <v>-32.703413539987707</v>
      </c>
    </row>
    <row r="42" spans="1:8" ht="13.8" thickBot="1" x14ac:dyDescent="0.3">
      <c r="A42" s="54"/>
      <c r="B42" s="41" t="s">
        <v>241</v>
      </c>
      <c r="C42" s="79">
        <v>299.78438730291992</v>
      </c>
      <c r="D42" s="79">
        <v>233.83364618683069</v>
      </c>
      <c r="E42" s="79">
        <v>105.5905692790267</v>
      </c>
      <c r="F42" s="43"/>
      <c r="G42" s="55">
        <v>-64.777829082762835</v>
      </c>
      <c r="H42" s="45">
        <v>-54.843722876963177</v>
      </c>
    </row>
    <row r="43" spans="1:8" x14ac:dyDescent="0.25">
      <c r="A43" s="6"/>
      <c r="B43" s="57"/>
      <c r="C43" s="21"/>
      <c r="D43" s="21"/>
      <c r="E43" s="21"/>
      <c r="F43" s="58"/>
      <c r="G43" s="23"/>
      <c r="H43" s="23"/>
    </row>
    <row r="44" spans="1:8" x14ac:dyDescent="0.25">
      <c r="A44" s="6"/>
      <c r="B44" s="57"/>
      <c r="C44" s="21"/>
      <c r="D44" s="21"/>
      <c r="E44" s="21"/>
      <c r="F44" s="58"/>
      <c r="G44" s="23"/>
      <c r="H44" s="23"/>
    </row>
    <row r="45" spans="1:8" x14ac:dyDescent="0.25">
      <c r="A45" s="6"/>
      <c r="B45" s="57"/>
      <c r="C45" s="21"/>
      <c r="D45" s="21"/>
      <c r="E45" s="21"/>
      <c r="F45" s="58"/>
      <c r="G45" s="23"/>
      <c r="H45" s="23"/>
    </row>
    <row r="46" spans="1:8" x14ac:dyDescent="0.25">
      <c r="A46" s="6"/>
      <c r="B46" s="57"/>
      <c r="C46" s="21"/>
      <c r="D46" s="21"/>
      <c r="E46" s="21"/>
      <c r="F46" s="58"/>
      <c r="G46" s="23"/>
      <c r="H46" s="23"/>
    </row>
    <row r="47" spans="1:8" x14ac:dyDescent="0.25">
      <c r="A47" s="6"/>
      <c r="B47" s="57"/>
      <c r="C47" s="21"/>
      <c r="D47" s="21"/>
      <c r="E47" s="21"/>
      <c r="F47" s="58"/>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19</v>
      </c>
    </row>
    <row r="62" spans="1:8" ht="12.75" customHeight="1" x14ac:dyDescent="0.25">
      <c r="A62" s="52" t="str">
        <f>+Innhold!$B$124</f>
        <v>Skadestatistikk for landbasert forsikring 2. kvartal 2025</v>
      </c>
      <c r="G62" s="51"/>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showGridLines="0" zoomScaleNormal="100" workbookViewId="0">
      <selection activeCell="A11" sqref="A11"/>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153</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ht="12.75" customHeight="1" x14ac:dyDescent="0.25">
      <c r="A7" s="192" t="s">
        <v>60</v>
      </c>
      <c r="B7" s="19" t="s">
        <v>3</v>
      </c>
      <c r="C7" s="20">
        <v>40856.303333333337</v>
      </c>
      <c r="D7" s="20">
        <v>45308.126666666663</v>
      </c>
      <c r="E7" s="72">
        <v>49142.516421778164</v>
      </c>
      <c r="F7" s="22" t="s">
        <v>240</v>
      </c>
      <c r="G7" s="23">
        <v>20.281357862556249</v>
      </c>
      <c r="H7" s="24">
        <v>8.462918326597844</v>
      </c>
    </row>
    <row r="8" spans="1:8" ht="13.65" customHeight="1" thickBot="1" x14ac:dyDescent="0.3">
      <c r="A8" s="197"/>
      <c r="B8" s="41" t="s">
        <v>241</v>
      </c>
      <c r="C8" s="42">
        <v>20298.701810584957</v>
      </c>
      <c r="D8" s="42">
        <v>24272.166666666664</v>
      </c>
      <c r="E8" s="42">
        <v>25657</v>
      </c>
      <c r="F8" s="43"/>
      <c r="G8" s="55">
        <v>26.397245692928536</v>
      </c>
      <c r="H8" s="45">
        <v>5.7054376411939813</v>
      </c>
    </row>
    <row r="9" spans="1:8" x14ac:dyDescent="0.25">
      <c r="A9" s="6"/>
      <c r="B9" s="6"/>
      <c r="C9" s="21"/>
      <c r="D9" s="21"/>
      <c r="E9" s="21"/>
      <c r="F9" s="56"/>
      <c r="G9" s="23"/>
      <c r="H9" s="23"/>
    </row>
    <row r="10" spans="1:8" x14ac:dyDescent="0.25">
      <c r="A10" s="6"/>
      <c r="B10" s="6"/>
      <c r="C10" s="21"/>
      <c r="D10" s="21"/>
      <c r="E10" s="21"/>
      <c r="F10" s="56"/>
      <c r="G10" s="23"/>
      <c r="H10" s="23"/>
    </row>
    <row r="11" spans="1:8" x14ac:dyDescent="0.25">
      <c r="A11" s="6"/>
      <c r="B11" s="6"/>
      <c r="C11" s="21"/>
      <c r="D11" s="21"/>
      <c r="E11" s="21"/>
      <c r="F11" s="56"/>
      <c r="G11" s="23"/>
      <c r="H11" s="23"/>
    </row>
    <row r="12" spans="1:8" x14ac:dyDescent="0.25">
      <c r="A12" s="6"/>
      <c r="B12" s="6"/>
      <c r="C12" s="21"/>
      <c r="D12" s="21"/>
      <c r="E12" s="21"/>
      <c r="F12" s="56"/>
      <c r="G12" s="23"/>
      <c r="H12" s="23"/>
    </row>
    <row r="13" spans="1:8" x14ac:dyDescent="0.25">
      <c r="A13" s="6"/>
      <c r="B13" s="6"/>
      <c r="C13" s="21"/>
      <c r="D13" s="21"/>
      <c r="E13" s="21"/>
      <c r="F13" s="56"/>
      <c r="G13" s="23"/>
      <c r="H13" s="23"/>
    </row>
    <row r="14" spans="1:8" x14ac:dyDescent="0.25">
      <c r="A14" s="6"/>
      <c r="B14" s="57"/>
      <c r="C14" s="21"/>
      <c r="D14" s="21"/>
      <c r="E14" s="21"/>
      <c r="F14" s="58"/>
      <c r="G14" s="23"/>
      <c r="H14" s="23"/>
    </row>
    <row r="15" spans="1:8" x14ac:dyDescent="0.25">
      <c r="A15" s="6"/>
      <c r="B15" s="6"/>
      <c r="C15" s="21"/>
      <c r="D15" s="21"/>
      <c r="E15" s="21"/>
      <c r="F15" s="56"/>
      <c r="G15" s="23"/>
      <c r="H15" s="23"/>
    </row>
    <row r="16" spans="1:8" x14ac:dyDescent="0.25">
      <c r="A16" s="6"/>
      <c r="B16" s="57"/>
      <c r="C16" s="21"/>
      <c r="D16" s="21"/>
      <c r="E16" s="21"/>
      <c r="F16" s="58"/>
      <c r="G16" s="23"/>
      <c r="H16" s="23"/>
    </row>
    <row r="17" spans="1:8" x14ac:dyDescent="0.25">
      <c r="A17" s="6"/>
      <c r="B17" s="6"/>
      <c r="C17" s="21"/>
      <c r="D17" s="21"/>
      <c r="E17" s="21"/>
      <c r="F17" s="56"/>
      <c r="G17" s="23"/>
      <c r="H17" s="23"/>
    </row>
    <row r="18" spans="1:8" x14ac:dyDescent="0.25">
      <c r="A18" s="6"/>
      <c r="B18" s="57"/>
      <c r="C18" s="21"/>
      <c r="D18" s="21"/>
      <c r="E18" s="21"/>
      <c r="F18" s="58"/>
      <c r="G18" s="23"/>
      <c r="H18" s="23"/>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72</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60</v>
      </c>
      <c r="B35" s="19" t="s">
        <v>3</v>
      </c>
      <c r="C35" s="73">
        <v>829.62148444354011</v>
      </c>
      <c r="D35" s="73">
        <v>784.81220905313887</v>
      </c>
      <c r="E35" s="74">
        <v>795.49954144201286</v>
      </c>
      <c r="F35" s="22" t="s">
        <v>240</v>
      </c>
      <c r="G35" s="23">
        <v>-4.1129531528964947</v>
      </c>
      <c r="H35" s="24">
        <v>1.3617693845216792</v>
      </c>
    </row>
    <row r="36" spans="1:8" ht="12.75" customHeight="1" thickBot="1" x14ac:dyDescent="0.3">
      <c r="A36" s="197"/>
      <c r="B36" s="41" t="s">
        <v>241</v>
      </c>
      <c r="C36" s="79">
        <v>430.09049827717246</v>
      </c>
      <c r="D36" s="79">
        <v>467.45427395359326</v>
      </c>
      <c r="E36" s="79">
        <v>451.41042219834276</v>
      </c>
      <c r="F36" s="43"/>
      <c r="G36" s="55">
        <v>4.9570785698759323</v>
      </c>
      <c r="H36" s="45">
        <v>-3.4321756478032057</v>
      </c>
    </row>
    <row r="37" spans="1:8" x14ac:dyDescent="0.25">
      <c r="A37" s="6"/>
      <c r="B37" s="6"/>
      <c r="C37" s="21"/>
      <c r="D37" s="21"/>
      <c r="E37" s="21"/>
      <c r="F37" s="56"/>
      <c r="G37" s="23"/>
      <c r="H37" s="23"/>
    </row>
    <row r="38" spans="1:8" x14ac:dyDescent="0.25">
      <c r="A38" s="6"/>
      <c r="B38" s="57"/>
      <c r="C38" s="21"/>
      <c r="D38" s="21"/>
      <c r="E38" s="21"/>
      <c r="F38" s="58"/>
      <c r="G38" s="23"/>
      <c r="H38" s="23"/>
    </row>
    <row r="39" spans="1:8" x14ac:dyDescent="0.25">
      <c r="A39" s="6"/>
      <c r="B39" s="6"/>
      <c r="C39" s="21"/>
      <c r="D39" s="21"/>
      <c r="E39" s="21"/>
      <c r="F39" s="56"/>
      <c r="G39" s="23"/>
      <c r="H39" s="23"/>
    </row>
    <row r="40" spans="1:8" x14ac:dyDescent="0.25">
      <c r="A40" s="6"/>
      <c r="B40" s="57"/>
      <c r="C40" s="21"/>
      <c r="D40" s="21"/>
      <c r="E40" s="21"/>
      <c r="F40" s="58"/>
      <c r="G40" s="23"/>
      <c r="H40" s="23"/>
    </row>
    <row r="41" spans="1:8" x14ac:dyDescent="0.25">
      <c r="A41" s="6"/>
      <c r="B41" s="6"/>
      <c r="C41" s="21"/>
      <c r="D41" s="21"/>
      <c r="E41" s="21"/>
      <c r="F41" s="56"/>
      <c r="G41" s="23"/>
      <c r="H41" s="23"/>
    </row>
    <row r="42" spans="1:8" x14ac:dyDescent="0.25">
      <c r="A42" s="6"/>
      <c r="B42" s="57"/>
      <c r="C42" s="21"/>
      <c r="D42" s="21"/>
      <c r="E42" s="21"/>
      <c r="F42" s="58"/>
      <c r="G42" s="23"/>
      <c r="H42" s="23"/>
    </row>
    <row r="43" spans="1:8" x14ac:dyDescent="0.25">
      <c r="A43" s="6"/>
      <c r="B43" s="6"/>
      <c r="C43" s="21"/>
      <c r="D43" s="21"/>
      <c r="E43" s="21"/>
      <c r="F43" s="56"/>
      <c r="G43" s="23"/>
      <c r="H43" s="23"/>
    </row>
    <row r="44" spans="1:8" x14ac:dyDescent="0.25">
      <c r="A44" s="6"/>
      <c r="B44" s="57"/>
      <c r="C44" s="21"/>
      <c r="D44" s="21"/>
      <c r="E44" s="21"/>
      <c r="F44" s="58"/>
      <c r="G44" s="23"/>
      <c r="H44" s="23"/>
    </row>
    <row r="45" spans="1:8" x14ac:dyDescent="0.25">
      <c r="A45" s="6"/>
      <c r="B45" s="6"/>
      <c r="C45" s="21"/>
      <c r="D45" s="21"/>
      <c r="E45" s="21"/>
      <c r="F45" s="56"/>
      <c r="G45" s="23"/>
      <c r="H45" s="23"/>
    </row>
    <row r="46" spans="1:8" x14ac:dyDescent="0.25">
      <c r="A46" s="6"/>
      <c r="B46" s="57"/>
      <c r="C46" s="21"/>
      <c r="D46" s="21"/>
      <c r="E46" s="21"/>
      <c r="F46" s="58"/>
      <c r="G46" s="23"/>
      <c r="H46" s="23"/>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87">
        <v>20</v>
      </c>
    </row>
    <row r="62" spans="1:8" ht="12.75" customHeight="1" x14ac:dyDescent="0.25">
      <c r="A62" s="52" t="str">
        <f>+Innhold!$B$124</f>
        <v>Skadestatistikk for landbasert forsikring 2. kvartal 2025</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showGridLines="0" zoomScaleNormal="100" workbookViewId="0">
      <selection activeCell="A6" sqref="A6"/>
    </sheetView>
  </sheetViews>
  <sheetFormatPr defaultColWidth="11.44140625" defaultRowHeight="13.2" x14ac:dyDescent="0.25"/>
  <cols>
    <col min="1" max="1" width="26.44140625" style="91" customWidth="1"/>
    <col min="2" max="2" width="8.109375" style="91" customWidth="1"/>
    <col min="3" max="4" width="10.44140625" style="91" customWidth="1"/>
    <col min="5" max="5" width="9.88671875" style="91" customWidth="1"/>
    <col min="6" max="6" width="1.5546875" style="91" customWidth="1"/>
    <col min="7" max="7" width="7.5546875" style="91" customWidth="1"/>
    <col min="8" max="8" width="8.88671875" style="91" customWidth="1"/>
    <col min="9" max="16384" width="11.44140625" style="91"/>
  </cols>
  <sheetData>
    <row r="1" spans="1:8" ht="5.25" customHeight="1" x14ac:dyDescent="0.25"/>
    <row r="2" spans="1:8" x14ac:dyDescent="0.25">
      <c r="A2" s="85" t="s">
        <v>0</v>
      </c>
      <c r="B2" s="92"/>
      <c r="C2" s="92"/>
      <c r="D2" s="92"/>
      <c r="E2" s="92"/>
      <c r="F2" s="92"/>
      <c r="G2" s="92"/>
    </row>
    <row r="3" spans="1:8" ht="6" customHeight="1" x14ac:dyDescent="0.25">
      <c r="A3" s="3"/>
      <c r="B3" s="92"/>
      <c r="C3" s="92"/>
      <c r="D3" s="92"/>
      <c r="E3" s="92"/>
      <c r="F3" s="92"/>
      <c r="G3" s="92"/>
    </row>
    <row r="4" spans="1:8" ht="16.2" thickBot="1" x14ac:dyDescent="0.35">
      <c r="A4" s="93" t="s">
        <v>212</v>
      </c>
      <c r="B4" s="94"/>
      <c r="C4" s="94"/>
      <c r="D4" s="94"/>
      <c r="E4" s="94"/>
      <c r="F4" s="94"/>
      <c r="G4" s="94"/>
      <c r="H4" s="95"/>
    </row>
    <row r="5" spans="1:8" x14ac:dyDescent="0.25">
      <c r="A5" s="96"/>
      <c r="B5" s="97"/>
      <c r="C5" s="98"/>
      <c r="D5" s="97"/>
      <c r="E5" s="99"/>
      <c r="F5" s="100"/>
      <c r="G5" s="199" t="s">
        <v>1</v>
      </c>
      <c r="H5" s="200"/>
    </row>
    <row r="6" spans="1:8" x14ac:dyDescent="0.25">
      <c r="A6" s="101"/>
      <c r="B6" s="102"/>
      <c r="C6" s="103" t="s">
        <v>235</v>
      </c>
      <c r="D6" s="104" t="s">
        <v>236</v>
      </c>
      <c r="E6" s="104" t="s">
        <v>237</v>
      </c>
      <c r="F6" s="105"/>
      <c r="G6" s="106" t="s">
        <v>238</v>
      </c>
      <c r="H6" s="107" t="s">
        <v>239</v>
      </c>
    </row>
    <row r="7" spans="1:8" ht="12.75" customHeight="1" x14ac:dyDescent="0.25">
      <c r="A7" s="201" t="s">
        <v>193</v>
      </c>
      <c r="B7" s="108" t="s">
        <v>3</v>
      </c>
      <c r="C7" s="20">
        <v>9583</v>
      </c>
      <c r="D7" s="20">
        <v>9944</v>
      </c>
      <c r="E7" s="72">
        <v>10628.349017603061</v>
      </c>
      <c r="F7" s="22" t="s">
        <v>240</v>
      </c>
      <c r="G7" s="109">
        <v>10.908369170437865</v>
      </c>
      <c r="H7" s="110">
        <v>6.8820295414627992</v>
      </c>
    </row>
    <row r="8" spans="1:8" ht="12.75" customHeight="1" x14ac:dyDescent="0.25">
      <c r="A8" s="202"/>
      <c r="B8" s="111" t="s">
        <v>241</v>
      </c>
      <c r="C8" s="26">
        <v>4182.753596988221</v>
      </c>
      <c r="D8" s="26">
        <v>5191</v>
      </c>
      <c r="E8" s="26">
        <v>5208</v>
      </c>
      <c r="F8" s="27"/>
      <c r="G8" s="112">
        <v>24.511278975409994</v>
      </c>
      <c r="H8" s="113">
        <v>0.32748988634175191</v>
      </c>
    </row>
    <row r="9" spans="1:8" x14ac:dyDescent="0.25">
      <c r="A9" s="114" t="s">
        <v>194</v>
      </c>
      <c r="B9" s="115" t="s">
        <v>3</v>
      </c>
      <c r="C9" s="20">
        <v>3284</v>
      </c>
      <c r="D9" s="20">
        <v>3763</v>
      </c>
      <c r="E9" s="20">
        <v>3448.5245369380491</v>
      </c>
      <c r="F9" s="22" t="s">
        <v>240</v>
      </c>
      <c r="G9" s="116">
        <v>5.0098823671756776</v>
      </c>
      <c r="H9" s="117">
        <v>-8.3570412719094094</v>
      </c>
    </row>
    <row r="10" spans="1:8" x14ac:dyDescent="0.25">
      <c r="A10" s="118"/>
      <c r="B10" s="111" t="s">
        <v>241</v>
      </c>
      <c r="C10" s="26">
        <v>1559</v>
      </c>
      <c r="D10" s="26">
        <v>1917</v>
      </c>
      <c r="E10" s="26">
        <v>1715</v>
      </c>
      <c r="F10" s="27"/>
      <c r="G10" s="119">
        <v>10.006414368184721</v>
      </c>
      <c r="H10" s="113">
        <v>-10.537297861241527</v>
      </c>
    </row>
    <row r="11" spans="1:8" x14ac:dyDescent="0.25">
      <c r="A11" s="114" t="s">
        <v>195</v>
      </c>
      <c r="B11" s="115" t="s">
        <v>3</v>
      </c>
      <c r="C11" s="20">
        <v>1154</v>
      </c>
      <c r="D11" s="20">
        <v>1583</v>
      </c>
      <c r="E11" s="20">
        <v>1771.4349865049489</v>
      </c>
      <c r="F11" s="22" t="s">
        <v>240</v>
      </c>
      <c r="G11" s="120">
        <v>53.503898310654165</v>
      </c>
      <c r="H11" s="117">
        <v>11.903663076749766</v>
      </c>
    </row>
    <row r="12" spans="1:8" x14ac:dyDescent="0.25">
      <c r="A12" s="118"/>
      <c r="B12" s="111" t="s">
        <v>241</v>
      </c>
      <c r="C12" s="26">
        <v>426.83333333333337</v>
      </c>
      <c r="D12" s="26">
        <v>759</v>
      </c>
      <c r="E12" s="26">
        <v>773</v>
      </c>
      <c r="F12" s="27"/>
      <c r="G12" s="112">
        <v>81.101132370167903</v>
      </c>
      <c r="H12" s="113">
        <v>1.8445322793148904</v>
      </c>
    </row>
    <row r="13" spans="1:8" x14ac:dyDescent="0.25">
      <c r="A13" s="114" t="s">
        <v>228</v>
      </c>
      <c r="B13" s="115" t="s">
        <v>3</v>
      </c>
      <c r="C13" s="20">
        <v>784</v>
      </c>
      <c r="D13" s="20">
        <v>937</v>
      </c>
      <c r="E13" s="20">
        <v>931.42806969902699</v>
      </c>
      <c r="F13" s="22" t="s">
        <v>240</v>
      </c>
      <c r="G13" s="109">
        <v>18.804600726916703</v>
      </c>
      <c r="H13" s="110">
        <v>-0.59465638217429273</v>
      </c>
    </row>
    <row r="14" spans="1:8" x14ac:dyDescent="0.25">
      <c r="A14" s="118"/>
      <c r="B14" s="111" t="s">
        <v>241</v>
      </c>
      <c r="C14" s="26">
        <v>368.25</v>
      </c>
      <c r="D14" s="26">
        <v>450</v>
      </c>
      <c r="E14" s="26">
        <v>444</v>
      </c>
      <c r="F14" s="27"/>
      <c r="G14" s="109">
        <v>20.570264765784117</v>
      </c>
      <c r="H14" s="110">
        <v>-1.3333333333333286</v>
      </c>
    </row>
    <row r="15" spans="1:8" x14ac:dyDescent="0.25">
      <c r="A15" s="114" t="s">
        <v>196</v>
      </c>
      <c r="B15" s="115" t="s">
        <v>3</v>
      </c>
      <c r="C15" s="20">
        <v>3659</v>
      </c>
      <c r="D15" s="20">
        <v>4553</v>
      </c>
      <c r="E15" s="20">
        <v>4796.1658274070451</v>
      </c>
      <c r="F15" s="22" t="s">
        <v>240</v>
      </c>
      <c r="G15" s="120">
        <v>31.078595993633371</v>
      </c>
      <c r="H15" s="117">
        <v>5.3407825039983692</v>
      </c>
    </row>
    <row r="16" spans="1:8" x14ac:dyDescent="0.25">
      <c r="A16" s="118"/>
      <c r="B16" s="111" t="s">
        <v>241</v>
      </c>
      <c r="C16" s="26">
        <v>1415.8421052631579</v>
      </c>
      <c r="D16" s="26">
        <v>2379</v>
      </c>
      <c r="E16" s="26">
        <v>2244</v>
      </c>
      <c r="F16" s="27"/>
      <c r="G16" s="112">
        <v>58.492249358759892</v>
      </c>
      <c r="H16" s="113">
        <v>-5.6746532156368232</v>
      </c>
    </row>
    <row r="17" spans="1:8" x14ac:dyDescent="0.25">
      <c r="A17" s="114" t="s">
        <v>197</v>
      </c>
      <c r="B17" s="115" t="s">
        <v>3</v>
      </c>
      <c r="C17" s="20">
        <v>867</v>
      </c>
      <c r="D17" s="20">
        <v>898</v>
      </c>
      <c r="E17" s="20">
        <v>1065.3163621842866</v>
      </c>
      <c r="F17" s="22" t="s">
        <v>240</v>
      </c>
      <c r="G17" s="120">
        <v>22.873859536826586</v>
      </c>
      <c r="H17" s="117">
        <v>18.632111601813662</v>
      </c>
    </row>
    <row r="18" spans="1:8" x14ac:dyDescent="0.25">
      <c r="A18" s="114"/>
      <c r="B18" s="111" t="s">
        <v>241</v>
      </c>
      <c r="C18" s="26">
        <v>294</v>
      </c>
      <c r="D18" s="26">
        <v>477</v>
      </c>
      <c r="E18" s="26">
        <v>476</v>
      </c>
      <c r="F18" s="27"/>
      <c r="G18" s="112">
        <v>61.904761904761898</v>
      </c>
      <c r="H18" s="113">
        <v>-0.20964360587002773</v>
      </c>
    </row>
    <row r="19" spans="1:8" x14ac:dyDescent="0.25">
      <c r="A19" s="121" t="s">
        <v>198</v>
      </c>
      <c r="B19" s="115" t="s">
        <v>3</v>
      </c>
      <c r="C19" s="20">
        <v>64</v>
      </c>
      <c r="D19" s="20">
        <v>58</v>
      </c>
      <c r="E19" s="20">
        <v>101.09227871939737</v>
      </c>
      <c r="F19" s="22" t="s">
        <v>240</v>
      </c>
      <c r="G19" s="109">
        <v>57.956685499058381</v>
      </c>
      <c r="H19" s="110">
        <v>74.297032274823039</v>
      </c>
    </row>
    <row r="20" spans="1:8" x14ac:dyDescent="0.25">
      <c r="A20" s="118"/>
      <c r="B20" s="111" t="s">
        <v>241</v>
      </c>
      <c r="C20" s="26">
        <v>22.125</v>
      </c>
      <c r="D20" s="26">
        <v>29</v>
      </c>
      <c r="E20" s="26">
        <v>44</v>
      </c>
      <c r="F20" s="27"/>
      <c r="G20" s="109">
        <v>98.870056497175142</v>
      </c>
      <c r="H20" s="110">
        <v>51.724137931034477</v>
      </c>
    </row>
    <row r="21" spans="1:8" x14ac:dyDescent="0.25">
      <c r="A21" s="121" t="s">
        <v>199</v>
      </c>
      <c r="B21" s="115" t="s">
        <v>3</v>
      </c>
      <c r="C21" s="20">
        <v>19</v>
      </c>
      <c r="D21" s="20">
        <v>23</v>
      </c>
      <c r="E21" s="20">
        <v>20.196959382800088</v>
      </c>
      <c r="F21" s="22" t="s">
        <v>240</v>
      </c>
      <c r="G21" s="120">
        <v>6.2997862252636168</v>
      </c>
      <c r="H21" s="117">
        <v>-12.187133118260491</v>
      </c>
    </row>
    <row r="22" spans="1:8" x14ac:dyDescent="0.25">
      <c r="A22" s="118"/>
      <c r="B22" s="111" t="s">
        <v>241</v>
      </c>
      <c r="C22" s="26">
        <v>4.708333333333333</v>
      </c>
      <c r="D22" s="26">
        <v>13</v>
      </c>
      <c r="E22" s="26">
        <v>8</v>
      </c>
      <c r="F22" s="27"/>
      <c r="G22" s="112">
        <v>69.911504424778769</v>
      </c>
      <c r="H22" s="113">
        <v>-38.46153846153846</v>
      </c>
    </row>
    <row r="23" spans="1:8" x14ac:dyDescent="0.25">
      <c r="A23" s="121" t="s">
        <v>200</v>
      </c>
      <c r="B23" s="115" t="s">
        <v>3</v>
      </c>
      <c r="C23" s="20">
        <v>490</v>
      </c>
      <c r="D23" s="20">
        <v>594</v>
      </c>
      <c r="E23" s="20">
        <v>535.55462583977635</v>
      </c>
      <c r="F23" s="22" t="s">
        <v>240</v>
      </c>
      <c r="G23" s="120">
        <v>9.2968624162808879</v>
      </c>
      <c r="H23" s="117">
        <v>-9.8392885791622291</v>
      </c>
    </row>
    <row r="24" spans="1:8" x14ac:dyDescent="0.25">
      <c r="A24" s="118"/>
      <c r="B24" s="111" t="s">
        <v>241</v>
      </c>
      <c r="C24" s="26">
        <v>246.70833333333334</v>
      </c>
      <c r="D24" s="26">
        <v>298</v>
      </c>
      <c r="E24" s="26">
        <v>269</v>
      </c>
      <c r="F24" s="27"/>
      <c r="G24" s="112">
        <v>9.0356358723188634</v>
      </c>
      <c r="H24" s="113">
        <v>-9.7315436241610769</v>
      </c>
    </row>
    <row r="25" spans="1:8" x14ac:dyDescent="0.25">
      <c r="A25" s="114" t="s">
        <v>24</v>
      </c>
      <c r="B25" s="115" t="s">
        <v>3</v>
      </c>
      <c r="C25" s="20">
        <v>3081</v>
      </c>
      <c r="D25" s="20">
        <v>3341</v>
      </c>
      <c r="E25" s="20">
        <v>3546.3073562285185</v>
      </c>
      <c r="F25" s="22" t="s">
        <v>240</v>
      </c>
      <c r="G25" s="109">
        <v>15.10247829368771</v>
      </c>
      <c r="H25" s="110">
        <v>6.1450869867859552</v>
      </c>
    </row>
    <row r="26" spans="1:8" ht="13.8" thickBot="1" x14ac:dyDescent="0.3">
      <c r="A26" s="122"/>
      <c r="B26" s="123" t="s">
        <v>241</v>
      </c>
      <c r="C26" s="42">
        <v>1231</v>
      </c>
      <c r="D26" s="42">
        <v>1743</v>
      </c>
      <c r="E26" s="42">
        <v>1679</v>
      </c>
      <c r="F26" s="43"/>
      <c r="G26" s="124">
        <v>36.393176279447601</v>
      </c>
      <c r="H26" s="125">
        <v>-3.6718301778542752</v>
      </c>
    </row>
    <row r="27" spans="1:8" x14ac:dyDescent="0.25">
      <c r="A27" s="95"/>
      <c r="B27" s="95"/>
      <c r="C27" s="59"/>
      <c r="D27" s="59"/>
      <c r="E27" s="21"/>
      <c r="F27" s="56"/>
      <c r="G27" s="109"/>
      <c r="H27" s="109"/>
    </row>
    <row r="28" spans="1:8" x14ac:dyDescent="0.25">
      <c r="A28" s="95"/>
      <c r="B28" s="95"/>
      <c r="C28" s="59"/>
      <c r="D28" s="59"/>
      <c r="E28" s="21"/>
      <c r="F28" s="56"/>
      <c r="G28" s="109"/>
      <c r="H28" s="109"/>
    </row>
    <row r="29" spans="1:8" x14ac:dyDescent="0.25">
      <c r="A29" s="95"/>
      <c r="B29" s="95"/>
      <c r="C29" s="59"/>
      <c r="D29" s="59"/>
      <c r="E29" s="21"/>
      <c r="F29" s="56"/>
      <c r="G29" s="109"/>
      <c r="H29" s="109"/>
    </row>
    <row r="30" spans="1:8" x14ac:dyDescent="0.25">
      <c r="A30" s="126"/>
      <c r="B30" s="127"/>
      <c r="C30" s="21"/>
      <c r="D30" s="21"/>
      <c r="E30" s="21"/>
      <c r="F30" s="58"/>
      <c r="G30" s="109"/>
      <c r="H30" s="109"/>
    </row>
    <row r="31" spans="1:8" x14ac:dyDescent="0.25">
      <c r="A31" s="128"/>
      <c r="B31" s="129"/>
      <c r="C31" s="48"/>
      <c r="D31" s="53"/>
      <c r="E31" s="48"/>
      <c r="F31" s="48"/>
      <c r="G31" s="130"/>
      <c r="H31" s="130"/>
    </row>
    <row r="32" spans="1:8" ht="16.2" thickBot="1" x14ac:dyDescent="0.35">
      <c r="A32" s="93" t="s">
        <v>213</v>
      </c>
      <c r="B32" s="94"/>
      <c r="C32" s="94"/>
      <c r="D32" s="94"/>
      <c r="E32" s="94"/>
      <c r="F32" s="94"/>
      <c r="G32" s="94"/>
      <c r="H32" s="95"/>
    </row>
    <row r="33" spans="1:8" x14ac:dyDescent="0.25">
      <c r="A33" s="96"/>
      <c r="B33" s="97"/>
      <c r="C33" s="203" t="s">
        <v>16</v>
      </c>
      <c r="D33" s="199"/>
      <c r="E33" s="199"/>
      <c r="F33" s="204"/>
      <c r="G33" s="199" t="s">
        <v>1</v>
      </c>
      <c r="H33" s="200"/>
    </row>
    <row r="34" spans="1:8" x14ac:dyDescent="0.25">
      <c r="A34" s="101"/>
      <c r="B34" s="102"/>
      <c r="C34" s="103" t="s">
        <v>235</v>
      </c>
      <c r="D34" s="104" t="s">
        <v>236</v>
      </c>
      <c r="E34" s="104" t="s">
        <v>237</v>
      </c>
      <c r="F34" s="105"/>
      <c r="G34" s="106" t="s">
        <v>238</v>
      </c>
      <c r="H34" s="107" t="s">
        <v>239</v>
      </c>
    </row>
    <row r="35" spans="1:8" ht="12.75" customHeight="1" x14ac:dyDescent="0.25">
      <c r="A35" s="201" t="s">
        <v>193</v>
      </c>
      <c r="B35" s="108" t="s">
        <v>3</v>
      </c>
      <c r="C35" s="73">
        <v>2020.3770600314738</v>
      </c>
      <c r="D35" s="73">
        <v>2315.6154205171711</v>
      </c>
      <c r="E35" s="74">
        <v>2680.2882751875927</v>
      </c>
      <c r="F35" s="22" t="s">
        <v>240</v>
      </c>
      <c r="G35" s="109">
        <v>32.662775093369874</v>
      </c>
      <c r="H35" s="110">
        <v>15.748420546835675</v>
      </c>
    </row>
    <row r="36" spans="1:8" ht="12.75" customHeight="1" x14ac:dyDescent="0.25">
      <c r="A36" s="202"/>
      <c r="B36" s="111" t="s">
        <v>241</v>
      </c>
      <c r="C36" s="75">
        <v>1032.682375827022</v>
      </c>
      <c r="D36" s="75">
        <v>1165.0850575720419</v>
      </c>
      <c r="E36" s="75">
        <v>1355.6319377000868</v>
      </c>
      <c r="F36" s="27"/>
      <c r="G36" s="112">
        <v>31.272884037982266</v>
      </c>
      <c r="H36" s="113">
        <v>16.354761301731187</v>
      </c>
    </row>
    <row r="37" spans="1:8" x14ac:dyDescent="0.25">
      <c r="A37" s="114" t="s">
        <v>194</v>
      </c>
      <c r="B37" s="115" t="s">
        <v>3</v>
      </c>
      <c r="C37" s="73">
        <v>873.96741743042514</v>
      </c>
      <c r="D37" s="73">
        <v>985.49603999758494</v>
      </c>
      <c r="E37" s="73">
        <v>1141.4607178580766</v>
      </c>
      <c r="F37" s="22" t="s">
        <v>240</v>
      </c>
      <c r="G37" s="116">
        <v>30.60678179675341</v>
      </c>
      <c r="H37" s="117">
        <v>15.82600756679588</v>
      </c>
    </row>
    <row r="38" spans="1:8" x14ac:dyDescent="0.25">
      <c r="A38" s="118"/>
      <c r="B38" s="111" t="s">
        <v>241</v>
      </c>
      <c r="C38" s="75">
        <v>448.53167454491802</v>
      </c>
      <c r="D38" s="75">
        <v>488.74392656248409</v>
      </c>
      <c r="E38" s="75">
        <v>572.51678570739989</v>
      </c>
      <c r="F38" s="27"/>
      <c r="G38" s="119">
        <v>27.642442707814922</v>
      </c>
      <c r="H38" s="113">
        <v>17.140439930194361</v>
      </c>
    </row>
    <row r="39" spans="1:8" x14ac:dyDescent="0.25">
      <c r="A39" s="114" t="s">
        <v>195</v>
      </c>
      <c r="B39" s="115" t="s">
        <v>3</v>
      </c>
      <c r="C39" s="73">
        <v>181.13700644380313</v>
      </c>
      <c r="D39" s="73">
        <v>226.68125153969811</v>
      </c>
      <c r="E39" s="73">
        <v>283.13257294251605</v>
      </c>
      <c r="F39" s="22" t="s">
        <v>240</v>
      </c>
      <c r="G39" s="120">
        <v>56.308519446773857</v>
      </c>
      <c r="H39" s="117">
        <v>24.903392327058754</v>
      </c>
    </row>
    <row r="40" spans="1:8" x14ac:dyDescent="0.25">
      <c r="A40" s="118"/>
      <c r="B40" s="111" t="s">
        <v>241</v>
      </c>
      <c r="C40" s="75">
        <v>70.1792177501613</v>
      </c>
      <c r="D40" s="75">
        <v>96.478102540310502</v>
      </c>
      <c r="E40" s="75">
        <v>116.672519008425</v>
      </c>
      <c r="F40" s="27"/>
      <c r="G40" s="112">
        <v>66.249386568799196</v>
      </c>
      <c r="H40" s="113">
        <v>20.931606174237174</v>
      </c>
    </row>
    <row r="41" spans="1:8" x14ac:dyDescent="0.25">
      <c r="A41" s="114" t="s">
        <v>228</v>
      </c>
      <c r="B41" s="115" t="s">
        <v>3</v>
      </c>
      <c r="C41" s="73">
        <v>311.57017418937687</v>
      </c>
      <c r="D41" s="73">
        <v>351.77039615849526</v>
      </c>
      <c r="E41" s="73">
        <v>517.04002200102457</v>
      </c>
      <c r="F41" s="22" t="s">
        <v>240</v>
      </c>
      <c r="G41" s="109">
        <v>65.94657153760815</v>
      </c>
      <c r="H41" s="110">
        <v>46.982243999880154</v>
      </c>
    </row>
    <row r="42" spans="1:8" x14ac:dyDescent="0.25">
      <c r="A42" s="118"/>
      <c r="B42" s="111" t="s">
        <v>241</v>
      </c>
      <c r="C42" s="75">
        <v>163.22152594456867</v>
      </c>
      <c r="D42" s="75">
        <v>180.57030266304861</v>
      </c>
      <c r="E42" s="75">
        <v>267.19979227702999</v>
      </c>
      <c r="F42" s="27"/>
      <c r="G42" s="109">
        <v>63.703770523364142</v>
      </c>
      <c r="H42" s="110">
        <v>47.975491172341577</v>
      </c>
    </row>
    <row r="43" spans="1:8" x14ac:dyDescent="0.25">
      <c r="A43" s="114" t="s">
        <v>196</v>
      </c>
      <c r="B43" s="115" t="s">
        <v>3</v>
      </c>
      <c r="C43" s="73">
        <v>75.866383725573669</v>
      </c>
      <c r="D43" s="73">
        <v>87.04859082692721</v>
      </c>
      <c r="E43" s="73">
        <v>94.989008561845949</v>
      </c>
      <c r="F43" s="22" t="s">
        <v>240</v>
      </c>
      <c r="G43" s="120">
        <v>25.205662768167841</v>
      </c>
      <c r="H43" s="117">
        <v>9.1218222598297132</v>
      </c>
    </row>
    <row r="44" spans="1:8" x14ac:dyDescent="0.25">
      <c r="A44" s="118"/>
      <c r="B44" s="111" t="s">
        <v>241</v>
      </c>
      <c r="C44" s="75">
        <v>39.987109797530948</v>
      </c>
      <c r="D44" s="75">
        <v>46.93929584736464</v>
      </c>
      <c r="E44" s="75">
        <v>50.830177077446429</v>
      </c>
      <c r="F44" s="27"/>
      <c r="G44" s="112">
        <v>27.116406599071084</v>
      </c>
      <c r="H44" s="113">
        <v>8.2891768183613266</v>
      </c>
    </row>
    <row r="45" spans="1:8" x14ac:dyDescent="0.25">
      <c r="A45" s="114" t="s">
        <v>197</v>
      </c>
      <c r="B45" s="115" t="s">
        <v>3</v>
      </c>
      <c r="C45" s="73">
        <v>69.876691489114748</v>
      </c>
      <c r="D45" s="73">
        <v>73.25231903138544</v>
      </c>
      <c r="E45" s="73">
        <v>122.02368521742933</v>
      </c>
      <c r="F45" s="22" t="s">
        <v>240</v>
      </c>
      <c r="G45" s="120">
        <v>74.627164819957073</v>
      </c>
      <c r="H45" s="117">
        <v>66.579962014782723</v>
      </c>
    </row>
    <row r="46" spans="1:8" x14ac:dyDescent="0.25">
      <c r="A46" s="114"/>
      <c r="B46" s="111" t="s">
        <v>241</v>
      </c>
      <c r="C46" s="75">
        <v>12.288054931708434</v>
      </c>
      <c r="D46" s="75">
        <v>36.306713341472935</v>
      </c>
      <c r="E46" s="75">
        <v>37.654857775489283</v>
      </c>
      <c r="F46" s="27"/>
      <c r="G46" s="112">
        <v>206.43464718182253</v>
      </c>
      <c r="H46" s="113">
        <v>3.7132097894313461</v>
      </c>
    </row>
    <row r="47" spans="1:8" x14ac:dyDescent="0.25">
      <c r="A47" s="121" t="s">
        <v>198</v>
      </c>
      <c r="B47" s="115" t="s">
        <v>3</v>
      </c>
      <c r="C47" s="73">
        <v>17.408942229114739</v>
      </c>
      <c r="D47" s="73">
        <v>17.388157471385448</v>
      </c>
      <c r="E47" s="73">
        <v>21.110678876131555</v>
      </c>
      <c r="F47" s="22" t="s">
        <v>240</v>
      </c>
      <c r="G47" s="109">
        <v>21.263420823041315</v>
      </c>
      <c r="H47" s="110">
        <v>21.408371823593257</v>
      </c>
    </row>
    <row r="48" spans="1:8" x14ac:dyDescent="0.25">
      <c r="A48" s="118"/>
      <c r="B48" s="111" t="s">
        <v>241</v>
      </c>
      <c r="C48" s="75">
        <v>9.0818704125511314</v>
      </c>
      <c r="D48" s="75">
        <v>8.9092628314729296</v>
      </c>
      <c r="E48" s="75">
        <v>10.881273255489287</v>
      </c>
      <c r="F48" s="27"/>
      <c r="G48" s="109">
        <v>19.813130568912143</v>
      </c>
      <c r="H48" s="110">
        <v>22.134383745533</v>
      </c>
    </row>
    <row r="49" spans="1:8" x14ac:dyDescent="0.25">
      <c r="A49" s="121" t="s">
        <v>199</v>
      </c>
      <c r="B49" s="115" t="s">
        <v>3</v>
      </c>
      <c r="C49" s="73">
        <v>12.316804229114735</v>
      </c>
      <c r="D49" s="73">
        <v>13.682730471385446</v>
      </c>
      <c r="E49" s="73">
        <v>17.784669063351732</v>
      </c>
      <c r="F49" s="22" t="s">
        <v>240</v>
      </c>
      <c r="G49" s="120">
        <v>44.393535307737835</v>
      </c>
      <c r="H49" s="117">
        <v>29.978947553959557</v>
      </c>
    </row>
    <row r="50" spans="1:8" x14ac:dyDescent="0.25">
      <c r="A50" s="118"/>
      <c r="B50" s="111" t="s">
        <v>241</v>
      </c>
      <c r="C50" s="75">
        <v>6.1144262735061901</v>
      </c>
      <c r="D50" s="75">
        <v>7.0993338314729302</v>
      </c>
      <c r="E50" s="75">
        <v>9.0907612554892872</v>
      </c>
      <c r="F50" s="27"/>
      <c r="G50" s="112">
        <v>48.677256848766945</v>
      </c>
      <c r="H50" s="113">
        <v>28.050905497469557</v>
      </c>
    </row>
    <row r="51" spans="1:8" x14ac:dyDescent="0.25">
      <c r="A51" s="121" t="s">
        <v>200</v>
      </c>
      <c r="B51" s="115" t="s">
        <v>3</v>
      </c>
      <c r="C51" s="73">
        <v>187.89631114557369</v>
      </c>
      <c r="D51" s="73">
        <v>226.20454335692722</v>
      </c>
      <c r="E51" s="73">
        <v>219.04771596928731</v>
      </c>
      <c r="F51" s="22" t="s">
        <v>240</v>
      </c>
      <c r="G51" s="120">
        <v>16.579040127924017</v>
      </c>
      <c r="H51" s="117">
        <v>-3.1638742889205389</v>
      </c>
    </row>
    <row r="52" spans="1:8" x14ac:dyDescent="0.25">
      <c r="A52" s="118"/>
      <c r="B52" s="111" t="s">
        <v>241</v>
      </c>
      <c r="C52" s="75">
        <v>113.68537739000287</v>
      </c>
      <c r="D52" s="75">
        <v>106.17981915736468</v>
      </c>
      <c r="E52" s="75">
        <v>111.12485427744643</v>
      </c>
      <c r="F52" s="27"/>
      <c r="G52" s="112">
        <v>-2.2522888794857465</v>
      </c>
      <c r="H52" s="113">
        <v>4.6572269187546027</v>
      </c>
    </row>
    <row r="53" spans="1:8" x14ac:dyDescent="0.25">
      <c r="A53" s="114" t="s">
        <v>24</v>
      </c>
      <c r="B53" s="115" t="s">
        <v>3</v>
      </c>
      <c r="C53" s="73">
        <v>290.3373291493769</v>
      </c>
      <c r="D53" s="73">
        <v>334.09139166338207</v>
      </c>
      <c r="E53" s="73">
        <v>308.4588638956248</v>
      </c>
      <c r="F53" s="22" t="s">
        <v>240</v>
      </c>
      <c r="G53" s="109">
        <v>6.2415448951534955</v>
      </c>
      <c r="H53" s="110">
        <v>-7.6723101544572785</v>
      </c>
    </row>
    <row r="54" spans="1:8" ht="13.8" thickBot="1" x14ac:dyDescent="0.3">
      <c r="A54" s="122"/>
      <c r="B54" s="123" t="s">
        <v>241</v>
      </c>
      <c r="C54" s="79">
        <v>169.50411878207427</v>
      </c>
      <c r="D54" s="79">
        <v>194.36230079705069</v>
      </c>
      <c r="E54" s="79">
        <v>179.66091706587144</v>
      </c>
      <c r="F54" s="43"/>
      <c r="G54" s="124">
        <v>5.992065772074497</v>
      </c>
      <c r="H54" s="125">
        <v>-7.5639070287247421</v>
      </c>
    </row>
    <row r="55" spans="1:8" x14ac:dyDescent="0.25">
      <c r="A55" s="126"/>
      <c r="B55" s="127"/>
      <c r="C55" s="21"/>
      <c r="D55" s="21"/>
      <c r="E55" s="21"/>
      <c r="F55" s="58"/>
      <c r="G55" s="109"/>
      <c r="H55" s="109"/>
    </row>
    <row r="56" spans="1:8" x14ac:dyDescent="0.25">
      <c r="A56" s="126"/>
      <c r="B56" s="127"/>
      <c r="C56" s="21"/>
      <c r="D56" s="21"/>
      <c r="E56" s="21"/>
      <c r="F56" s="58"/>
      <c r="G56" s="109"/>
      <c r="H56" s="109"/>
    </row>
    <row r="57" spans="1:8" x14ac:dyDescent="0.25">
      <c r="A57" s="126"/>
      <c r="B57" s="127"/>
      <c r="C57" s="21"/>
      <c r="D57" s="21"/>
      <c r="E57" s="21"/>
      <c r="F57" s="58"/>
      <c r="G57" s="109"/>
      <c r="H57" s="109"/>
    </row>
    <row r="58" spans="1:8" x14ac:dyDescent="0.25">
      <c r="A58" s="126"/>
      <c r="B58" s="127"/>
      <c r="C58" s="21"/>
      <c r="D58" s="21"/>
      <c r="E58" s="21"/>
      <c r="F58" s="58"/>
      <c r="G58" s="109"/>
      <c r="H58" s="109"/>
    </row>
    <row r="59" spans="1:8" x14ac:dyDescent="0.25">
      <c r="A59" s="128"/>
      <c r="B59" s="129"/>
      <c r="C59" s="48"/>
      <c r="D59" s="48"/>
      <c r="E59" s="48"/>
      <c r="F59" s="48"/>
      <c r="G59" s="130"/>
      <c r="H59" s="130"/>
    </row>
    <row r="60" spans="1:8" x14ac:dyDescent="0.25">
      <c r="A60" s="131"/>
      <c r="B60" s="131"/>
      <c r="C60" s="131"/>
      <c r="D60" s="131"/>
      <c r="E60" s="131"/>
      <c r="F60" s="131"/>
      <c r="G60" s="131"/>
      <c r="H60" s="131"/>
    </row>
    <row r="61" spans="1:8" ht="12.75" customHeight="1" x14ac:dyDescent="0.25">
      <c r="A61" s="132" t="str">
        <f>+Innhold!$B$123</f>
        <v>Finans Norge / Skadeforsikringsstatistikk</v>
      </c>
      <c r="G61" s="133"/>
      <c r="H61" s="198">
        <v>21</v>
      </c>
    </row>
    <row r="62" spans="1:8" ht="12.75" customHeight="1" x14ac:dyDescent="0.25">
      <c r="A62" s="132" t="str">
        <f>+Innhold!$B$124</f>
        <v>Skadestatistikk for landbasert forsikring 2. kvartal 2025</v>
      </c>
      <c r="G62" s="133"/>
      <c r="H62" s="198"/>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showGridLines="0" zoomScaleNormal="100" workbookViewId="0">
      <selection activeCell="A6" sqref="A6"/>
    </sheetView>
  </sheetViews>
  <sheetFormatPr defaultColWidth="11.44140625" defaultRowHeight="13.2" x14ac:dyDescent="0.25"/>
  <cols>
    <col min="1" max="1" width="26.44140625" style="91" customWidth="1"/>
    <col min="2" max="2" width="8.109375" style="91" customWidth="1"/>
    <col min="3" max="4" width="10.44140625" style="91" customWidth="1"/>
    <col min="5" max="5" width="9.88671875" style="91" customWidth="1"/>
    <col min="6" max="6" width="1.5546875" style="91" customWidth="1"/>
    <col min="7" max="7" width="7.5546875" style="91" customWidth="1"/>
    <col min="8" max="8" width="8.88671875" style="91" customWidth="1"/>
    <col min="9" max="16384" width="11.44140625" style="91"/>
  </cols>
  <sheetData>
    <row r="1" spans="1:8" ht="5.25" customHeight="1" x14ac:dyDescent="0.25"/>
    <row r="2" spans="1:8" x14ac:dyDescent="0.25">
      <c r="A2" s="85" t="s">
        <v>0</v>
      </c>
      <c r="B2" s="92"/>
      <c r="C2" s="92"/>
      <c r="D2" s="92"/>
      <c r="E2" s="92"/>
      <c r="F2" s="92"/>
      <c r="G2" s="92"/>
    </row>
    <row r="3" spans="1:8" ht="6" customHeight="1" x14ac:dyDescent="0.25">
      <c r="A3" s="3"/>
      <c r="B3" s="92"/>
      <c r="C3" s="92"/>
      <c r="D3" s="92"/>
      <c r="E3" s="92"/>
      <c r="F3" s="92"/>
      <c r="G3" s="92"/>
    </row>
    <row r="4" spans="1:8" ht="16.2" thickBot="1" x14ac:dyDescent="0.35">
      <c r="A4" s="93" t="s">
        <v>214</v>
      </c>
      <c r="B4" s="94"/>
      <c r="C4" s="94"/>
      <c r="D4" s="94"/>
      <c r="E4" s="94"/>
      <c r="F4" s="94"/>
      <c r="G4" s="94"/>
      <c r="H4" s="95"/>
    </row>
    <row r="5" spans="1:8" x14ac:dyDescent="0.25">
      <c r="A5" s="96"/>
      <c r="B5" s="97"/>
      <c r="C5" s="98"/>
      <c r="D5" s="97"/>
      <c r="E5" s="99"/>
      <c r="F5" s="100"/>
      <c r="G5" s="199" t="s">
        <v>1</v>
      </c>
      <c r="H5" s="200"/>
    </row>
    <row r="6" spans="1:8" x14ac:dyDescent="0.25">
      <c r="A6" s="101"/>
      <c r="B6" s="102"/>
      <c r="C6" s="103" t="s">
        <v>235</v>
      </c>
      <c r="D6" s="104" t="s">
        <v>236</v>
      </c>
      <c r="E6" s="104" t="s">
        <v>237</v>
      </c>
      <c r="F6" s="105"/>
      <c r="G6" s="106" t="s">
        <v>238</v>
      </c>
      <c r="H6" s="107" t="s">
        <v>239</v>
      </c>
    </row>
    <row r="7" spans="1:8" ht="12.75" customHeight="1" x14ac:dyDescent="0.25">
      <c r="A7" s="201" t="s">
        <v>201</v>
      </c>
      <c r="B7" s="108" t="s">
        <v>3</v>
      </c>
      <c r="C7" s="20">
        <v>2456</v>
      </c>
      <c r="D7" s="20">
        <v>2788</v>
      </c>
      <c r="E7" s="72">
        <v>2965.5091249834359</v>
      </c>
      <c r="F7" s="22" t="s">
        <v>240</v>
      </c>
      <c r="G7" s="109">
        <v>20.745485544928172</v>
      </c>
      <c r="H7" s="110">
        <v>6.3668983136096102</v>
      </c>
    </row>
    <row r="8" spans="1:8" ht="12.75" customHeight="1" x14ac:dyDescent="0.25">
      <c r="A8" s="202"/>
      <c r="B8" s="111" t="s">
        <v>241</v>
      </c>
      <c r="C8" s="26">
        <v>1239.1462747778537</v>
      </c>
      <c r="D8" s="26">
        <v>1412</v>
      </c>
      <c r="E8" s="26">
        <v>1500</v>
      </c>
      <c r="F8" s="27"/>
      <c r="G8" s="112">
        <v>21.051084164289691</v>
      </c>
      <c r="H8" s="113">
        <v>6.2322946175637384</v>
      </c>
    </row>
    <row r="9" spans="1:8" x14ac:dyDescent="0.25">
      <c r="A9" s="114" t="s">
        <v>202</v>
      </c>
      <c r="B9" s="115" t="s">
        <v>3</v>
      </c>
      <c r="C9" s="20">
        <v>692</v>
      </c>
      <c r="D9" s="20">
        <v>725</v>
      </c>
      <c r="E9" s="20">
        <v>806.91988909290444</v>
      </c>
      <c r="F9" s="22" t="s">
        <v>240</v>
      </c>
      <c r="G9" s="116">
        <v>16.606920389148044</v>
      </c>
      <c r="H9" s="117">
        <v>11.299295047297164</v>
      </c>
    </row>
    <row r="10" spans="1:8" x14ac:dyDescent="0.25">
      <c r="A10" s="118"/>
      <c r="B10" s="111" t="s">
        <v>241</v>
      </c>
      <c r="C10" s="26">
        <v>326.92857142857144</v>
      </c>
      <c r="D10" s="26">
        <v>349</v>
      </c>
      <c r="E10" s="26">
        <v>386</v>
      </c>
      <c r="F10" s="27"/>
      <c r="G10" s="119">
        <v>18.068603889010262</v>
      </c>
      <c r="H10" s="113">
        <v>10.601719197707737</v>
      </c>
    </row>
    <row r="11" spans="1:8" x14ac:dyDescent="0.25">
      <c r="A11" s="114" t="s">
        <v>203</v>
      </c>
      <c r="B11" s="115" t="s">
        <v>3</v>
      </c>
      <c r="C11" s="20">
        <v>186</v>
      </c>
      <c r="D11" s="20">
        <v>161</v>
      </c>
      <c r="E11" s="20">
        <v>202.24250402870427</v>
      </c>
      <c r="F11" s="22" t="s">
        <v>240</v>
      </c>
      <c r="G11" s="120">
        <v>8.7325290476904627</v>
      </c>
      <c r="H11" s="117">
        <v>25.61646212962998</v>
      </c>
    </row>
    <row r="12" spans="1:8" x14ac:dyDescent="0.25">
      <c r="A12" s="118"/>
      <c r="B12" s="111" t="s">
        <v>241</v>
      </c>
      <c r="C12" s="26">
        <v>94.454545454545453</v>
      </c>
      <c r="D12" s="26">
        <v>87</v>
      </c>
      <c r="E12" s="26">
        <v>107</v>
      </c>
      <c r="F12" s="27"/>
      <c r="G12" s="112">
        <v>13.282001924927812</v>
      </c>
      <c r="H12" s="113">
        <v>22.988505747126425</v>
      </c>
    </row>
    <row r="13" spans="1:8" x14ac:dyDescent="0.25">
      <c r="A13" s="114" t="s">
        <v>204</v>
      </c>
      <c r="B13" s="115" t="s">
        <v>3</v>
      </c>
      <c r="C13" s="20">
        <v>88</v>
      </c>
      <c r="D13" s="20">
        <v>81</v>
      </c>
      <c r="E13" s="20">
        <v>91.893939393939391</v>
      </c>
      <c r="F13" s="22" t="s">
        <v>240</v>
      </c>
      <c r="G13" s="109">
        <v>4.4249311294765761</v>
      </c>
      <c r="H13" s="110">
        <v>13.449307893752334</v>
      </c>
    </row>
    <row r="14" spans="1:8" x14ac:dyDescent="0.25">
      <c r="A14" s="118"/>
      <c r="B14" s="111" t="s">
        <v>241</v>
      </c>
      <c r="C14" s="26">
        <v>36</v>
      </c>
      <c r="D14" s="26">
        <v>44</v>
      </c>
      <c r="E14" s="26">
        <v>45</v>
      </c>
      <c r="F14" s="27"/>
      <c r="G14" s="109">
        <v>25</v>
      </c>
      <c r="H14" s="110">
        <v>2.2727272727272663</v>
      </c>
    </row>
    <row r="15" spans="1:8" x14ac:dyDescent="0.25">
      <c r="A15" s="114" t="s">
        <v>205</v>
      </c>
      <c r="B15" s="115" t="s">
        <v>3</v>
      </c>
      <c r="C15" s="20">
        <v>16</v>
      </c>
      <c r="D15" s="20">
        <v>11</v>
      </c>
      <c r="E15" s="20">
        <v>17.777777777777779</v>
      </c>
      <c r="F15" s="22" t="s">
        <v>240</v>
      </c>
      <c r="G15" s="120">
        <v>11.111111111111114</v>
      </c>
      <c r="H15" s="117">
        <v>61.616161616161605</v>
      </c>
    </row>
    <row r="16" spans="1:8" x14ac:dyDescent="0.25">
      <c r="A16" s="118"/>
      <c r="B16" s="111" t="s">
        <v>241</v>
      </c>
      <c r="C16" s="26">
        <v>8</v>
      </c>
      <c r="D16" s="26">
        <v>9</v>
      </c>
      <c r="E16" s="26">
        <v>12</v>
      </c>
      <c r="F16" s="27"/>
      <c r="G16" s="112">
        <v>50</v>
      </c>
      <c r="H16" s="113">
        <v>33.333333333333314</v>
      </c>
    </row>
    <row r="17" spans="1:8" x14ac:dyDescent="0.25">
      <c r="A17" s="114" t="s">
        <v>206</v>
      </c>
      <c r="B17" s="115" t="s">
        <v>3</v>
      </c>
      <c r="C17" s="20">
        <v>98</v>
      </c>
      <c r="D17" s="20">
        <v>99</v>
      </c>
      <c r="E17" s="20">
        <v>78.861608411480518</v>
      </c>
      <c r="F17" s="22" t="s">
        <v>240</v>
      </c>
      <c r="G17" s="120">
        <v>-19.528971008693347</v>
      </c>
      <c r="H17" s="117">
        <v>-20.341809685373207</v>
      </c>
    </row>
    <row r="18" spans="1:8" x14ac:dyDescent="0.25">
      <c r="A18" s="118"/>
      <c r="B18" s="111" t="s">
        <v>241</v>
      </c>
      <c r="C18" s="26">
        <v>51</v>
      </c>
      <c r="D18" s="26">
        <v>46</v>
      </c>
      <c r="E18" s="26">
        <v>38</v>
      </c>
      <c r="F18" s="27"/>
      <c r="G18" s="112">
        <v>-25.490196078431367</v>
      </c>
      <c r="H18" s="113">
        <v>-17.391304347826093</v>
      </c>
    </row>
    <row r="19" spans="1:8" x14ac:dyDescent="0.25">
      <c r="A19" s="114" t="s">
        <v>207</v>
      </c>
      <c r="B19" s="115" t="s">
        <v>3</v>
      </c>
      <c r="C19" s="20">
        <v>1397</v>
      </c>
      <c r="D19" s="20">
        <v>1711</v>
      </c>
      <c r="E19" s="20">
        <v>1778.0322507927597</v>
      </c>
      <c r="F19" s="22" t="s">
        <v>240</v>
      </c>
      <c r="G19" s="109">
        <v>27.275035847727963</v>
      </c>
      <c r="H19" s="110">
        <v>3.9177235998106141</v>
      </c>
    </row>
    <row r="20" spans="1:8" ht="13.8" thickBot="1" x14ac:dyDescent="0.3">
      <c r="A20" s="122"/>
      <c r="B20" s="123" t="s">
        <v>241</v>
      </c>
      <c r="C20" s="42">
        <v>723.76315789473688</v>
      </c>
      <c r="D20" s="42">
        <v>879</v>
      </c>
      <c r="E20" s="42">
        <v>916</v>
      </c>
      <c r="F20" s="43"/>
      <c r="G20" s="124">
        <v>26.560738828491438</v>
      </c>
      <c r="H20" s="125">
        <v>4.2093287827076296</v>
      </c>
    </row>
    <row r="27" spans="1:8" x14ac:dyDescent="0.25">
      <c r="A27" s="95"/>
      <c r="B27" s="95"/>
      <c r="C27" s="59"/>
      <c r="D27" s="59"/>
      <c r="E27" s="21"/>
      <c r="F27" s="56"/>
      <c r="G27" s="109"/>
      <c r="H27" s="109"/>
    </row>
    <row r="28" spans="1:8" x14ac:dyDescent="0.25">
      <c r="A28" s="95"/>
      <c r="B28" s="95"/>
      <c r="C28" s="59"/>
      <c r="D28" s="59"/>
      <c r="E28" s="21"/>
      <c r="F28" s="56"/>
      <c r="G28" s="109"/>
      <c r="H28" s="109"/>
    </row>
    <row r="29" spans="1:8" x14ac:dyDescent="0.25">
      <c r="A29" s="95"/>
      <c r="B29" s="95"/>
      <c r="C29" s="59"/>
      <c r="D29" s="59"/>
      <c r="E29" s="21"/>
      <c r="F29" s="56"/>
      <c r="G29" s="109"/>
      <c r="H29" s="109"/>
    </row>
    <row r="30" spans="1:8" x14ac:dyDescent="0.25">
      <c r="A30" s="126"/>
      <c r="B30" s="127"/>
      <c r="C30" s="21"/>
      <c r="D30" s="21"/>
      <c r="E30" s="21"/>
      <c r="F30" s="58"/>
      <c r="G30" s="109"/>
      <c r="H30" s="109"/>
    </row>
    <row r="31" spans="1:8" x14ac:dyDescent="0.25">
      <c r="A31" s="128"/>
      <c r="B31" s="129"/>
      <c r="C31" s="48"/>
      <c r="D31" s="53"/>
      <c r="E31" s="48"/>
      <c r="F31" s="48"/>
      <c r="G31" s="130"/>
      <c r="H31" s="130"/>
    </row>
    <row r="32" spans="1:8" ht="16.2" thickBot="1" x14ac:dyDescent="0.35">
      <c r="A32" s="93" t="s">
        <v>215</v>
      </c>
      <c r="B32" s="94"/>
      <c r="C32" s="94"/>
      <c r="D32" s="94"/>
      <c r="E32" s="94"/>
      <c r="F32" s="94"/>
      <c r="G32" s="94"/>
      <c r="H32" s="95"/>
    </row>
    <row r="33" spans="1:8" x14ac:dyDescent="0.25">
      <c r="A33" s="96"/>
      <c r="B33" s="97"/>
      <c r="C33" s="203" t="s">
        <v>16</v>
      </c>
      <c r="D33" s="199"/>
      <c r="E33" s="199"/>
      <c r="F33" s="204"/>
      <c r="G33" s="199" t="s">
        <v>1</v>
      </c>
      <c r="H33" s="200"/>
    </row>
    <row r="34" spans="1:8" x14ac:dyDescent="0.25">
      <c r="A34" s="101"/>
      <c r="B34" s="102"/>
      <c r="C34" s="103" t="s">
        <v>235</v>
      </c>
      <c r="D34" s="104" t="s">
        <v>236</v>
      </c>
      <c r="E34" s="104" t="s">
        <v>237</v>
      </c>
      <c r="F34" s="105"/>
      <c r="G34" s="106" t="s">
        <v>238</v>
      </c>
      <c r="H34" s="107" t="s">
        <v>239</v>
      </c>
    </row>
    <row r="35" spans="1:8" ht="12.75" customHeight="1" x14ac:dyDescent="0.25">
      <c r="A35" s="201" t="s">
        <v>201</v>
      </c>
      <c r="B35" s="108" t="s">
        <v>3</v>
      </c>
      <c r="C35" s="73">
        <v>857.30103578892442</v>
      </c>
      <c r="D35" s="73">
        <v>908.362582576092</v>
      </c>
      <c r="E35" s="74">
        <v>1153.0679707078957</v>
      </c>
      <c r="F35" s="22" t="s">
        <v>240</v>
      </c>
      <c r="G35" s="109">
        <v>34.499775758091118</v>
      </c>
      <c r="H35" s="110">
        <v>26.939175261691844</v>
      </c>
    </row>
    <row r="36" spans="1:8" ht="12.75" customHeight="1" x14ac:dyDescent="0.25">
      <c r="A36" s="202"/>
      <c r="B36" s="111" t="s">
        <v>241</v>
      </c>
      <c r="C36" s="75">
        <v>404.62520572816987</v>
      </c>
      <c r="D36" s="75">
        <v>531.34779163049348</v>
      </c>
      <c r="E36" s="75">
        <v>624.64835899492675</v>
      </c>
      <c r="F36" s="27"/>
      <c r="G36" s="112">
        <v>54.377025986505146</v>
      </c>
      <c r="H36" s="113">
        <v>17.559227465335141</v>
      </c>
    </row>
    <row r="37" spans="1:8" x14ac:dyDescent="0.25">
      <c r="A37" s="114" t="s">
        <v>202</v>
      </c>
      <c r="B37" s="115" t="s">
        <v>3</v>
      </c>
      <c r="C37" s="73">
        <v>433.07797300339769</v>
      </c>
      <c r="D37" s="73">
        <v>442.07758016421138</v>
      </c>
      <c r="E37" s="73">
        <v>597.083239469555</v>
      </c>
      <c r="F37" s="22" t="s">
        <v>240</v>
      </c>
      <c r="G37" s="116">
        <v>37.869685527707645</v>
      </c>
      <c r="H37" s="117">
        <v>35.062999405617035</v>
      </c>
    </row>
    <row r="38" spans="1:8" x14ac:dyDescent="0.25">
      <c r="A38" s="118"/>
      <c r="B38" s="111" t="s">
        <v>241</v>
      </c>
      <c r="C38" s="75">
        <v>183.8047224336959</v>
      </c>
      <c r="D38" s="75">
        <v>251.50937067467638</v>
      </c>
      <c r="E38" s="75">
        <v>305.07106955715903</v>
      </c>
      <c r="F38" s="27"/>
      <c r="G38" s="119">
        <v>65.975642800585661</v>
      </c>
      <c r="H38" s="113">
        <v>21.296104689381096</v>
      </c>
    </row>
    <row r="39" spans="1:8" x14ac:dyDescent="0.25">
      <c r="A39" s="114" t="s">
        <v>203</v>
      </c>
      <c r="B39" s="115" t="s">
        <v>3</v>
      </c>
      <c r="C39" s="73">
        <v>108.78672946531714</v>
      </c>
      <c r="D39" s="73">
        <v>96.560726264135639</v>
      </c>
      <c r="E39" s="73">
        <v>151.4670575425987</v>
      </c>
      <c r="F39" s="22" t="s">
        <v>240</v>
      </c>
      <c r="G39" s="120">
        <v>39.233028042164563</v>
      </c>
      <c r="H39" s="117">
        <v>56.861970081159427</v>
      </c>
    </row>
    <row r="40" spans="1:8" x14ac:dyDescent="0.25">
      <c r="A40" s="118"/>
      <c r="B40" s="111" t="s">
        <v>241</v>
      </c>
      <c r="C40" s="75">
        <v>47.32914749801612</v>
      </c>
      <c r="D40" s="75">
        <v>60.337812258383892</v>
      </c>
      <c r="E40" s="75">
        <v>82.630640919137548</v>
      </c>
      <c r="F40" s="27"/>
      <c r="G40" s="112">
        <v>74.587215885519896</v>
      </c>
      <c r="H40" s="113">
        <v>36.946696982133432</v>
      </c>
    </row>
    <row r="41" spans="1:8" x14ac:dyDescent="0.25">
      <c r="A41" s="114" t="s">
        <v>204</v>
      </c>
      <c r="B41" s="115" t="s">
        <v>3</v>
      </c>
      <c r="C41" s="73">
        <v>49.515810250424707</v>
      </c>
      <c r="D41" s="73">
        <v>51.562479520526431</v>
      </c>
      <c r="E41" s="73">
        <v>68.211972967167114</v>
      </c>
      <c r="F41" s="22" t="s">
        <v>240</v>
      </c>
      <c r="G41" s="109">
        <v>37.757965833916757</v>
      </c>
      <c r="H41" s="110">
        <v>32.289939509236973</v>
      </c>
    </row>
    <row r="42" spans="1:8" x14ac:dyDescent="0.25">
      <c r="A42" s="118"/>
      <c r="B42" s="111" t="s">
        <v>241</v>
      </c>
      <c r="C42" s="75">
        <v>17.735213554211988</v>
      </c>
      <c r="D42" s="75">
        <v>36.130151459334549</v>
      </c>
      <c r="E42" s="75">
        <v>36.243045319644878</v>
      </c>
      <c r="F42" s="27"/>
      <c r="G42" s="109">
        <v>104.35640771315894</v>
      </c>
      <c r="H42" s="110">
        <v>0.31246439815619453</v>
      </c>
    </row>
    <row r="43" spans="1:8" x14ac:dyDescent="0.25">
      <c r="A43" s="114" t="s">
        <v>205</v>
      </c>
      <c r="B43" s="115" t="s">
        <v>3</v>
      </c>
      <c r="C43" s="73">
        <v>5.7728773214892435</v>
      </c>
      <c r="D43" s="73">
        <v>5.0723310743609193</v>
      </c>
      <c r="E43" s="73">
        <v>8.3377806982806018</v>
      </c>
      <c r="F43" s="22" t="s">
        <v>240</v>
      </c>
      <c r="G43" s="120">
        <v>44.430242216366452</v>
      </c>
      <c r="H43" s="117">
        <v>64.377690967877299</v>
      </c>
    </row>
    <row r="44" spans="1:8" x14ac:dyDescent="0.25">
      <c r="A44" s="118"/>
      <c r="B44" s="111" t="s">
        <v>241</v>
      </c>
      <c r="C44" s="75">
        <v>2.0736025077445692</v>
      </c>
      <c r="D44" s="75">
        <v>4.1571347799049345</v>
      </c>
      <c r="E44" s="75">
        <v>4.7878967599492688</v>
      </c>
      <c r="F44" s="27"/>
      <c r="G44" s="112">
        <v>130.89751975449735</v>
      </c>
      <c r="H44" s="113">
        <v>15.172998072936153</v>
      </c>
    </row>
    <row r="45" spans="1:8" x14ac:dyDescent="0.25">
      <c r="A45" s="114" t="s">
        <v>206</v>
      </c>
      <c r="B45" s="115" t="s">
        <v>3</v>
      </c>
      <c r="C45" s="73">
        <v>51.742669607446217</v>
      </c>
      <c r="D45" s="73">
        <v>49.963531751804595</v>
      </c>
      <c r="E45" s="73">
        <v>54.430847732517982</v>
      </c>
      <c r="F45" s="22" t="s">
        <v>240</v>
      </c>
      <c r="G45" s="120">
        <v>5.1952830139342439</v>
      </c>
      <c r="H45" s="117">
        <v>8.9411533253992417</v>
      </c>
    </row>
    <row r="46" spans="1:8" x14ac:dyDescent="0.25">
      <c r="A46" s="118"/>
      <c r="B46" s="111" t="s">
        <v>241</v>
      </c>
      <c r="C46" s="75">
        <v>23.95143453872285</v>
      </c>
      <c r="D46" s="75">
        <v>28.431709899524673</v>
      </c>
      <c r="E46" s="75">
        <v>28.77426779974634</v>
      </c>
      <c r="F46" s="27"/>
      <c r="G46" s="112">
        <v>20.135884776447526</v>
      </c>
      <c r="H46" s="113">
        <v>1.2048445254690563</v>
      </c>
    </row>
    <row r="47" spans="1:8" x14ac:dyDescent="0.25">
      <c r="A47" s="114" t="s">
        <v>207</v>
      </c>
      <c r="B47" s="115" t="s">
        <v>3</v>
      </c>
      <c r="C47" s="73">
        <v>208.40497614084941</v>
      </c>
      <c r="D47" s="73">
        <v>263.12593380105284</v>
      </c>
      <c r="E47" s="73">
        <v>283.52624586695453</v>
      </c>
      <c r="F47" s="22" t="s">
        <v>240</v>
      </c>
      <c r="G47" s="109">
        <v>36.045813836678633</v>
      </c>
      <c r="H47" s="110">
        <v>7.7530602062684437</v>
      </c>
    </row>
    <row r="48" spans="1:8" ht="13.8" thickBot="1" x14ac:dyDescent="0.3">
      <c r="A48" s="122"/>
      <c r="B48" s="123" t="s">
        <v>241</v>
      </c>
      <c r="C48" s="79">
        <v>129.73108519577846</v>
      </c>
      <c r="D48" s="79">
        <v>151.11161255866909</v>
      </c>
      <c r="E48" s="79">
        <v>167.14143863928973</v>
      </c>
      <c r="F48" s="43"/>
      <c r="G48" s="124">
        <v>28.8368461475944</v>
      </c>
      <c r="H48" s="125">
        <v>10.607937940174565</v>
      </c>
    </row>
    <row r="55" spans="1:8" x14ac:dyDescent="0.25">
      <c r="A55" s="126"/>
      <c r="B55" s="127"/>
      <c r="C55" s="21"/>
      <c r="D55" s="21"/>
      <c r="E55" s="21"/>
      <c r="F55" s="58"/>
      <c r="G55" s="109"/>
      <c r="H55" s="109"/>
    </row>
    <row r="56" spans="1:8" x14ac:dyDescent="0.25">
      <c r="A56" s="126"/>
      <c r="B56" s="127"/>
      <c r="C56" s="21"/>
      <c r="D56" s="21"/>
      <c r="E56" s="21"/>
      <c r="F56" s="58"/>
      <c r="G56" s="109"/>
      <c r="H56" s="109"/>
    </row>
    <row r="57" spans="1:8" x14ac:dyDescent="0.25">
      <c r="A57" s="126"/>
      <c r="B57" s="127"/>
      <c r="C57" s="21"/>
      <c r="D57" s="21"/>
      <c r="E57" s="21"/>
      <c r="F57" s="58"/>
      <c r="G57" s="109"/>
      <c r="H57" s="109"/>
    </row>
    <row r="58" spans="1:8" x14ac:dyDescent="0.25">
      <c r="A58" s="126"/>
      <c r="B58" s="127"/>
      <c r="C58" s="21"/>
      <c r="D58" s="21"/>
      <c r="E58" s="21"/>
      <c r="F58" s="58"/>
      <c r="G58" s="109"/>
      <c r="H58" s="109"/>
    </row>
    <row r="59" spans="1:8" x14ac:dyDescent="0.25">
      <c r="A59" s="128"/>
      <c r="B59" s="129"/>
      <c r="C59" s="48"/>
      <c r="D59" s="48"/>
      <c r="E59" s="48"/>
      <c r="F59" s="48"/>
      <c r="G59" s="130"/>
      <c r="H59" s="130"/>
    </row>
    <row r="60" spans="1:8" x14ac:dyDescent="0.25">
      <c r="A60" s="131"/>
      <c r="B60" s="131"/>
      <c r="C60" s="131"/>
      <c r="D60" s="131"/>
      <c r="E60" s="131"/>
      <c r="F60" s="131"/>
      <c r="G60" s="131"/>
      <c r="H60" s="131"/>
    </row>
    <row r="61" spans="1:8" ht="12.75" customHeight="1" x14ac:dyDescent="0.25">
      <c r="A61" s="132" t="str">
        <f>+Innhold!$B$123</f>
        <v>Finans Norge / Skadeforsikringsstatistikk</v>
      </c>
      <c r="G61" s="133"/>
      <c r="H61" s="198">
        <v>22</v>
      </c>
    </row>
    <row r="62" spans="1:8" ht="12.75" customHeight="1" x14ac:dyDescent="0.25">
      <c r="A62" s="132" t="str">
        <f>+Innhold!$B$124</f>
        <v>Skadestatistikk for landbasert forsikring 2. kvartal 2025</v>
      </c>
      <c r="G62" s="133"/>
      <c r="H62" s="198"/>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showGridLines="0" zoomScaleNormal="100" workbookViewId="0">
      <selection activeCell="A6" sqref="A6"/>
    </sheetView>
  </sheetViews>
  <sheetFormatPr defaultColWidth="11.44140625" defaultRowHeight="13.2" x14ac:dyDescent="0.25"/>
  <cols>
    <col min="1" max="1" width="26.44140625" style="91" customWidth="1"/>
    <col min="2" max="2" width="8.109375" style="91" customWidth="1"/>
    <col min="3" max="4" width="10.44140625" style="91" customWidth="1"/>
    <col min="5" max="5" width="9.88671875" style="91" customWidth="1"/>
    <col min="6" max="6" width="1.5546875" style="91" customWidth="1"/>
    <col min="7" max="7" width="7.5546875" style="91" customWidth="1"/>
    <col min="8" max="8" width="8.88671875" style="91" customWidth="1"/>
    <col min="9" max="16384" width="11.44140625" style="91"/>
  </cols>
  <sheetData>
    <row r="1" spans="1:8" ht="5.25" customHeight="1" x14ac:dyDescent="0.25"/>
    <row r="2" spans="1:8" x14ac:dyDescent="0.25">
      <c r="A2" s="85" t="s">
        <v>0</v>
      </c>
      <c r="B2" s="92"/>
      <c r="C2" s="92"/>
      <c r="D2" s="92"/>
      <c r="E2" s="92"/>
      <c r="F2" s="92"/>
      <c r="G2" s="92"/>
    </row>
    <row r="3" spans="1:8" ht="6" customHeight="1" x14ac:dyDescent="0.25">
      <c r="A3" s="3"/>
      <c r="B3" s="92"/>
      <c r="C3" s="92"/>
      <c r="D3" s="92"/>
      <c r="E3" s="92"/>
      <c r="F3" s="92"/>
      <c r="G3" s="92"/>
    </row>
    <row r="4" spans="1:8" ht="16.2" thickBot="1" x14ac:dyDescent="0.35">
      <c r="A4" s="93" t="s">
        <v>216</v>
      </c>
      <c r="B4" s="94"/>
      <c r="C4" s="94"/>
      <c r="D4" s="94"/>
      <c r="E4" s="94"/>
      <c r="F4" s="94"/>
      <c r="G4" s="94"/>
      <c r="H4" s="95"/>
    </row>
    <row r="5" spans="1:8" x14ac:dyDescent="0.25">
      <c r="A5" s="96"/>
      <c r="B5" s="97"/>
      <c r="C5" s="98"/>
      <c r="D5" s="97"/>
      <c r="E5" s="99"/>
      <c r="F5" s="100"/>
      <c r="G5" s="199" t="s">
        <v>1</v>
      </c>
      <c r="H5" s="200"/>
    </row>
    <row r="6" spans="1:8" x14ac:dyDescent="0.25">
      <c r="A6" s="101"/>
      <c r="B6" s="102"/>
      <c r="C6" s="103" t="s">
        <v>235</v>
      </c>
      <c r="D6" s="104" t="s">
        <v>236</v>
      </c>
      <c r="E6" s="104" t="s">
        <v>237</v>
      </c>
      <c r="F6" s="105"/>
      <c r="G6" s="106" t="s">
        <v>238</v>
      </c>
      <c r="H6" s="107" t="s">
        <v>239</v>
      </c>
    </row>
    <row r="7" spans="1:8" ht="12.75" customHeight="1" x14ac:dyDescent="0.25">
      <c r="A7" s="201" t="s">
        <v>208</v>
      </c>
      <c r="B7" s="108" t="s">
        <v>3</v>
      </c>
      <c r="C7" s="20">
        <v>618945.0068571429</v>
      </c>
      <c r="D7" s="20">
        <v>581027.01371425122</v>
      </c>
      <c r="E7" s="72">
        <v>459033.9723088211</v>
      </c>
      <c r="F7" s="22" t="s">
        <v>240</v>
      </c>
      <c r="G7" s="109">
        <v>-25.83606504240376</v>
      </c>
      <c r="H7" s="110">
        <v>-20.996104918699402</v>
      </c>
    </row>
    <row r="8" spans="1:8" ht="12.75" customHeight="1" x14ac:dyDescent="0.25">
      <c r="A8" s="202"/>
      <c r="B8" s="111" t="s">
        <v>241</v>
      </c>
      <c r="C8" s="26">
        <v>301607.50943435158</v>
      </c>
      <c r="D8" s="26">
        <v>361500.00342857145</v>
      </c>
      <c r="E8" s="26">
        <v>261474.00000000192</v>
      </c>
      <c r="F8" s="27"/>
      <c r="G8" s="112">
        <v>-13.30653520849593</v>
      </c>
      <c r="H8" s="113">
        <v>-27.669710229569503</v>
      </c>
    </row>
    <row r="9" spans="1:8" x14ac:dyDescent="0.25">
      <c r="A9" s="114" t="s">
        <v>227</v>
      </c>
      <c r="B9" s="115" t="s">
        <v>3</v>
      </c>
      <c r="C9" s="20">
        <v>20771.031999999999</v>
      </c>
      <c r="D9" s="20">
        <v>22858.11399999584</v>
      </c>
      <c r="E9" s="20">
        <v>21907.68681801296</v>
      </c>
      <c r="F9" s="22" t="s">
        <v>240</v>
      </c>
      <c r="G9" s="116">
        <v>5.4723078661327946</v>
      </c>
      <c r="H9" s="117">
        <v>-4.1579422606040595</v>
      </c>
    </row>
    <row r="10" spans="1:8" x14ac:dyDescent="0.25">
      <c r="A10" s="118"/>
      <c r="B10" s="111" t="s">
        <v>241</v>
      </c>
      <c r="C10" s="26">
        <v>10006.154972067039</v>
      </c>
      <c r="D10" s="26">
        <v>11639.016</v>
      </c>
      <c r="E10" s="26">
        <v>10947.150000001286</v>
      </c>
      <c r="F10" s="27"/>
      <c r="G10" s="119">
        <v>9.4041620438730718</v>
      </c>
      <c r="H10" s="113">
        <v>-5.9443684929955793</v>
      </c>
    </row>
    <row r="11" spans="1:8" x14ac:dyDescent="0.25">
      <c r="A11" s="114" t="s">
        <v>230</v>
      </c>
      <c r="B11" s="115" t="s">
        <v>3</v>
      </c>
      <c r="C11" s="20">
        <v>379734.7536</v>
      </c>
      <c r="D11" s="20">
        <v>342840.10720000003</v>
      </c>
      <c r="E11" s="20">
        <v>253217.69760495634</v>
      </c>
      <c r="F11" s="22" t="s">
        <v>240</v>
      </c>
      <c r="G11" s="120">
        <v>-33.317218083313108</v>
      </c>
      <c r="H11" s="117">
        <v>-26.141168350166609</v>
      </c>
    </row>
    <row r="12" spans="1:8" x14ac:dyDescent="0.25">
      <c r="A12" s="118"/>
      <c r="B12" s="111" t="s">
        <v>241</v>
      </c>
      <c r="C12" s="26">
        <v>184981.67894650204</v>
      </c>
      <c r="D12" s="26">
        <v>220358.8768</v>
      </c>
      <c r="E12" s="26">
        <v>147092</v>
      </c>
      <c r="F12" s="27"/>
      <c r="G12" s="112">
        <v>-20.482936019550351</v>
      </c>
      <c r="H12" s="113">
        <v>-33.248888297110796</v>
      </c>
    </row>
    <row r="13" spans="1:8" x14ac:dyDescent="0.25">
      <c r="A13" s="114" t="s">
        <v>209</v>
      </c>
      <c r="B13" s="115" t="s">
        <v>3</v>
      </c>
      <c r="C13" s="20">
        <v>158212.7536</v>
      </c>
      <c r="D13" s="20">
        <v>170886.05719996971</v>
      </c>
      <c r="E13" s="20">
        <v>158860.60204245552</v>
      </c>
      <c r="F13" s="22" t="s">
        <v>240</v>
      </c>
      <c r="G13" s="109">
        <v>0.40947927882820068</v>
      </c>
      <c r="H13" s="110">
        <v>-7.0371189753896033</v>
      </c>
    </row>
    <row r="14" spans="1:8" x14ac:dyDescent="0.25">
      <c r="A14" s="118"/>
      <c r="B14" s="111" t="s">
        <v>241</v>
      </c>
      <c r="C14" s="26">
        <v>79625.217832935567</v>
      </c>
      <c r="D14" s="26">
        <v>95970.876799999998</v>
      </c>
      <c r="E14" s="26">
        <v>85898.850000000646</v>
      </c>
      <c r="F14" s="27"/>
      <c r="G14" s="109">
        <v>7.878951339546731</v>
      </c>
      <c r="H14" s="110">
        <v>-10.494878379603762</v>
      </c>
    </row>
    <row r="15" spans="1:8" x14ac:dyDescent="0.25">
      <c r="A15" s="114" t="s">
        <v>210</v>
      </c>
      <c r="B15" s="115" t="s">
        <v>3</v>
      </c>
      <c r="C15" s="20">
        <v>48670.625599999999</v>
      </c>
      <c r="D15" s="20">
        <v>49131.851200000005</v>
      </c>
      <c r="E15" s="20">
        <v>37023.732110879901</v>
      </c>
      <c r="F15" s="22" t="s">
        <v>240</v>
      </c>
      <c r="G15" s="120">
        <v>-23.930026264384196</v>
      </c>
      <c r="H15" s="117">
        <v>-24.644133679864495</v>
      </c>
    </row>
    <row r="16" spans="1:8" x14ac:dyDescent="0.25">
      <c r="A16" s="118"/>
      <c r="B16" s="111" t="s">
        <v>241</v>
      </c>
      <c r="C16" s="26">
        <v>22593.287130434783</v>
      </c>
      <c r="D16" s="26">
        <v>30829.8128</v>
      </c>
      <c r="E16" s="26">
        <v>20794</v>
      </c>
      <c r="F16" s="27"/>
      <c r="G16" s="112">
        <v>-7.9638129681936078</v>
      </c>
      <c r="H16" s="113">
        <v>-32.552298857941821</v>
      </c>
    </row>
    <row r="17" spans="1:8" x14ac:dyDescent="0.25">
      <c r="A17" s="114" t="s">
        <v>211</v>
      </c>
      <c r="B17" s="115" t="s">
        <v>3</v>
      </c>
      <c r="C17" s="20">
        <v>39295.251199999999</v>
      </c>
      <c r="D17" s="20">
        <v>30633.702400000002</v>
      </c>
      <c r="E17" s="20">
        <v>22140.706953827361</v>
      </c>
      <c r="F17" s="22" t="s">
        <v>240</v>
      </c>
      <c r="G17" s="109">
        <v>-43.655514909070334</v>
      </c>
      <c r="H17" s="110">
        <v>-27.724351876489607</v>
      </c>
    </row>
    <row r="18" spans="1:8" ht="13.8" thickBot="1" x14ac:dyDescent="0.3">
      <c r="A18" s="122"/>
      <c r="B18" s="123" t="s">
        <v>241</v>
      </c>
      <c r="C18" s="42">
        <v>16901.01725984252</v>
      </c>
      <c r="D18" s="42">
        <v>18891.625599999999</v>
      </c>
      <c r="E18" s="42">
        <v>11929</v>
      </c>
      <c r="F18" s="43"/>
      <c r="G18" s="124">
        <v>-29.418449690932079</v>
      </c>
      <c r="H18" s="125">
        <v>-36.855619243269352</v>
      </c>
    </row>
    <row r="27" spans="1:8" x14ac:dyDescent="0.25">
      <c r="A27" s="95"/>
      <c r="B27" s="95"/>
      <c r="C27" s="59"/>
      <c r="D27" s="59"/>
      <c r="E27" s="21"/>
      <c r="F27" s="56"/>
      <c r="G27" s="109"/>
      <c r="H27" s="109"/>
    </row>
    <row r="28" spans="1:8" x14ac:dyDescent="0.25">
      <c r="A28" s="95"/>
      <c r="B28" s="95"/>
      <c r="C28" s="59"/>
      <c r="D28" s="59"/>
      <c r="E28" s="21"/>
      <c r="F28" s="56"/>
      <c r="G28" s="109"/>
      <c r="H28" s="109"/>
    </row>
    <row r="29" spans="1:8" x14ac:dyDescent="0.25">
      <c r="A29" s="95"/>
      <c r="B29" s="95"/>
      <c r="C29" s="59"/>
      <c r="D29" s="59"/>
      <c r="E29" s="21"/>
      <c r="F29" s="56"/>
      <c r="G29" s="109"/>
      <c r="H29" s="109"/>
    </row>
    <row r="30" spans="1:8" x14ac:dyDescent="0.25">
      <c r="A30" s="126"/>
      <c r="B30" s="127"/>
      <c r="C30" s="21"/>
      <c r="D30" s="21"/>
      <c r="E30" s="21"/>
      <c r="F30" s="58"/>
      <c r="G30" s="109"/>
      <c r="H30" s="109"/>
    </row>
    <row r="31" spans="1:8" x14ac:dyDescent="0.25">
      <c r="A31" s="128"/>
      <c r="B31" s="129"/>
      <c r="C31" s="48"/>
      <c r="D31" s="53"/>
      <c r="E31" s="48"/>
      <c r="F31" s="48"/>
      <c r="G31" s="130"/>
      <c r="H31" s="130"/>
    </row>
    <row r="32" spans="1:8" ht="16.2" thickBot="1" x14ac:dyDescent="0.35">
      <c r="A32" s="93" t="s">
        <v>217</v>
      </c>
      <c r="B32" s="94"/>
      <c r="C32" s="94"/>
      <c r="D32" s="94"/>
      <c r="E32" s="94"/>
      <c r="F32" s="94"/>
      <c r="G32" s="94"/>
      <c r="H32" s="95"/>
    </row>
    <row r="33" spans="1:8" x14ac:dyDescent="0.25">
      <c r="A33" s="96"/>
      <c r="B33" s="97"/>
      <c r="C33" s="203" t="s">
        <v>16</v>
      </c>
      <c r="D33" s="199"/>
      <c r="E33" s="199"/>
      <c r="F33" s="204"/>
      <c r="G33" s="199" t="s">
        <v>1</v>
      </c>
      <c r="H33" s="200"/>
    </row>
    <row r="34" spans="1:8" x14ac:dyDescent="0.25">
      <c r="A34" s="101"/>
      <c r="B34" s="102"/>
      <c r="C34" s="103" t="s">
        <v>235</v>
      </c>
      <c r="D34" s="104" t="s">
        <v>236</v>
      </c>
      <c r="E34" s="104" t="s">
        <v>237</v>
      </c>
      <c r="F34" s="105"/>
      <c r="G34" s="106" t="s">
        <v>238</v>
      </c>
      <c r="H34" s="107" t="s">
        <v>239</v>
      </c>
    </row>
    <row r="35" spans="1:8" ht="12.75" customHeight="1" x14ac:dyDescent="0.25">
      <c r="A35" s="201" t="s">
        <v>208</v>
      </c>
      <c r="B35" s="108" t="s">
        <v>3</v>
      </c>
      <c r="C35" s="73">
        <v>2442.0174959711089</v>
      </c>
      <c r="D35" s="73">
        <v>2712.508763845166</v>
      </c>
      <c r="E35" s="74">
        <v>2531.3196575595234</v>
      </c>
      <c r="F35" s="22" t="s">
        <v>240</v>
      </c>
      <c r="G35" s="109">
        <v>3.6569009737132063</v>
      </c>
      <c r="H35" s="110">
        <v>-6.6797611384965592</v>
      </c>
    </row>
    <row r="36" spans="1:8" ht="12.75" customHeight="1" x14ac:dyDescent="0.25">
      <c r="A36" s="202"/>
      <c r="B36" s="111" t="s">
        <v>241</v>
      </c>
      <c r="C36" s="75">
        <v>1301.0757492318392</v>
      </c>
      <c r="D36" s="75">
        <v>1433.7722611464678</v>
      </c>
      <c r="E36" s="75">
        <v>1341.5326432469967</v>
      </c>
      <c r="F36" s="27"/>
      <c r="G36" s="112">
        <v>3.109495664571682</v>
      </c>
      <c r="H36" s="113">
        <v>-6.4333521019380555</v>
      </c>
    </row>
    <row r="37" spans="1:8" x14ac:dyDescent="0.25">
      <c r="A37" s="114" t="s">
        <v>227</v>
      </c>
      <c r="B37" s="115" t="s">
        <v>3</v>
      </c>
      <c r="C37" s="73">
        <v>736.8485146729837</v>
      </c>
      <c r="D37" s="73">
        <v>819.58099779469239</v>
      </c>
      <c r="E37" s="73">
        <v>805.8166312126591</v>
      </c>
      <c r="F37" s="22" t="s">
        <v>240</v>
      </c>
      <c r="G37" s="116">
        <v>9.3598772564919699</v>
      </c>
      <c r="H37" s="117">
        <v>-1.6794394476043379</v>
      </c>
    </row>
    <row r="38" spans="1:8" x14ac:dyDescent="0.25">
      <c r="A38" s="118"/>
      <c r="B38" s="111" t="s">
        <v>241</v>
      </c>
      <c r="C38" s="75">
        <v>384.23203144872673</v>
      </c>
      <c r="D38" s="75">
        <v>422.72103484147192</v>
      </c>
      <c r="E38" s="75">
        <v>417.13524870483951</v>
      </c>
      <c r="F38" s="27"/>
      <c r="G38" s="119">
        <v>8.5633717553565134</v>
      </c>
      <c r="H38" s="113">
        <v>-1.3213882622915065</v>
      </c>
    </row>
    <row r="39" spans="1:8" x14ac:dyDescent="0.25">
      <c r="A39" s="114" t="s">
        <v>230</v>
      </c>
      <c r="B39" s="115" t="s">
        <v>3</v>
      </c>
      <c r="C39" s="73">
        <v>520.43804418276932</v>
      </c>
      <c r="D39" s="73">
        <v>566.19356314488584</v>
      </c>
      <c r="E39" s="73">
        <v>485.42244175318643</v>
      </c>
      <c r="F39" s="22" t="s">
        <v>240</v>
      </c>
      <c r="G39" s="120">
        <v>-6.7281019942665807</v>
      </c>
      <c r="H39" s="117">
        <v>-14.265637522097819</v>
      </c>
    </row>
    <row r="40" spans="1:8" x14ac:dyDescent="0.25">
      <c r="A40" s="118"/>
      <c r="B40" s="111" t="s">
        <v>241</v>
      </c>
      <c r="C40" s="75">
        <v>298.10848310792807</v>
      </c>
      <c r="D40" s="75">
        <v>311.0304302334352</v>
      </c>
      <c r="E40" s="75">
        <v>270.35197128864831</v>
      </c>
      <c r="F40" s="27"/>
      <c r="G40" s="112">
        <v>-9.3108762051667924</v>
      </c>
      <c r="H40" s="113">
        <v>-13.078610640848481</v>
      </c>
    </row>
    <row r="41" spans="1:8" x14ac:dyDescent="0.25">
      <c r="A41" s="114" t="s">
        <v>209</v>
      </c>
      <c r="B41" s="115" t="s">
        <v>3</v>
      </c>
      <c r="C41" s="73">
        <v>737.08319667624539</v>
      </c>
      <c r="D41" s="73">
        <v>919.90574354956948</v>
      </c>
      <c r="E41" s="73">
        <v>876.26545704201283</v>
      </c>
      <c r="F41" s="22" t="s">
        <v>240</v>
      </c>
      <c r="G41" s="109">
        <v>18.882842668695574</v>
      </c>
      <c r="H41" s="110">
        <v>-4.7439954379635907</v>
      </c>
    </row>
    <row r="42" spans="1:8" x14ac:dyDescent="0.25">
      <c r="A42" s="118"/>
      <c r="B42" s="111" t="s">
        <v>241</v>
      </c>
      <c r="C42" s="75">
        <v>400.31196481502968</v>
      </c>
      <c r="D42" s="75">
        <v>488.31934819545972</v>
      </c>
      <c r="E42" s="75">
        <v>468.68205637977758</v>
      </c>
      <c r="F42" s="27"/>
      <c r="G42" s="109">
        <v>17.079202615474998</v>
      </c>
      <c r="H42" s="110">
        <v>-4.0214035934168777</v>
      </c>
    </row>
    <row r="43" spans="1:8" x14ac:dyDescent="0.25">
      <c r="A43" s="114" t="s">
        <v>210</v>
      </c>
      <c r="B43" s="115" t="s">
        <v>3</v>
      </c>
      <c r="C43" s="73">
        <v>196.38676442782005</v>
      </c>
      <c r="D43" s="73">
        <v>242.75495083609039</v>
      </c>
      <c r="E43" s="73">
        <v>200.55935772498759</v>
      </c>
      <c r="F43" s="22" t="s">
        <v>240</v>
      </c>
      <c r="G43" s="120">
        <v>2.1246815228737717</v>
      </c>
      <c r="H43" s="117">
        <v>-17.381970157878897</v>
      </c>
    </row>
    <row r="44" spans="1:8" x14ac:dyDescent="0.25">
      <c r="A44" s="118"/>
      <c r="B44" s="111" t="s">
        <v>241</v>
      </c>
      <c r="C44" s="75">
        <v>99.254539100185411</v>
      </c>
      <c r="D44" s="75">
        <v>133.1281856906748</v>
      </c>
      <c r="E44" s="75">
        <v>106.95447734274627</v>
      </c>
      <c r="F44" s="27"/>
      <c r="G44" s="112">
        <v>7.757769379986442</v>
      </c>
      <c r="H44" s="113">
        <v>-19.660531098007667</v>
      </c>
    </row>
    <row r="45" spans="1:8" x14ac:dyDescent="0.25">
      <c r="A45" s="114" t="s">
        <v>211</v>
      </c>
      <c r="B45" s="115" t="s">
        <v>3</v>
      </c>
      <c r="C45" s="73">
        <v>251.26097601129052</v>
      </c>
      <c r="D45" s="73">
        <v>164.07350851992754</v>
      </c>
      <c r="E45" s="73">
        <v>164.26051583840805</v>
      </c>
      <c r="F45" s="22" t="s">
        <v>240</v>
      </c>
      <c r="G45" s="109">
        <v>-34.6255361871129</v>
      </c>
      <c r="H45" s="110">
        <v>0.11397776531229908</v>
      </c>
    </row>
    <row r="46" spans="1:8" ht="13.8" thickBot="1" x14ac:dyDescent="0.3">
      <c r="A46" s="122"/>
      <c r="B46" s="123" t="s">
        <v>241</v>
      </c>
      <c r="C46" s="79">
        <v>119.16873075996943</v>
      </c>
      <c r="D46" s="79">
        <v>78.573262185426543</v>
      </c>
      <c r="E46" s="79">
        <v>78.40888953098505</v>
      </c>
      <c r="F46" s="43"/>
      <c r="G46" s="124">
        <v>-34.203470129327101</v>
      </c>
      <c r="H46" s="125">
        <v>-0.20919667819516974</v>
      </c>
    </row>
    <row r="55" spans="1:8" x14ac:dyDescent="0.25">
      <c r="A55" s="126"/>
      <c r="B55" s="127"/>
      <c r="C55" s="21"/>
      <c r="D55" s="21"/>
      <c r="E55" s="21"/>
      <c r="F55" s="58"/>
      <c r="G55" s="109"/>
      <c r="H55" s="109"/>
    </row>
    <row r="56" spans="1:8" x14ac:dyDescent="0.25">
      <c r="A56" s="126"/>
      <c r="B56" s="127"/>
      <c r="C56" s="21"/>
      <c r="D56" s="21"/>
      <c r="E56" s="21"/>
      <c r="F56" s="58"/>
      <c r="G56" s="109"/>
      <c r="H56" s="109"/>
    </row>
    <row r="57" spans="1:8" x14ac:dyDescent="0.25">
      <c r="A57" s="126"/>
      <c r="B57" s="127"/>
      <c r="C57" s="21"/>
      <c r="D57" s="21"/>
      <c r="E57" s="21"/>
      <c r="F57" s="58"/>
      <c r="G57" s="109"/>
      <c r="H57" s="109"/>
    </row>
    <row r="58" spans="1:8" x14ac:dyDescent="0.25">
      <c r="A58" s="126"/>
      <c r="B58" s="127"/>
      <c r="C58" s="21"/>
      <c r="D58" s="21"/>
      <c r="E58" s="21"/>
      <c r="F58" s="58"/>
      <c r="G58" s="109"/>
      <c r="H58" s="109"/>
    </row>
    <row r="59" spans="1:8" x14ac:dyDescent="0.25">
      <c r="A59" s="128"/>
      <c r="B59" s="129"/>
      <c r="C59" s="48"/>
      <c r="D59" s="48"/>
      <c r="E59" s="48"/>
      <c r="F59" s="48"/>
      <c r="G59" s="130"/>
      <c r="H59" s="130"/>
    </row>
    <row r="60" spans="1:8" x14ac:dyDescent="0.25">
      <c r="A60" s="131"/>
      <c r="B60" s="131"/>
      <c r="C60" s="131"/>
      <c r="D60" s="131"/>
      <c r="E60" s="131"/>
      <c r="F60" s="131"/>
      <c r="G60" s="131"/>
      <c r="H60" s="131"/>
    </row>
    <row r="61" spans="1:8" ht="12.75" customHeight="1" x14ac:dyDescent="0.25">
      <c r="A61" s="132" t="str">
        <f>+Innhold!$B$123</f>
        <v>Finans Norge / Skadeforsikringsstatistikk</v>
      </c>
      <c r="G61" s="133"/>
      <c r="H61" s="198">
        <v>23</v>
      </c>
    </row>
    <row r="62" spans="1:8" ht="12.75" customHeight="1" x14ac:dyDescent="0.25">
      <c r="A62" s="132" t="str">
        <f>+Innhold!$B$124</f>
        <v>Skadestatistikk for landbasert forsikring 2. kvartal 2025</v>
      </c>
      <c r="G62" s="133"/>
      <c r="H62" s="198"/>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zoomScaleNormal="100" workbookViewId="0">
      <selection activeCell="A3" sqref="A3"/>
    </sheetView>
  </sheetViews>
  <sheetFormatPr defaultColWidth="11.44140625" defaultRowHeight="12.75" customHeight="1" x14ac:dyDescent="0.25"/>
  <cols>
    <col min="1" max="1" width="11.44140625" style="82" customWidth="1"/>
    <col min="2" max="2" width="27.109375" style="1" customWidth="1"/>
    <col min="3" max="5" width="10.5546875" style="1" customWidth="1"/>
    <col min="6" max="8" width="7.5546875" style="1" customWidth="1"/>
    <col min="9" max="16384" width="11.44140625" style="1"/>
  </cols>
  <sheetData>
    <row r="2" spans="1:8" ht="12.75" customHeight="1" x14ac:dyDescent="0.25">
      <c r="B2" s="2"/>
      <c r="C2" s="2"/>
      <c r="D2" s="2"/>
      <c r="E2" s="2"/>
      <c r="F2" s="2"/>
      <c r="G2" s="2"/>
    </row>
    <row r="3" spans="1:8" ht="12.75" customHeight="1" x14ac:dyDescent="0.25">
      <c r="A3" s="83"/>
      <c r="B3" s="2"/>
      <c r="C3" s="2"/>
      <c r="D3" s="2"/>
      <c r="E3" s="2"/>
      <c r="F3" s="2"/>
      <c r="G3" s="2"/>
    </row>
    <row r="4" spans="1:8" ht="12.75" customHeight="1" x14ac:dyDescent="0.3">
      <c r="A4" s="83"/>
      <c r="C4" s="67"/>
      <c r="D4" s="67" t="s">
        <v>88</v>
      </c>
      <c r="E4" s="67"/>
      <c r="F4" s="67"/>
      <c r="G4" s="67"/>
      <c r="H4" s="67"/>
    </row>
    <row r="5" spans="1:8" ht="12.75" customHeight="1" x14ac:dyDescent="0.3">
      <c r="A5" s="83"/>
      <c r="B5" s="68"/>
      <c r="C5" s="67"/>
      <c r="D5" s="67"/>
      <c r="E5" s="67"/>
      <c r="F5" s="67"/>
      <c r="G5" s="67"/>
      <c r="H5" s="67"/>
    </row>
    <row r="6" spans="1:8" ht="12.75" customHeight="1" x14ac:dyDescent="0.3">
      <c r="A6" s="83"/>
      <c r="B6" s="66"/>
      <c r="C6" s="66"/>
      <c r="D6" s="66"/>
      <c r="E6" s="66"/>
      <c r="F6" s="66"/>
      <c r="G6" s="66"/>
      <c r="H6" s="66"/>
    </row>
    <row r="7" spans="1:8" ht="12.75" customHeight="1" x14ac:dyDescent="0.3">
      <c r="A7" s="83"/>
      <c r="B7" s="66"/>
      <c r="C7" s="66"/>
      <c r="D7" s="66"/>
      <c r="E7" s="66"/>
      <c r="F7" s="66"/>
      <c r="G7" s="66"/>
      <c r="H7" s="66"/>
    </row>
    <row r="8" spans="1:8" ht="12.75" customHeight="1" x14ac:dyDescent="0.3">
      <c r="A8" s="84" t="s">
        <v>114</v>
      </c>
      <c r="B8" s="66" t="s">
        <v>89</v>
      </c>
      <c r="C8" s="66"/>
      <c r="D8" s="66"/>
      <c r="E8" s="66"/>
      <c r="F8" s="66"/>
      <c r="G8" s="66"/>
      <c r="H8" s="69">
        <v>2</v>
      </c>
    </row>
    <row r="9" spans="1:8" ht="12.75" customHeight="1" x14ac:dyDescent="0.3">
      <c r="B9" s="66"/>
      <c r="C9" s="66"/>
      <c r="D9" s="66"/>
      <c r="E9" s="66"/>
      <c r="F9" s="66"/>
      <c r="G9" s="66"/>
      <c r="H9" s="69"/>
    </row>
    <row r="10" spans="1:8" ht="12.75" customHeight="1" x14ac:dyDescent="0.3">
      <c r="B10" s="66" t="s">
        <v>90</v>
      </c>
      <c r="C10" s="66"/>
      <c r="D10" s="66"/>
      <c r="E10" s="66"/>
      <c r="F10" s="66"/>
      <c r="G10" s="66"/>
      <c r="H10" s="69"/>
    </row>
    <row r="11" spans="1:8" ht="12.75" customHeight="1" x14ac:dyDescent="0.3">
      <c r="A11" s="84" t="s">
        <v>115</v>
      </c>
      <c r="B11" s="66" t="str">
        <f>+'Tab2'!A6&amp;" ……………………………………………"</f>
        <v>Figur 1. Antall meldte skader etter bransjer  ……………………………………………</v>
      </c>
      <c r="C11" s="66"/>
      <c r="D11" s="66"/>
      <c r="E11" s="66"/>
      <c r="F11" s="66"/>
      <c r="G11" s="66"/>
      <c r="H11" s="69">
        <v>4</v>
      </c>
    </row>
    <row r="12" spans="1:8" ht="12.75" customHeight="1" x14ac:dyDescent="0.3">
      <c r="B12" s="66" t="str">
        <f>+'Tab2'!A32&amp;" ……………………………"</f>
        <v>Figur 2. Antall meldte skader etter bransjer  ……………………………</v>
      </c>
      <c r="C12" s="66"/>
      <c r="D12" s="66"/>
      <c r="E12" s="66"/>
      <c r="F12" s="66"/>
      <c r="G12" s="66"/>
      <c r="H12" s="69">
        <v>4</v>
      </c>
    </row>
    <row r="13" spans="1:8" ht="12.75" customHeight="1" x14ac:dyDescent="0.3">
      <c r="B13" s="66" t="str">
        <f>+'Tab2'!I6&amp;"  ………………………………………………………………………………………………….."</f>
        <v>Figur 3. Anslått erstatning etter bransje, pr.   …………………………………………………………………………………………………..</v>
      </c>
      <c r="C13" s="66"/>
      <c r="D13" s="66"/>
      <c r="E13" s="66"/>
      <c r="F13" s="66"/>
      <c r="G13" s="66"/>
      <c r="H13" s="69">
        <v>5</v>
      </c>
    </row>
    <row r="14" spans="1:8" ht="12.75" customHeight="1" x14ac:dyDescent="0.3">
      <c r="B14" s="66" t="str">
        <f>+'Tab2'!I32&amp;"  ………………………………………………………………………………………………….."</f>
        <v>Figur 4. Vannskader pr. kvartal  …………………………………………………………………………………………………..</v>
      </c>
      <c r="C14" s="66"/>
      <c r="D14" s="66"/>
      <c r="E14" s="66"/>
      <c r="F14" s="66"/>
      <c r="G14" s="66"/>
      <c r="H14" s="69">
        <v>5</v>
      </c>
    </row>
    <row r="15" spans="1:8" ht="12.75" customHeight="1" x14ac:dyDescent="0.3">
      <c r="B15" s="66" t="str">
        <f>+'Tab2'!P6&amp;" ……………………………"</f>
        <v>Figur 5. Antall meldte skader i motorvogn kvartalsvis (i 1000) ……………………………</v>
      </c>
      <c r="C15" s="66"/>
      <c r="D15" s="66"/>
      <c r="E15" s="66"/>
      <c r="F15" s="66"/>
      <c r="G15" s="66"/>
      <c r="H15" s="69">
        <v>6</v>
      </c>
    </row>
    <row r="16" spans="1:8" ht="12.75" customHeight="1" x14ac:dyDescent="0.3">
      <c r="B16" s="66" t="str">
        <f>+'Tab2'!P32&amp;" ……………………………"</f>
        <v>Figur 6. Anslått erstatning etter skadetype, motorvogn  2025 ……………………………</v>
      </c>
      <c r="C16" s="66"/>
      <c r="D16" s="66"/>
      <c r="E16" s="66"/>
      <c r="F16" s="66"/>
      <c r="G16" s="66"/>
      <c r="H16" s="69">
        <v>6</v>
      </c>
    </row>
    <row r="17" spans="1:14" ht="12.75" customHeight="1" x14ac:dyDescent="0.3">
      <c r="B17" s="66" t="str">
        <f>+'Tab2'!W6&amp;" ……………………………………………………………"</f>
        <v>Figur 7. Antall meldte skader i de Brann-kombinerte bransjer etter skadetype  ……………………………………………………………</v>
      </c>
      <c r="C17" s="66"/>
      <c r="D17" s="66"/>
      <c r="E17" s="66"/>
      <c r="F17" s="66"/>
      <c r="G17" s="66"/>
      <c r="H17" s="69">
        <v>7</v>
      </c>
    </row>
    <row r="18" spans="1:14" ht="12.75" customHeight="1" x14ac:dyDescent="0.3">
      <c r="B18" s="66" t="str">
        <f>+'Tab2'!W32&amp;" ……………………………………………………………"</f>
        <v>Figur 8. Anslått erstatning i de Brann-kombinerte bransjer etter skadetype  ……………………………………………………………</v>
      </c>
      <c r="C18" s="66"/>
      <c r="D18" s="66"/>
      <c r="E18" s="66"/>
      <c r="F18" s="66"/>
      <c r="G18" s="66"/>
      <c r="H18" s="69">
        <v>7</v>
      </c>
    </row>
    <row r="19" spans="1:14" ht="12.75" customHeight="1" x14ac:dyDescent="0.3">
      <c r="B19" s="66" t="str">
        <f>+'Tab2'!AD6&amp;"  ………………………………………………………………………………………………….."</f>
        <v>Figur 9. Brannskader pr. kvartal  …………………………………………………………………………………………………..</v>
      </c>
      <c r="C19" s="66"/>
      <c r="D19" s="66"/>
      <c r="E19" s="66"/>
      <c r="F19" s="66"/>
      <c r="G19" s="66"/>
      <c r="H19" s="69">
        <v>8</v>
      </c>
    </row>
    <row r="20" spans="1:14" ht="12.75" customHeight="1" x14ac:dyDescent="0.3">
      <c r="B20" s="66" t="str">
        <f>+'Tab2'!AD32&amp;"  ………………………………………………………………………………………………….."</f>
        <v>Figur 10. Innbrudd, tyverier og ran pr. kvartal  …………………………………………………………………………………………………..</v>
      </c>
      <c r="C20" s="66"/>
      <c r="D20" s="66"/>
      <c r="E20" s="66"/>
      <c r="F20" s="66"/>
      <c r="G20" s="66"/>
      <c r="H20" s="69">
        <v>8</v>
      </c>
    </row>
    <row r="22" spans="1:14" ht="12.75" customHeight="1" x14ac:dyDescent="0.3">
      <c r="B22" s="66" t="s">
        <v>91</v>
      </c>
      <c r="C22" s="66"/>
      <c r="D22" s="66"/>
      <c r="E22" s="66"/>
      <c r="F22" s="66"/>
      <c r="G22" s="66"/>
      <c r="H22" s="69"/>
    </row>
    <row r="23" spans="1:14" ht="12.75" customHeight="1" x14ac:dyDescent="0.3">
      <c r="A23" s="84" t="s">
        <v>116</v>
      </c>
      <c r="B23" s="66" t="s">
        <v>131</v>
      </c>
      <c r="C23" s="66"/>
      <c r="D23" s="66"/>
      <c r="E23" s="66"/>
      <c r="F23" s="66"/>
      <c r="G23" s="66"/>
      <c r="H23" s="69">
        <v>9</v>
      </c>
    </row>
    <row r="24" spans="1:14" ht="12.75" customHeight="1" x14ac:dyDescent="0.3">
      <c r="A24" s="84" t="s">
        <v>117</v>
      </c>
      <c r="B24" s="66" t="s">
        <v>93</v>
      </c>
      <c r="C24" s="66"/>
      <c r="D24" s="66"/>
      <c r="E24" s="66"/>
      <c r="F24" s="66"/>
      <c r="G24" s="66"/>
      <c r="H24" s="69">
        <f>H23+1</f>
        <v>10</v>
      </c>
    </row>
    <row r="25" spans="1:14" ht="12.75" customHeight="1" x14ac:dyDescent="0.3">
      <c r="B25" s="66"/>
      <c r="C25" s="66"/>
      <c r="D25" s="66"/>
      <c r="E25" s="66"/>
      <c r="F25" s="66"/>
      <c r="G25" s="66"/>
      <c r="H25" s="69"/>
    </row>
    <row r="26" spans="1:14" ht="12.75" customHeight="1" x14ac:dyDescent="0.3">
      <c r="A26" s="84" t="s">
        <v>118</v>
      </c>
      <c r="B26" s="66" t="s">
        <v>132</v>
      </c>
      <c r="C26" s="66"/>
      <c r="D26" s="66"/>
      <c r="E26" s="66"/>
      <c r="F26" s="66"/>
      <c r="G26" s="66"/>
      <c r="H26" s="69">
        <f>+H24+1</f>
        <v>11</v>
      </c>
    </row>
    <row r="27" spans="1:14" ht="12.75" customHeight="1" x14ac:dyDescent="0.3">
      <c r="B27" s="66" t="s">
        <v>94</v>
      </c>
      <c r="C27" s="66"/>
      <c r="D27" s="66"/>
      <c r="E27" s="66"/>
      <c r="F27" s="66"/>
      <c r="G27" s="66"/>
      <c r="H27" s="69">
        <f>+H26</f>
        <v>11</v>
      </c>
      <c r="N27" s="70"/>
    </row>
    <row r="28" spans="1:14" ht="12.75" customHeight="1" x14ac:dyDescent="0.3">
      <c r="A28" s="84" t="s">
        <v>119</v>
      </c>
      <c r="B28" s="66" t="s">
        <v>133</v>
      </c>
      <c r="C28" s="66"/>
      <c r="D28" s="66"/>
      <c r="E28" s="66"/>
      <c r="F28" s="66"/>
      <c r="G28" s="66"/>
      <c r="H28" s="69">
        <f>+H26+1</f>
        <v>12</v>
      </c>
      <c r="N28" s="70"/>
    </row>
    <row r="29" spans="1:14" ht="12.75" customHeight="1" x14ac:dyDescent="0.3">
      <c r="B29" s="66" t="s">
        <v>95</v>
      </c>
      <c r="C29" s="66"/>
      <c r="D29" s="66"/>
      <c r="E29" s="66"/>
      <c r="F29" s="66"/>
      <c r="G29" s="66"/>
      <c r="H29" s="69">
        <f>+H28</f>
        <v>12</v>
      </c>
      <c r="N29" s="70"/>
    </row>
    <row r="30" spans="1:14" ht="12.75" customHeight="1" x14ac:dyDescent="0.3">
      <c r="B30" s="66"/>
      <c r="C30" s="66"/>
      <c r="D30" s="66"/>
      <c r="E30" s="66"/>
      <c r="F30" s="66"/>
      <c r="G30" s="66"/>
      <c r="H30" s="69"/>
      <c r="N30" s="70"/>
    </row>
    <row r="31" spans="1:14" ht="12.75" customHeight="1" x14ac:dyDescent="0.3">
      <c r="A31" s="84" t="s">
        <v>120</v>
      </c>
      <c r="B31" s="66" t="s">
        <v>134</v>
      </c>
      <c r="C31" s="66"/>
      <c r="D31" s="66"/>
      <c r="E31" s="66"/>
      <c r="F31" s="66"/>
      <c r="G31" s="66"/>
      <c r="H31" s="69">
        <f>+H29+1</f>
        <v>13</v>
      </c>
      <c r="N31" s="70"/>
    </row>
    <row r="32" spans="1:14" ht="12.75" customHeight="1" x14ac:dyDescent="0.3">
      <c r="B32" s="66" t="s">
        <v>96</v>
      </c>
      <c r="C32" s="66"/>
      <c r="D32" s="66"/>
      <c r="E32" s="66"/>
      <c r="F32" s="66"/>
      <c r="G32" s="66"/>
      <c r="H32" s="69">
        <f>+H31</f>
        <v>13</v>
      </c>
      <c r="N32" s="70"/>
    </row>
    <row r="33" spans="1:14" ht="12.75" customHeight="1" x14ac:dyDescent="0.3">
      <c r="A33" s="84" t="s">
        <v>121</v>
      </c>
      <c r="B33" s="66" t="s">
        <v>135</v>
      </c>
      <c r="C33" s="66"/>
      <c r="D33" s="66"/>
      <c r="E33" s="66"/>
      <c r="F33" s="66"/>
      <c r="G33" s="66"/>
      <c r="H33" s="69">
        <f>+H31+1</f>
        <v>14</v>
      </c>
      <c r="N33" s="70"/>
    </row>
    <row r="34" spans="1:14" ht="12.75" customHeight="1" x14ac:dyDescent="0.3">
      <c r="B34" s="66" t="s">
        <v>97</v>
      </c>
      <c r="C34" s="66"/>
      <c r="D34" s="66"/>
      <c r="E34" s="66"/>
      <c r="F34" s="66"/>
      <c r="G34" s="66"/>
      <c r="H34" s="69">
        <f>+H33</f>
        <v>14</v>
      </c>
      <c r="N34" s="70"/>
    </row>
    <row r="35" spans="1:14" ht="12.75" customHeight="1" x14ac:dyDescent="0.3">
      <c r="A35" s="84" t="s">
        <v>122</v>
      </c>
      <c r="B35" s="66" t="s">
        <v>136</v>
      </c>
      <c r="C35" s="66"/>
      <c r="D35" s="66"/>
      <c r="E35" s="66"/>
      <c r="F35" s="66"/>
      <c r="G35" s="66"/>
      <c r="H35" s="69">
        <f>+H34+1</f>
        <v>15</v>
      </c>
      <c r="N35" s="70"/>
    </row>
    <row r="36" spans="1:14" ht="12.75" customHeight="1" x14ac:dyDescent="0.3">
      <c r="B36" s="66" t="s">
        <v>100</v>
      </c>
      <c r="C36" s="66"/>
      <c r="D36" s="66"/>
      <c r="E36" s="66"/>
      <c r="F36" s="66"/>
      <c r="G36" s="66"/>
      <c r="H36" s="69">
        <f>+H35</f>
        <v>15</v>
      </c>
      <c r="N36" s="70"/>
    </row>
    <row r="37" spans="1:14" ht="12.75" customHeight="1" x14ac:dyDescent="0.3">
      <c r="A37" s="84" t="s">
        <v>123</v>
      </c>
      <c r="B37" s="66" t="s">
        <v>137</v>
      </c>
      <c r="C37" s="66"/>
      <c r="D37" s="66"/>
      <c r="E37" s="66"/>
      <c r="F37" s="66"/>
      <c r="G37" s="66"/>
      <c r="H37" s="69">
        <f>+H36+1</f>
        <v>16</v>
      </c>
      <c r="N37" s="70"/>
    </row>
    <row r="38" spans="1:14" ht="12.75" customHeight="1" x14ac:dyDescent="0.3">
      <c r="B38" s="66" t="s">
        <v>101</v>
      </c>
      <c r="C38" s="66"/>
      <c r="D38" s="66"/>
      <c r="E38" s="66"/>
      <c r="F38" s="66"/>
      <c r="G38" s="66"/>
      <c r="H38" s="69">
        <f>+H37</f>
        <v>16</v>
      </c>
      <c r="N38" s="70"/>
    </row>
    <row r="39" spans="1:14" ht="12.75" customHeight="1" x14ac:dyDescent="0.3">
      <c r="B39" s="66"/>
      <c r="C39" s="66"/>
      <c r="D39" s="66"/>
      <c r="E39" s="66"/>
      <c r="F39" s="66"/>
      <c r="G39" s="66"/>
      <c r="H39" s="69"/>
      <c r="N39" s="70"/>
    </row>
    <row r="40" spans="1:14" ht="12.75" customHeight="1" x14ac:dyDescent="0.3">
      <c r="A40" s="84" t="s">
        <v>124</v>
      </c>
      <c r="B40" s="66" t="s">
        <v>166</v>
      </c>
      <c r="C40" s="66"/>
      <c r="D40" s="66"/>
      <c r="E40" s="66"/>
      <c r="F40" s="66"/>
      <c r="G40" s="66"/>
      <c r="H40" s="69">
        <f>+H38+1</f>
        <v>17</v>
      </c>
      <c r="N40" s="70"/>
    </row>
    <row r="41" spans="1:14" ht="12.75" customHeight="1" x14ac:dyDescent="0.3">
      <c r="B41" s="66" t="s">
        <v>167</v>
      </c>
      <c r="C41" s="66"/>
      <c r="D41" s="66"/>
      <c r="E41" s="66"/>
      <c r="F41" s="66"/>
      <c r="G41" s="66"/>
      <c r="H41" s="69">
        <f>+H40</f>
        <v>17</v>
      </c>
      <c r="N41" s="70"/>
    </row>
    <row r="42" spans="1:14" ht="12.75" customHeight="1" x14ac:dyDescent="0.3">
      <c r="B42" s="66"/>
      <c r="C42" s="66"/>
      <c r="D42" s="66"/>
      <c r="E42" s="66"/>
      <c r="F42" s="66"/>
      <c r="G42" s="66"/>
      <c r="H42" s="69"/>
      <c r="N42" s="70"/>
    </row>
    <row r="43" spans="1:14" ht="12.75" customHeight="1" x14ac:dyDescent="0.3">
      <c r="A43" s="84" t="s">
        <v>172</v>
      </c>
      <c r="B43" s="66" t="s">
        <v>138</v>
      </c>
      <c r="H43" s="69">
        <f>+H40+1</f>
        <v>18</v>
      </c>
      <c r="N43" s="70"/>
    </row>
    <row r="44" spans="1:14" ht="12.75" customHeight="1" x14ac:dyDescent="0.3">
      <c r="B44" s="66" t="s">
        <v>104</v>
      </c>
      <c r="H44" s="69">
        <f>+H43</f>
        <v>18</v>
      </c>
      <c r="N44" s="70"/>
    </row>
    <row r="45" spans="1:14" ht="12.75" customHeight="1" x14ac:dyDescent="0.3">
      <c r="A45" s="84" t="s">
        <v>125</v>
      </c>
      <c r="B45" s="66" t="s">
        <v>139</v>
      </c>
      <c r="H45" s="69">
        <f>+H43+1</f>
        <v>19</v>
      </c>
      <c r="N45" s="70"/>
    </row>
    <row r="46" spans="1:14" ht="12.75" customHeight="1" x14ac:dyDescent="0.3">
      <c r="B46" s="66" t="s">
        <v>102</v>
      </c>
      <c r="H46" s="69">
        <f>+H45</f>
        <v>19</v>
      </c>
      <c r="N46" s="70"/>
    </row>
    <row r="47" spans="1:14" ht="12.75" customHeight="1" x14ac:dyDescent="0.3">
      <c r="A47" s="84" t="s">
        <v>126</v>
      </c>
      <c r="B47" s="66" t="s">
        <v>140</v>
      </c>
      <c r="H47" s="69">
        <f>+H46+1</f>
        <v>20</v>
      </c>
      <c r="N47" s="70"/>
    </row>
    <row r="48" spans="1:14" ht="12.75" customHeight="1" x14ac:dyDescent="0.3">
      <c r="B48" s="66" t="s">
        <v>103</v>
      </c>
      <c r="H48" s="69">
        <f>H47</f>
        <v>20</v>
      </c>
      <c r="N48" s="70"/>
    </row>
    <row r="49" spans="1:14" ht="12.75" customHeight="1" x14ac:dyDescent="0.3">
      <c r="A49" s="84"/>
      <c r="B49" s="66"/>
      <c r="C49" s="66"/>
      <c r="D49" s="66"/>
      <c r="E49" s="66"/>
      <c r="F49" s="66"/>
      <c r="G49" s="66"/>
      <c r="H49" s="69"/>
      <c r="N49" s="70"/>
    </row>
    <row r="50" spans="1:14" ht="12.75" customHeight="1" x14ac:dyDescent="0.3">
      <c r="A50" s="84"/>
      <c r="B50" s="66"/>
      <c r="C50" s="66"/>
      <c r="D50" s="66"/>
      <c r="E50" s="66"/>
      <c r="F50" s="66"/>
      <c r="G50" s="66"/>
      <c r="H50" s="69"/>
      <c r="N50" s="70"/>
    </row>
    <row r="51" spans="1:14" ht="12.75" customHeight="1" x14ac:dyDescent="0.3">
      <c r="A51" s="84"/>
      <c r="B51" s="66"/>
      <c r="C51" s="66"/>
      <c r="D51" s="66"/>
      <c r="E51" s="66"/>
      <c r="F51" s="66"/>
      <c r="G51" s="66"/>
      <c r="H51" s="69"/>
      <c r="N51" s="70"/>
    </row>
    <row r="52" spans="1:14" ht="12.75" customHeight="1" x14ac:dyDescent="0.3">
      <c r="A52" s="84"/>
      <c r="B52" s="66"/>
      <c r="C52" s="66"/>
      <c r="D52" s="66"/>
      <c r="E52" s="66"/>
      <c r="F52" s="66"/>
      <c r="G52" s="66"/>
      <c r="H52" s="69"/>
      <c r="N52" s="70"/>
    </row>
    <row r="53" spans="1:14" ht="12.75" customHeight="1" x14ac:dyDescent="0.3">
      <c r="A53" s="84"/>
      <c r="B53" s="66"/>
      <c r="C53" s="66"/>
      <c r="D53" s="66"/>
      <c r="E53" s="66"/>
      <c r="F53" s="66"/>
      <c r="G53" s="66"/>
      <c r="H53" s="69"/>
      <c r="N53" s="70"/>
    </row>
    <row r="54" spans="1:14" ht="12.75" customHeight="1" x14ac:dyDescent="0.3">
      <c r="A54" s="84"/>
      <c r="B54" s="66"/>
      <c r="C54" s="66"/>
      <c r="D54" s="66"/>
      <c r="E54" s="66"/>
      <c r="F54" s="66"/>
      <c r="G54" s="66"/>
      <c r="H54" s="69"/>
      <c r="N54" s="70"/>
    </row>
    <row r="55" spans="1:14" ht="12.75" customHeight="1" x14ac:dyDescent="0.3">
      <c r="A55" s="84"/>
      <c r="B55" s="66"/>
      <c r="C55" s="66"/>
      <c r="D55" s="66"/>
      <c r="E55" s="66"/>
      <c r="F55" s="66"/>
      <c r="G55" s="66"/>
      <c r="H55" s="69"/>
      <c r="N55" s="70"/>
    </row>
    <row r="56" spans="1:14" ht="12.75" customHeight="1" x14ac:dyDescent="0.3">
      <c r="A56" s="84"/>
      <c r="B56" s="66"/>
      <c r="C56" s="66"/>
      <c r="D56" s="66"/>
      <c r="E56" s="66"/>
      <c r="F56" s="66"/>
      <c r="G56" s="66"/>
      <c r="H56" s="69"/>
      <c r="N56" s="70"/>
    </row>
    <row r="57" spans="1:14" ht="12.75" customHeight="1" x14ac:dyDescent="0.3">
      <c r="A57" s="84"/>
      <c r="B57" s="66"/>
      <c r="C57" s="66"/>
      <c r="D57" s="66"/>
      <c r="E57" s="66"/>
      <c r="F57" s="66"/>
      <c r="G57" s="66"/>
      <c r="H57" s="69"/>
      <c r="N57" s="70"/>
    </row>
    <row r="58" spans="1:14" ht="12.75" customHeight="1" x14ac:dyDescent="0.3">
      <c r="B58" s="66"/>
      <c r="C58" s="66"/>
      <c r="D58" s="66"/>
      <c r="E58" s="66"/>
      <c r="F58" s="66"/>
      <c r="G58" s="66"/>
      <c r="H58" s="69"/>
      <c r="N58" s="70"/>
    </row>
    <row r="59" spans="1:14" ht="12.75" customHeight="1" x14ac:dyDescent="0.25">
      <c r="B59" s="47"/>
      <c r="C59" s="48"/>
      <c r="D59" s="48"/>
      <c r="E59" s="90"/>
      <c r="F59" s="48"/>
      <c r="G59" s="49"/>
      <c r="H59" s="49"/>
      <c r="N59" s="70"/>
    </row>
    <row r="60" spans="1:14" ht="12.75" customHeight="1" x14ac:dyDescent="0.25">
      <c r="B60" s="50"/>
      <c r="C60" s="50"/>
      <c r="D60" s="50"/>
      <c r="E60" s="50"/>
      <c r="F60" s="50"/>
      <c r="G60" s="50"/>
      <c r="H60" s="50"/>
      <c r="I60" s="70"/>
    </row>
    <row r="61" spans="1:14" ht="12.75" customHeight="1" x14ac:dyDescent="0.25">
      <c r="B61" s="52" t="str">
        <f>+B123</f>
        <v>Finans Norge / Skadeforsikringsstatistikk</v>
      </c>
      <c r="H61" s="187">
        <v>1</v>
      </c>
      <c r="I61" s="70"/>
    </row>
    <row r="62" spans="1:14" ht="12.75" customHeight="1" x14ac:dyDescent="0.25">
      <c r="B62" s="52" t="str">
        <f>+B124</f>
        <v>Skadestatistikk for landbasert forsikring 2. kvartal 2025</v>
      </c>
      <c r="H62" s="188"/>
      <c r="I62" s="70"/>
    </row>
    <row r="63" spans="1:14" ht="12.75" customHeight="1" x14ac:dyDescent="0.25">
      <c r="I63" s="70"/>
    </row>
    <row r="64" spans="1:14" ht="12.75" customHeight="1" x14ac:dyDescent="0.25">
      <c r="I64" s="70"/>
    </row>
    <row r="66" spans="1:13" ht="12.75" customHeight="1" x14ac:dyDescent="0.3">
      <c r="A66" s="84" t="s">
        <v>127</v>
      </c>
      <c r="B66" s="66" t="s">
        <v>218</v>
      </c>
      <c r="H66" s="69">
        <f>H48+1</f>
        <v>21</v>
      </c>
    </row>
    <row r="67" spans="1:13" ht="12.75" customHeight="1" x14ac:dyDescent="0.3">
      <c r="B67" s="66" t="s">
        <v>219</v>
      </c>
      <c r="H67" s="69">
        <f>H66</f>
        <v>21</v>
      </c>
    </row>
    <row r="68" spans="1:13" ht="12.75" customHeight="1" x14ac:dyDescent="0.3">
      <c r="A68" s="84" t="s">
        <v>128</v>
      </c>
      <c r="B68" s="66" t="s">
        <v>220</v>
      </c>
      <c r="H68" s="69">
        <f>H67+1</f>
        <v>22</v>
      </c>
    </row>
    <row r="69" spans="1:13" ht="12.75" customHeight="1" x14ac:dyDescent="0.3">
      <c r="B69" s="66" t="s">
        <v>221</v>
      </c>
      <c r="H69" s="69">
        <f>H68</f>
        <v>22</v>
      </c>
    </row>
    <row r="70" spans="1:13" ht="12.75" customHeight="1" x14ac:dyDescent="0.3">
      <c r="A70" s="84" t="s">
        <v>129</v>
      </c>
      <c r="B70" s="66" t="s">
        <v>222</v>
      </c>
      <c r="H70" s="69">
        <f>H69+1</f>
        <v>23</v>
      </c>
      <c r="J70"/>
      <c r="K70"/>
      <c r="L70"/>
      <c r="M70"/>
    </row>
    <row r="71" spans="1:13" ht="12.75" customHeight="1" x14ac:dyDescent="0.3">
      <c r="B71" s="66" t="s">
        <v>223</v>
      </c>
      <c r="H71" s="69">
        <f>H70</f>
        <v>23</v>
      </c>
      <c r="J71"/>
      <c r="K71" s="64"/>
      <c r="L71" s="65"/>
      <c r="M71" s="65"/>
    </row>
    <row r="72" spans="1:13" ht="12.75" customHeight="1" x14ac:dyDescent="0.25">
      <c r="J72"/>
      <c r="K72" s="63"/>
      <c r="L72"/>
      <c r="M72"/>
    </row>
    <row r="73" spans="1:13" ht="12.75" customHeight="1" x14ac:dyDescent="0.3">
      <c r="A73" s="84" t="s">
        <v>130</v>
      </c>
      <c r="B73" s="66" t="s">
        <v>141</v>
      </c>
      <c r="C73" s="66"/>
      <c r="D73" s="66"/>
      <c r="E73" s="66"/>
      <c r="F73" s="66"/>
      <c r="G73" s="66"/>
      <c r="H73" s="69">
        <f>+H71+1</f>
        <v>24</v>
      </c>
      <c r="J73"/>
      <c r="K73" s="62"/>
      <c r="L73" s="62"/>
      <c r="M73" s="62"/>
    </row>
    <row r="74" spans="1:13" ht="12.75" customHeight="1" x14ac:dyDescent="0.3">
      <c r="B74" s="66" t="s">
        <v>107</v>
      </c>
      <c r="C74" s="66"/>
      <c r="D74" s="66"/>
      <c r="E74" s="66"/>
      <c r="F74" s="66"/>
      <c r="G74" s="66"/>
      <c r="H74" s="69">
        <f>+H73</f>
        <v>24</v>
      </c>
      <c r="J74"/>
      <c r="K74" s="62"/>
      <c r="L74" s="62"/>
      <c r="M74" s="62"/>
    </row>
    <row r="75" spans="1:13" ht="12.75" customHeight="1" x14ac:dyDescent="0.3">
      <c r="A75" s="84" t="s">
        <v>224</v>
      </c>
      <c r="B75" s="66" t="s">
        <v>142</v>
      </c>
      <c r="C75" s="66"/>
      <c r="D75" s="66"/>
      <c r="E75" s="66"/>
      <c r="F75" s="66"/>
      <c r="G75" s="66"/>
      <c r="H75" s="69">
        <f>+H74+1</f>
        <v>25</v>
      </c>
      <c r="J75"/>
      <c r="K75" s="62"/>
      <c r="L75" s="62"/>
      <c r="M75" s="62"/>
    </row>
    <row r="76" spans="1:13" ht="12.75" customHeight="1" x14ac:dyDescent="0.3">
      <c r="B76" s="66" t="s">
        <v>105</v>
      </c>
      <c r="C76" s="66"/>
      <c r="D76" s="66"/>
      <c r="E76" s="66"/>
      <c r="F76" s="66"/>
      <c r="G76" s="66"/>
      <c r="H76" s="69">
        <f>+H75</f>
        <v>25</v>
      </c>
      <c r="J76"/>
      <c r="K76" s="62"/>
      <c r="L76" s="62"/>
      <c r="M76" s="62"/>
    </row>
    <row r="77" spans="1:13" ht="12.75" customHeight="1" x14ac:dyDescent="0.3">
      <c r="A77" s="84" t="s">
        <v>225</v>
      </c>
      <c r="B77" s="66" t="s">
        <v>143</v>
      </c>
      <c r="C77" s="66"/>
      <c r="D77" s="66"/>
      <c r="E77" s="66"/>
      <c r="F77" s="66"/>
      <c r="G77" s="66"/>
      <c r="H77" s="69">
        <f>+H76+1</f>
        <v>26</v>
      </c>
      <c r="J77"/>
      <c r="K77"/>
      <c r="L77"/>
      <c r="M77"/>
    </row>
    <row r="78" spans="1:13" ht="12.75" customHeight="1" x14ac:dyDescent="0.3">
      <c r="B78" s="66" t="s">
        <v>106</v>
      </c>
      <c r="C78" s="66"/>
      <c r="D78" s="66"/>
      <c r="E78" s="66"/>
      <c r="F78" s="66"/>
      <c r="G78" s="66"/>
      <c r="H78" s="69">
        <f>+H77</f>
        <v>26</v>
      </c>
      <c r="J78"/>
      <c r="K78"/>
      <c r="L78"/>
      <c r="M78"/>
    </row>
    <row r="79" spans="1:13" ht="12.75" customHeight="1" x14ac:dyDescent="0.25">
      <c r="B79"/>
      <c r="C79"/>
      <c r="D79"/>
      <c r="E79"/>
      <c r="F79"/>
      <c r="G79"/>
      <c r="I79"/>
      <c r="J79"/>
      <c r="K79"/>
      <c r="L79"/>
      <c r="M79"/>
    </row>
    <row r="80" spans="1:13" ht="12.75" customHeight="1" x14ac:dyDescent="0.3">
      <c r="A80" s="84" t="s">
        <v>226</v>
      </c>
      <c r="B80" s="66" t="s">
        <v>92</v>
      </c>
      <c r="C80" s="66"/>
      <c r="D80" s="66"/>
      <c r="E80" s="66"/>
      <c r="F80" s="66"/>
      <c r="G80" s="66"/>
      <c r="H80" s="69">
        <f>+H78+1</f>
        <v>27</v>
      </c>
      <c r="I80"/>
      <c r="J80"/>
      <c r="K80"/>
      <c r="L80"/>
      <c r="M80"/>
    </row>
    <row r="81" spans="2:13" ht="12.75" customHeight="1" x14ac:dyDescent="0.25">
      <c r="C81"/>
      <c r="D81"/>
      <c r="E81"/>
      <c r="F81"/>
      <c r="G81"/>
      <c r="I81" s="61"/>
      <c r="J81"/>
      <c r="K81"/>
      <c r="L81"/>
      <c r="M81"/>
    </row>
    <row r="82" spans="2:13" ht="12.75" customHeight="1" x14ac:dyDescent="0.25">
      <c r="C82"/>
      <c r="D82"/>
      <c r="E82"/>
      <c r="F82"/>
      <c r="G82"/>
      <c r="I82" s="61"/>
      <c r="J82"/>
      <c r="K82"/>
      <c r="L82"/>
      <c r="M82"/>
    </row>
    <row r="83" spans="2:13" ht="12.75" customHeight="1" x14ac:dyDescent="0.25">
      <c r="C83"/>
      <c r="D83"/>
      <c r="E83"/>
      <c r="F83"/>
      <c r="G83"/>
      <c r="I83" s="61"/>
      <c r="J83"/>
      <c r="K83"/>
      <c r="L83"/>
      <c r="M83"/>
    </row>
    <row r="84" spans="2:13" ht="12.75" customHeight="1" x14ac:dyDescent="0.25">
      <c r="C84"/>
      <c r="D84"/>
      <c r="E84"/>
      <c r="F84"/>
      <c r="G84"/>
      <c r="I84" s="61"/>
      <c r="J84"/>
      <c r="K84"/>
      <c r="L84"/>
      <c r="M84"/>
    </row>
    <row r="85" spans="2:13" ht="12.75" customHeight="1" x14ac:dyDescent="0.25">
      <c r="C85"/>
      <c r="D85"/>
      <c r="E85"/>
      <c r="F85"/>
      <c r="G85"/>
      <c r="I85" s="61"/>
      <c r="J85"/>
      <c r="K85"/>
      <c r="L85"/>
      <c r="M85"/>
    </row>
    <row r="86" spans="2:13" ht="12.75" customHeight="1" x14ac:dyDescent="0.25">
      <c r="C86"/>
      <c r="D86"/>
      <c r="E86"/>
      <c r="F86"/>
      <c r="G86"/>
      <c r="I86" s="61"/>
      <c r="J86"/>
      <c r="K86"/>
      <c r="L86"/>
      <c r="M86"/>
    </row>
    <row r="87" spans="2:13" ht="12.75" customHeight="1" x14ac:dyDescent="0.25">
      <c r="C87"/>
      <c r="D87"/>
      <c r="E87"/>
      <c r="F87"/>
      <c r="G87"/>
      <c r="I87" s="61"/>
      <c r="J87"/>
      <c r="K87"/>
      <c r="L87"/>
      <c r="M87"/>
    </row>
    <row r="88" spans="2:13" ht="12.75" customHeight="1" x14ac:dyDescent="0.25">
      <c r="C88"/>
      <c r="D88"/>
      <c r="E88"/>
      <c r="F88"/>
      <c r="G88"/>
      <c r="I88" s="61"/>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1"/>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0"/>
      <c r="C122" s="50"/>
      <c r="D122" s="50"/>
      <c r="E122" s="50"/>
      <c r="F122" s="50"/>
      <c r="G122" s="50"/>
      <c r="H122" s="50"/>
      <c r="I122"/>
      <c r="J122" s="62"/>
      <c r="K122" s="62"/>
      <c r="L122" s="62"/>
    </row>
    <row r="123" spans="2:13" ht="12.75" customHeight="1" x14ac:dyDescent="0.25">
      <c r="B123" s="52" t="str">
        <f>"Finans Norge / Skadeforsikringsstatistikk"</f>
        <v>Finans Norge / Skadeforsikringsstatistikk</v>
      </c>
      <c r="H123" s="187">
        <v>2</v>
      </c>
      <c r="I123"/>
      <c r="J123" s="62"/>
      <c r="K123" s="62"/>
      <c r="L123" s="62"/>
    </row>
    <row r="124" spans="2:13" ht="12.75" customHeight="1" x14ac:dyDescent="0.25">
      <c r="B124" s="52" t="str">
        <f>"Skadestatistikk for landbasert forsikring 2. kvartal 2025"</f>
        <v>Skadestatistikk for landbasert forsikring 2. kvartal 2025</v>
      </c>
      <c r="H124" s="188"/>
      <c r="I124"/>
      <c r="J124"/>
      <c r="K124"/>
      <c r="L124"/>
    </row>
    <row r="125" spans="2:13" ht="12.75" customHeight="1" x14ac:dyDescent="0.25">
      <c r="B125" s="71"/>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1"/>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2"/>
      <c r="L132" s="62"/>
    </row>
    <row r="133" spans="2:12" ht="12.75" customHeight="1" x14ac:dyDescent="0.25">
      <c r="B133"/>
      <c r="C133"/>
      <c r="D133"/>
      <c r="E133"/>
      <c r="F133"/>
      <c r="G133"/>
      <c r="I133"/>
      <c r="J133"/>
      <c r="K133" s="62"/>
      <c r="L133" s="62"/>
    </row>
    <row r="134" spans="2:12" ht="12.75" customHeight="1" x14ac:dyDescent="0.25">
      <c r="B134"/>
      <c r="C134"/>
      <c r="D134"/>
      <c r="E134"/>
      <c r="F134"/>
      <c r="G134"/>
      <c r="I134"/>
      <c r="J134"/>
      <c r="K134" s="62"/>
      <c r="L134" s="62"/>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1"/>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2"/>
      <c r="L143" s="62"/>
    </row>
    <row r="144" spans="2:12" ht="12.75" customHeight="1" x14ac:dyDescent="0.25">
      <c r="B144"/>
      <c r="C144"/>
      <c r="D144"/>
      <c r="E144"/>
      <c r="F144"/>
      <c r="G144"/>
      <c r="I144"/>
      <c r="J144"/>
      <c r="K144" s="62"/>
      <c r="L144" s="62"/>
    </row>
    <row r="145" spans="2:12" ht="12.75" customHeight="1" x14ac:dyDescent="0.25">
      <c r="B145"/>
      <c r="C145"/>
      <c r="D145"/>
      <c r="E145"/>
      <c r="F145"/>
      <c r="G145"/>
      <c r="I145"/>
      <c r="J145"/>
      <c r="K145" s="62"/>
      <c r="L145" s="62"/>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2"/>
      <c r="K149" s="62"/>
    </row>
    <row r="150" spans="2:12" ht="12.75" customHeight="1" x14ac:dyDescent="0.25">
      <c r="B150"/>
      <c r="C150" s="62"/>
      <c r="D150" s="62"/>
      <c r="E150"/>
      <c r="F150"/>
      <c r="G150"/>
      <c r="H150"/>
      <c r="I150"/>
      <c r="J150" s="62"/>
      <c r="K150" s="62"/>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2"/>
      <c r="D154" s="62"/>
      <c r="E154"/>
      <c r="G154"/>
      <c r="H154"/>
      <c r="I154"/>
      <c r="J154"/>
      <c r="K154"/>
    </row>
    <row r="155" spans="2:12" ht="12.75" customHeight="1" x14ac:dyDescent="0.25">
      <c r="B155"/>
      <c r="C155" s="62"/>
      <c r="D155" s="62"/>
      <c r="E155"/>
      <c r="G155"/>
      <c r="H155"/>
      <c r="I155"/>
      <c r="J155"/>
      <c r="K155"/>
    </row>
    <row r="156" spans="2:12" ht="12.75" customHeight="1" x14ac:dyDescent="0.25">
      <c r="B156"/>
      <c r="C156" s="62"/>
      <c r="D156" s="62"/>
      <c r="E156"/>
      <c r="G156"/>
    </row>
    <row r="157" spans="2:12" ht="12.75" customHeight="1" x14ac:dyDescent="0.25">
      <c r="B157"/>
      <c r="C157"/>
      <c r="D157"/>
      <c r="E157"/>
      <c r="G157"/>
    </row>
    <row r="158" spans="2:12" ht="12.75" customHeight="1" x14ac:dyDescent="0.25">
      <c r="B158"/>
      <c r="C158" s="62"/>
      <c r="D158" s="62"/>
      <c r="E158"/>
      <c r="G158"/>
    </row>
    <row r="159" spans="2:12" ht="12.75" customHeight="1" x14ac:dyDescent="0.25">
      <c r="B159"/>
      <c r="C159" s="62"/>
      <c r="D159" s="62"/>
      <c r="E159"/>
      <c r="G159"/>
    </row>
    <row r="160" spans="2:12" ht="12.75" customHeight="1" x14ac:dyDescent="0.25">
      <c r="B160"/>
      <c r="C160" s="62"/>
      <c r="D160" s="62"/>
      <c r="E160"/>
      <c r="G160"/>
    </row>
    <row r="161" spans="2:7" ht="12.75" customHeight="1" x14ac:dyDescent="0.25">
      <c r="B161"/>
      <c r="C161"/>
      <c r="D161"/>
      <c r="E161"/>
      <c r="G161"/>
    </row>
    <row r="162" spans="2:7" ht="12.75" customHeight="1" x14ac:dyDescent="0.25">
      <c r="B162"/>
      <c r="C162" s="62"/>
      <c r="D162" s="62"/>
      <c r="E162"/>
      <c r="G162"/>
    </row>
    <row r="163" spans="2:7" ht="12.75" customHeight="1" x14ac:dyDescent="0.25">
      <c r="B163"/>
      <c r="C163" s="62"/>
      <c r="D163" s="62"/>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showGridLines="0" zoomScaleNormal="100" workbookViewId="0">
      <selection activeCell="A6" sqref="A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154</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61</v>
      </c>
      <c r="B7" s="19" t="s">
        <v>3</v>
      </c>
      <c r="C7" s="20">
        <v>391921.43589743588</v>
      </c>
      <c r="D7" s="20">
        <v>421846.37179487181</v>
      </c>
      <c r="E7" s="72">
        <v>431145.08207014756</v>
      </c>
      <c r="F7" s="22" t="s">
        <v>240</v>
      </c>
      <c r="G7" s="23">
        <v>10.008037984167913</v>
      </c>
      <c r="H7" s="24">
        <v>2.204288313708048</v>
      </c>
    </row>
    <row r="8" spans="1:8" x14ac:dyDescent="0.25">
      <c r="A8" s="193"/>
      <c r="B8" s="25" t="s">
        <v>241</v>
      </c>
      <c r="C8" s="26">
        <v>175866.41322132736</v>
      </c>
      <c r="D8" s="26">
        <v>191658.21794871794</v>
      </c>
      <c r="E8" s="26">
        <v>195071</v>
      </c>
      <c r="F8" s="27"/>
      <c r="G8" s="28">
        <v>10.919985474715816</v>
      </c>
      <c r="H8" s="29">
        <v>1.7806604317875951</v>
      </c>
    </row>
    <row r="9" spans="1:8" x14ac:dyDescent="0.25">
      <c r="A9" s="30" t="s">
        <v>62</v>
      </c>
      <c r="B9" s="31" t="s">
        <v>3</v>
      </c>
      <c r="C9" s="20">
        <v>112669.74166666667</v>
      </c>
      <c r="D9" s="20">
        <v>128892.77083333333</v>
      </c>
      <c r="E9" s="21">
        <v>130049.77785561651</v>
      </c>
      <c r="F9" s="22" t="s">
        <v>240</v>
      </c>
      <c r="G9" s="32">
        <v>15.425646612706956</v>
      </c>
      <c r="H9" s="33">
        <v>0.89765082618890801</v>
      </c>
    </row>
    <row r="10" spans="1:8" x14ac:dyDescent="0.25">
      <c r="A10" s="34"/>
      <c r="B10" s="25" t="s">
        <v>241</v>
      </c>
      <c r="C10" s="26">
        <v>60012.241716666671</v>
      </c>
      <c r="D10" s="26">
        <v>57202.870833333334</v>
      </c>
      <c r="E10" s="26">
        <v>61114</v>
      </c>
      <c r="F10" s="27"/>
      <c r="G10" s="35">
        <v>1.8358892316254725</v>
      </c>
      <c r="H10" s="29">
        <v>6.8372952435589411</v>
      </c>
    </row>
    <row r="11" spans="1:8" x14ac:dyDescent="0.25">
      <c r="A11" s="30" t="s">
        <v>47</v>
      </c>
      <c r="B11" s="31" t="s">
        <v>3</v>
      </c>
      <c r="C11" s="20">
        <v>20099.62361111111</v>
      </c>
      <c r="D11" s="20">
        <v>18325.961805555555</v>
      </c>
      <c r="E11" s="21">
        <v>17523.678621310366</v>
      </c>
      <c r="F11" s="22" t="s">
        <v>240</v>
      </c>
      <c r="G11" s="37">
        <v>-12.815886703354778</v>
      </c>
      <c r="H11" s="33">
        <v>-4.377850356547043</v>
      </c>
    </row>
    <row r="12" spans="1:8" x14ac:dyDescent="0.25">
      <c r="A12" s="34"/>
      <c r="B12" s="25" t="s">
        <v>241</v>
      </c>
      <c r="C12" s="26">
        <v>8994.477764592124</v>
      </c>
      <c r="D12" s="26">
        <v>8836.8118055555551</v>
      </c>
      <c r="E12" s="26">
        <v>8237</v>
      </c>
      <c r="F12" s="27"/>
      <c r="G12" s="28">
        <v>-8.4215869383104121</v>
      </c>
      <c r="H12" s="29">
        <v>-6.7876494232734927</v>
      </c>
    </row>
    <row r="13" spans="1:8" x14ac:dyDescent="0.25">
      <c r="A13" s="30" t="s">
        <v>48</v>
      </c>
      <c r="B13" s="31" t="s">
        <v>3</v>
      </c>
      <c r="C13" s="20">
        <v>119700.91666666667</v>
      </c>
      <c r="D13" s="20">
        <v>135396.95833333334</v>
      </c>
      <c r="E13" s="21">
        <v>150730.24338430029</v>
      </c>
      <c r="F13" s="22" t="s">
        <v>240</v>
      </c>
      <c r="G13" s="23">
        <v>25.92238019700514</v>
      </c>
      <c r="H13" s="24">
        <v>11.324689446285774</v>
      </c>
    </row>
    <row r="14" spans="1:8" x14ac:dyDescent="0.25">
      <c r="A14" s="34"/>
      <c r="B14" s="25" t="s">
        <v>241</v>
      </c>
      <c r="C14" s="26">
        <v>45303.582944255802</v>
      </c>
      <c r="D14" s="26">
        <v>59539.958333333336</v>
      </c>
      <c r="E14" s="26">
        <v>62889</v>
      </c>
      <c r="F14" s="27"/>
      <c r="G14" s="23">
        <v>38.816835033516725</v>
      </c>
      <c r="H14" s="24">
        <v>5.6248639744037376</v>
      </c>
    </row>
    <row r="15" spans="1:8" x14ac:dyDescent="0.25">
      <c r="A15" s="30" t="s">
        <v>49</v>
      </c>
      <c r="B15" s="31" t="s">
        <v>3</v>
      </c>
      <c r="C15" s="20">
        <v>118116.245</v>
      </c>
      <c r="D15" s="20">
        <v>122254.46249999999</v>
      </c>
      <c r="E15" s="21">
        <v>128597.14752113294</v>
      </c>
      <c r="F15" s="22" t="s">
        <v>240</v>
      </c>
      <c r="G15" s="37">
        <v>8.8733793739658182</v>
      </c>
      <c r="H15" s="33">
        <v>5.1881010242329069</v>
      </c>
    </row>
    <row r="16" spans="1:8" x14ac:dyDescent="0.25">
      <c r="A16" s="34"/>
      <c r="B16" s="25" t="s">
        <v>241</v>
      </c>
      <c r="C16" s="26">
        <v>53731.842905883423</v>
      </c>
      <c r="D16" s="26">
        <v>56302.122499999998</v>
      </c>
      <c r="E16" s="26">
        <v>58980</v>
      </c>
      <c r="F16" s="27"/>
      <c r="G16" s="28">
        <v>9.7673126591046469</v>
      </c>
      <c r="H16" s="29">
        <v>4.7562638513317239</v>
      </c>
    </row>
    <row r="17" spans="1:8" x14ac:dyDescent="0.25">
      <c r="A17" s="30" t="s">
        <v>50</v>
      </c>
      <c r="B17" s="31" t="s">
        <v>3</v>
      </c>
      <c r="C17" s="20">
        <v>84529.748333333337</v>
      </c>
      <c r="D17" s="20">
        <v>87837.154166666674</v>
      </c>
      <c r="E17" s="21">
        <v>84541.568547319635</v>
      </c>
      <c r="F17" s="22" t="s">
        <v>240</v>
      </c>
      <c r="G17" s="37">
        <v>1.3983496011007901E-2</v>
      </c>
      <c r="H17" s="33">
        <v>-3.7519266768295267</v>
      </c>
    </row>
    <row r="18" spans="1:8" ht="13.8" thickBot="1" x14ac:dyDescent="0.3">
      <c r="A18" s="54"/>
      <c r="B18" s="41" t="s">
        <v>241</v>
      </c>
      <c r="C18" s="42">
        <v>32124.792663690474</v>
      </c>
      <c r="D18" s="42">
        <v>41213.374166666668</v>
      </c>
      <c r="E18" s="42">
        <v>36790</v>
      </c>
      <c r="F18" s="43"/>
      <c r="G18" s="55">
        <v>14.522139909660623</v>
      </c>
      <c r="H18" s="45">
        <v>-10.732861009580446</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71</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61</v>
      </c>
      <c r="B35" s="19" t="s">
        <v>3</v>
      </c>
      <c r="C35" s="73">
        <v>2633.9929534151393</v>
      </c>
      <c r="D35" s="73">
        <v>3054.4851067037553</v>
      </c>
      <c r="E35" s="74">
        <v>3336.0776429885977</v>
      </c>
      <c r="F35" s="22" t="s">
        <v>240</v>
      </c>
      <c r="G35" s="23">
        <v>26.654767191505229</v>
      </c>
      <c r="H35" s="24">
        <v>9.2189854082713936</v>
      </c>
    </row>
    <row r="36" spans="1:8" ht="12.75" customHeight="1" x14ac:dyDescent="0.25">
      <c r="A36" s="193"/>
      <c r="B36" s="25" t="s">
        <v>241</v>
      </c>
      <c r="C36" s="75">
        <v>1237.1224239163614</v>
      </c>
      <c r="D36" s="75">
        <v>1490.5315898014717</v>
      </c>
      <c r="E36" s="75">
        <v>1607.0650200100617</v>
      </c>
      <c r="F36" s="27"/>
      <c r="G36" s="28">
        <v>29.903475108192765</v>
      </c>
      <c r="H36" s="29">
        <v>7.8182462556269314</v>
      </c>
    </row>
    <row r="37" spans="1:8" x14ac:dyDescent="0.25">
      <c r="A37" s="30" t="s">
        <v>62</v>
      </c>
      <c r="B37" s="31" t="s">
        <v>3</v>
      </c>
      <c r="C37" s="73">
        <v>379.41515425549505</v>
      </c>
      <c r="D37" s="73">
        <v>424.03223253123207</v>
      </c>
      <c r="E37" s="76">
        <v>403.1174408200614</v>
      </c>
      <c r="F37" s="22" t="s">
        <v>240</v>
      </c>
      <c r="G37" s="32">
        <v>6.2470584790098798</v>
      </c>
      <c r="H37" s="33">
        <v>-4.9323589356217639</v>
      </c>
    </row>
    <row r="38" spans="1:8" x14ac:dyDescent="0.25">
      <c r="A38" s="34"/>
      <c r="B38" s="25" t="s">
        <v>241</v>
      </c>
      <c r="C38" s="75">
        <v>200.59694486323804</v>
      </c>
      <c r="D38" s="75">
        <v>199.50760757243168</v>
      </c>
      <c r="E38" s="75">
        <v>196.89179496517448</v>
      </c>
      <c r="F38" s="27"/>
      <c r="G38" s="35">
        <v>-1.8470619782318352</v>
      </c>
      <c r="H38" s="29">
        <v>-1.3111342665504679</v>
      </c>
    </row>
    <row r="39" spans="1:8" x14ac:dyDescent="0.25">
      <c r="A39" s="30" t="s">
        <v>47</v>
      </c>
      <c r="B39" s="31" t="s">
        <v>3</v>
      </c>
      <c r="C39" s="73">
        <v>237.87427213480402</v>
      </c>
      <c r="D39" s="73">
        <v>206.04228404043218</v>
      </c>
      <c r="E39" s="76">
        <v>211.48139197919409</v>
      </c>
      <c r="F39" s="22" t="s">
        <v>240</v>
      </c>
      <c r="G39" s="37">
        <v>-11.095306742821279</v>
      </c>
      <c r="H39" s="33">
        <v>2.6398018077175607</v>
      </c>
    </row>
    <row r="40" spans="1:8" x14ac:dyDescent="0.25">
      <c r="A40" s="34"/>
      <c r="B40" s="25" t="s">
        <v>241</v>
      </c>
      <c r="C40" s="75">
        <v>144.94260381173427</v>
      </c>
      <c r="D40" s="75">
        <v>143.00654859488384</v>
      </c>
      <c r="E40" s="75">
        <v>140.27871460923936</v>
      </c>
      <c r="F40" s="27"/>
      <c r="G40" s="28">
        <v>-3.2177490122592474</v>
      </c>
      <c r="H40" s="29">
        <v>-1.9074888614870531</v>
      </c>
    </row>
    <row r="41" spans="1:8" x14ac:dyDescent="0.25">
      <c r="A41" s="30" t="s">
        <v>48</v>
      </c>
      <c r="B41" s="31" t="s">
        <v>3</v>
      </c>
      <c r="C41" s="73">
        <v>1155.2716969247695</v>
      </c>
      <c r="D41" s="73">
        <v>1507.0853213675821</v>
      </c>
      <c r="E41" s="76">
        <v>1747.064616612897</v>
      </c>
      <c r="F41" s="22" t="s">
        <v>240</v>
      </c>
      <c r="G41" s="23">
        <v>51.225432187374423</v>
      </c>
      <c r="H41" s="24">
        <v>15.923404723201017</v>
      </c>
    </row>
    <row r="42" spans="1:8" x14ac:dyDescent="0.25">
      <c r="A42" s="34"/>
      <c r="B42" s="25" t="s">
        <v>241</v>
      </c>
      <c r="C42" s="75">
        <v>504.56002122994181</v>
      </c>
      <c r="D42" s="75">
        <v>706.95677031565288</v>
      </c>
      <c r="E42" s="75">
        <v>799.78578172942844</v>
      </c>
      <c r="F42" s="27"/>
      <c r="G42" s="23">
        <v>58.51152451195577</v>
      </c>
      <c r="H42" s="24">
        <v>13.130790355445328</v>
      </c>
    </row>
    <row r="43" spans="1:8" x14ac:dyDescent="0.25">
      <c r="A43" s="30" t="s">
        <v>49</v>
      </c>
      <c r="B43" s="31" t="s">
        <v>3</v>
      </c>
      <c r="C43" s="73">
        <v>598.11057311012166</v>
      </c>
      <c r="D43" s="73">
        <v>650.83849495620552</v>
      </c>
      <c r="E43" s="76">
        <v>742.31929014548598</v>
      </c>
      <c r="F43" s="22" t="s">
        <v>240</v>
      </c>
      <c r="G43" s="37">
        <v>24.110711884842928</v>
      </c>
      <c r="H43" s="33">
        <v>14.055836570551364</v>
      </c>
    </row>
    <row r="44" spans="1:8" x14ac:dyDescent="0.25">
      <c r="A44" s="34"/>
      <c r="B44" s="25" t="s">
        <v>241</v>
      </c>
      <c r="C44" s="75">
        <v>259.71992713935703</v>
      </c>
      <c r="D44" s="75">
        <v>312.57836692727795</v>
      </c>
      <c r="E44" s="75">
        <v>344.34503558805994</v>
      </c>
      <c r="F44" s="27"/>
      <c r="G44" s="28">
        <v>32.583217383738116</v>
      </c>
      <c r="H44" s="29">
        <v>10.162785407402367</v>
      </c>
    </row>
    <row r="45" spans="1:8" x14ac:dyDescent="0.25">
      <c r="A45" s="30" t="s">
        <v>50</v>
      </c>
      <c r="B45" s="31" t="s">
        <v>3</v>
      </c>
      <c r="C45" s="73">
        <v>263.32125698994895</v>
      </c>
      <c r="D45" s="73">
        <v>266.48677380830321</v>
      </c>
      <c r="E45" s="76">
        <v>260.61119285797213</v>
      </c>
      <c r="F45" s="22" t="s">
        <v>240</v>
      </c>
      <c r="G45" s="37">
        <v>-1.0291854759299781</v>
      </c>
      <c r="H45" s="33">
        <v>-2.2048302309208339</v>
      </c>
    </row>
    <row r="46" spans="1:8" ht="13.8" thickBot="1" x14ac:dyDescent="0.3">
      <c r="A46" s="54"/>
      <c r="B46" s="41" t="s">
        <v>241</v>
      </c>
      <c r="C46" s="79">
        <v>127.30292687209027</v>
      </c>
      <c r="D46" s="79">
        <v>128.4822963912255</v>
      </c>
      <c r="E46" s="79">
        <v>125.76369311815918</v>
      </c>
      <c r="F46" s="43"/>
      <c r="G46" s="55">
        <v>-1.2091110485445853</v>
      </c>
      <c r="H46" s="45">
        <v>-2.1159360856909331</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24</v>
      </c>
    </row>
    <row r="62" spans="1:8" ht="12.75" customHeight="1" x14ac:dyDescent="0.25">
      <c r="A62" s="52" t="str">
        <f>+Innhold!$B$124</f>
        <v>Skadestatistikk for landbasert forsikring 2. kvartal 2025</v>
      </c>
      <c r="G62" s="51"/>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showGridLines="0" zoomScaleNormal="100" workbookViewId="0">
      <selection activeCell="A6" sqref="A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51</v>
      </c>
      <c r="B7" s="19" t="s">
        <v>3</v>
      </c>
      <c r="C7" s="20">
        <v>11984.346633416459</v>
      </c>
      <c r="D7" s="20">
        <v>13376.02493765586</v>
      </c>
      <c r="E7" s="72">
        <v>10417.477431669204</v>
      </c>
      <c r="F7" s="22" t="s">
        <v>240</v>
      </c>
      <c r="G7" s="23">
        <v>-13.074298079615687</v>
      </c>
      <c r="H7" s="24">
        <v>-22.118286410021753</v>
      </c>
    </row>
    <row r="8" spans="1:8" x14ac:dyDescent="0.25">
      <c r="A8" s="193"/>
      <c r="B8" s="25" t="s">
        <v>241</v>
      </c>
      <c r="C8" s="26">
        <v>5306.42957857494</v>
      </c>
      <c r="D8" s="26">
        <v>6171.3437629052369</v>
      </c>
      <c r="E8" s="26">
        <v>4740</v>
      </c>
      <c r="F8" s="27"/>
      <c r="G8" s="28">
        <v>-10.674401123910826</v>
      </c>
      <c r="H8" s="29">
        <v>-23.193388958637655</v>
      </c>
    </row>
    <row r="9" spans="1:8" x14ac:dyDescent="0.25">
      <c r="A9" s="30" t="s">
        <v>12</v>
      </c>
      <c r="B9" s="31" t="s">
        <v>3</v>
      </c>
      <c r="C9" s="20">
        <v>219.86099999999999</v>
      </c>
      <c r="D9" s="20">
        <v>226.60749999999999</v>
      </c>
      <c r="E9" s="21">
        <v>190.58175165640321</v>
      </c>
      <c r="F9" s="22" t="s">
        <v>240</v>
      </c>
      <c r="G9" s="32">
        <v>-13.317163272975549</v>
      </c>
      <c r="H9" s="33">
        <v>-15.897862314176166</v>
      </c>
    </row>
    <row r="10" spans="1:8" x14ac:dyDescent="0.25">
      <c r="A10" s="34"/>
      <c r="B10" s="25" t="s">
        <v>241</v>
      </c>
      <c r="C10" s="26">
        <v>74.231999999999999</v>
      </c>
      <c r="D10" s="26">
        <v>79.497484892499997</v>
      </c>
      <c r="E10" s="26">
        <v>66</v>
      </c>
      <c r="F10" s="27"/>
      <c r="G10" s="35">
        <v>-11.089557064338834</v>
      </c>
      <c r="H10" s="29">
        <v>-16.978505559958151</v>
      </c>
    </row>
    <row r="11" spans="1:8" x14ac:dyDescent="0.25">
      <c r="A11" s="30" t="s">
        <v>18</v>
      </c>
      <c r="B11" s="31" t="s">
        <v>3</v>
      </c>
      <c r="C11" s="20">
        <v>306.14439999999996</v>
      </c>
      <c r="D11" s="20">
        <v>331.04300000000001</v>
      </c>
      <c r="E11" s="21">
        <v>307.17514090103867</v>
      </c>
      <c r="F11" s="22" t="s">
        <v>240</v>
      </c>
      <c r="G11" s="37">
        <v>0.33668455181239665</v>
      </c>
      <c r="H11" s="33">
        <v>-7.2098969315047725</v>
      </c>
    </row>
    <row r="12" spans="1:8" x14ac:dyDescent="0.25">
      <c r="A12" s="34"/>
      <c r="B12" s="25" t="s">
        <v>241</v>
      </c>
      <c r="C12" s="26">
        <v>163.49279999999999</v>
      </c>
      <c r="D12" s="26">
        <v>129.598993957</v>
      </c>
      <c r="E12" s="26">
        <v>132</v>
      </c>
      <c r="F12" s="27"/>
      <c r="G12" s="28">
        <v>-19.262499633011359</v>
      </c>
      <c r="H12" s="29">
        <v>1.8526425010649632</v>
      </c>
    </row>
    <row r="13" spans="1:8" x14ac:dyDescent="0.25">
      <c r="A13" s="30" t="s">
        <v>63</v>
      </c>
      <c r="B13" s="31" t="s">
        <v>3</v>
      </c>
      <c r="C13" s="20">
        <v>1512.72875</v>
      </c>
      <c r="D13" s="20">
        <v>1919.778125</v>
      </c>
      <c r="E13" s="21">
        <v>1581.6637881247118</v>
      </c>
      <c r="F13" s="22" t="s">
        <v>240</v>
      </c>
      <c r="G13" s="23">
        <v>4.5569992719918702</v>
      </c>
      <c r="H13" s="24">
        <v>-17.612156971279603</v>
      </c>
    </row>
    <row r="14" spans="1:8" x14ac:dyDescent="0.25">
      <c r="A14" s="34"/>
      <c r="B14" s="25" t="s">
        <v>241</v>
      </c>
      <c r="C14" s="26">
        <v>616.72</v>
      </c>
      <c r="D14" s="26">
        <v>903.61556834687508</v>
      </c>
      <c r="E14" s="26">
        <v>708</v>
      </c>
      <c r="F14" s="27"/>
      <c r="G14" s="23">
        <v>14.800882085873639</v>
      </c>
      <c r="H14" s="24">
        <v>-21.648096292181549</v>
      </c>
    </row>
    <row r="15" spans="1:8" x14ac:dyDescent="0.25">
      <c r="A15" s="30" t="s">
        <v>52</v>
      </c>
      <c r="B15" s="31" t="s">
        <v>3</v>
      </c>
      <c r="C15" s="20">
        <v>6449.0675000000001</v>
      </c>
      <c r="D15" s="20">
        <v>7211.6312500000004</v>
      </c>
      <c r="E15" s="21">
        <v>5487.9968976396613</v>
      </c>
      <c r="F15" s="22" t="s">
        <v>240</v>
      </c>
      <c r="G15" s="37">
        <v>-14.902473921390012</v>
      </c>
      <c r="H15" s="33">
        <v>-23.900755496342654</v>
      </c>
    </row>
    <row r="16" spans="1:8" x14ac:dyDescent="0.25">
      <c r="A16" s="34"/>
      <c r="B16" s="25" t="s">
        <v>241</v>
      </c>
      <c r="C16" s="26">
        <v>2839.3807547169813</v>
      </c>
      <c r="D16" s="26">
        <v>3272.2059856187498</v>
      </c>
      <c r="E16" s="26">
        <v>2465</v>
      </c>
      <c r="F16" s="27"/>
      <c r="G16" s="28">
        <v>-13.185295916901367</v>
      </c>
      <c r="H16" s="29">
        <v>-24.668556599627181</v>
      </c>
    </row>
    <row r="17" spans="1:8" x14ac:dyDescent="0.25">
      <c r="A17" s="30" t="s">
        <v>50</v>
      </c>
      <c r="B17" s="31" t="s">
        <v>3</v>
      </c>
      <c r="C17" s="20">
        <v>4872.3050000000003</v>
      </c>
      <c r="D17" s="20">
        <v>5132.0375000000004</v>
      </c>
      <c r="E17" s="21">
        <v>3965.553031343039</v>
      </c>
      <c r="F17" s="22" t="s">
        <v>240</v>
      </c>
      <c r="G17" s="37">
        <v>-18.610328554081917</v>
      </c>
      <c r="H17" s="33">
        <v>-22.729461128391236</v>
      </c>
    </row>
    <row r="18" spans="1:8" ht="13.8" thickBot="1" x14ac:dyDescent="0.3">
      <c r="A18" s="54"/>
      <c r="B18" s="41" t="s">
        <v>241</v>
      </c>
      <c r="C18" s="42">
        <v>2035.4572972972971</v>
      </c>
      <c r="D18" s="42">
        <v>2283.4874244625003</v>
      </c>
      <c r="E18" s="42">
        <v>1727</v>
      </c>
      <c r="F18" s="43"/>
      <c r="G18" s="55">
        <v>-15.154201353517465</v>
      </c>
      <c r="H18" s="45">
        <v>-24.370067402209997</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70</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51</v>
      </c>
      <c r="B35" s="19" t="s">
        <v>3</v>
      </c>
      <c r="C35" s="73">
        <v>664.69741094885114</v>
      </c>
      <c r="D35" s="73">
        <v>793.12534751089777</v>
      </c>
      <c r="E35" s="74">
        <v>659.14241568449484</v>
      </c>
      <c r="F35" s="22" t="s">
        <v>240</v>
      </c>
      <c r="G35" s="23">
        <v>-0.83571790304200988</v>
      </c>
      <c r="H35" s="24">
        <v>-16.893033648071878</v>
      </c>
    </row>
    <row r="36" spans="1:8" ht="12.75" customHeight="1" x14ac:dyDescent="0.25">
      <c r="A36" s="193"/>
      <c r="B36" s="25" t="s">
        <v>241</v>
      </c>
      <c r="C36" s="75">
        <v>332.57071891291406</v>
      </c>
      <c r="D36" s="75">
        <v>375.37466996374849</v>
      </c>
      <c r="E36" s="75">
        <v>317.68733692192149</v>
      </c>
      <c r="F36" s="27"/>
      <c r="G36" s="28">
        <v>-4.4752532753461907</v>
      </c>
      <c r="H36" s="29">
        <v>-15.367934402019742</v>
      </c>
    </row>
    <row r="37" spans="1:8" x14ac:dyDescent="0.25">
      <c r="A37" s="30" t="s">
        <v>12</v>
      </c>
      <c r="B37" s="31" t="s">
        <v>3</v>
      </c>
      <c r="C37" s="73">
        <v>3.4614617888267976</v>
      </c>
      <c r="D37" s="73">
        <v>6.3047023627080909</v>
      </c>
      <c r="E37" s="76">
        <v>4.6942474313551452</v>
      </c>
      <c r="F37" s="22" t="s">
        <v>240</v>
      </c>
      <c r="G37" s="32">
        <v>35.614596310369194</v>
      </c>
      <c r="H37" s="33">
        <v>-25.543710689321088</v>
      </c>
    </row>
    <row r="38" spans="1:8" x14ac:dyDescent="0.25">
      <c r="A38" s="34"/>
      <c r="B38" s="25" t="s">
        <v>241</v>
      </c>
      <c r="C38" s="75">
        <v>1.5765290684623694</v>
      </c>
      <c r="D38" s="75">
        <v>2.9304383720485219</v>
      </c>
      <c r="E38" s="75">
        <v>2.16706607903944</v>
      </c>
      <c r="F38" s="27"/>
      <c r="G38" s="35">
        <v>37.458047706854956</v>
      </c>
      <c r="H38" s="29">
        <v>-26.04976444106029</v>
      </c>
    </row>
    <row r="39" spans="1:8" x14ac:dyDescent="0.25">
      <c r="A39" s="30" t="s">
        <v>18</v>
      </c>
      <c r="B39" s="31" t="s">
        <v>3</v>
      </c>
      <c r="C39" s="73">
        <v>47.426969885825024</v>
      </c>
      <c r="D39" s="73">
        <v>51.813549965461782</v>
      </c>
      <c r="E39" s="76">
        <v>63.500255654929042</v>
      </c>
      <c r="F39" s="22" t="s">
        <v>240</v>
      </c>
      <c r="G39" s="37">
        <v>33.890602346720868</v>
      </c>
      <c r="H39" s="33">
        <v>22.55530782441555</v>
      </c>
    </row>
    <row r="40" spans="1:8" x14ac:dyDescent="0.25">
      <c r="A40" s="34"/>
      <c r="B40" s="25" t="s">
        <v>241</v>
      </c>
      <c r="C40" s="75">
        <v>26.477129530265969</v>
      </c>
      <c r="D40" s="75">
        <v>26.123090103573031</v>
      </c>
      <c r="E40" s="75">
        <v>33.08384546372131</v>
      </c>
      <c r="F40" s="27"/>
      <c r="G40" s="28">
        <v>24.952538476284644</v>
      </c>
      <c r="H40" s="29">
        <v>26.645987639862739</v>
      </c>
    </row>
    <row r="41" spans="1:8" x14ac:dyDescent="0.25">
      <c r="A41" s="30" t="s">
        <v>63</v>
      </c>
      <c r="B41" s="31" t="s">
        <v>3</v>
      </c>
      <c r="C41" s="73">
        <v>97.94038035088353</v>
      </c>
      <c r="D41" s="73">
        <v>145.53911429526457</v>
      </c>
      <c r="E41" s="76">
        <v>139.86602401784717</v>
      </c>
      <c r="F41" s="22" t="s">
        <v>240</v>
      </c>
      <c r="G41" s="23">
        <v>42.807311465158534</v>
      </c>
      <c r="H41" s="24">
        <v>-3.897983236250866</v>
      </c>
    </row>
    <row r="42" spans="1:8" x14ac:dyDescent="0.25">
      <c r="A42" s="34"/>
      <c r="B42" s="25" t="s">
        <v>241</v>
      </c>
      <c r="C42" s="75">
        <v>38.266276274745913</v>
      </c>
      <c r="D42" s="75">
        <v>60.793508449799056</v>
      </c>
      <c r="E42" s="75">
        <v>57.10817422547855</v>
      </c>
      <c r="F42" s="27"/>
      <c r="G42" s="23">
        <v>49.238911608359103</v>
      </c>
      <c r="H42" s="24">
        <v>-6.0620522129656536</v>
      </c>
    </row>
    <row r="43" spans="1:8" x14ac:dyDescent="0.25">
      <c r="A43" s="30" t="s">
        <v>52</v>
      </c>
      <c r="B43" s="31" t="s">
        <v>3</v>
      </c>
      <c r="C43" s="73">
        <v>340.1932063543187</v>
      </c>
      <c r="D43" s="73">
        <v>408.18300622721063</v>
      </c>
      <c r="E43" s="76">
        <v>327.21492331191706</v>
      </c>
      <c r="F43" s="22" t="s">
        <v>240</v>
      </c>
      <c r="G43" s="37">
        <v>-3.8149741970109972</v>
      </c>
      <c r="H43" s="33">
        <v>-19.836220930330342</v>
      </c>
    </row>
    <row r="44" spans="1:8" x14ac:dyDescent="0.25">
      <c r="A44" s="34"/>
      <c r="B44" s="25" t="s">
        <v>241</v>
      </c>
      <c r="C44" s="75">
        <v>143.66426608517295</v>
      </c>
      <c r="D44" s="75">
        <v>196.133967927974</v>
      </c>
      <c r="E44" s="75">
        <v>150.32242956837993</v>
      </c>
      <c r="F44" s="27"/>
      <c r="G44" s="28">
        <v>4.6345299806561684</v>
      </c>
      <c r="H44" s="29">
        <v>-23.357268933863296</v>
      </c>
    </row>
    <row r="45" spans="1:8" x14ac:dyDescent="0.25">
      <c r="A45" s="30" t="s">
        <v>50</v>
      </c>
      <c r="B45" s="31" t="s">
        <v>3</v>
      </c>
      <c r="C45" s="73">
        <v>175.67539256899713</v>
      </c>
      <c r="D45" s="73">
        <v>181.28497466025283</v>
      </c>
      <c r="E45" s="76">
        <v>137.23446088369099</v>
      </c>
      <c r="F45" s="22" t="s">
        <v>240</v>
      </c>
      <c r="G45" s="37">
        <v>-21.881796376352668</v>
      </c>
      <c r="H45" s="33">
        <v>-24.299042906957496</v>
      </c>
    </row>
    <row r="46" spans="1:8" ht="13.8" thickBot="1" x14ac:dyDescent="0.3">
      <c r="A46" s="54"/>
      <c r="B46" s="41" t="s">
        <v>241</v>
      </c>
      <c r="C46" s="79">
        <v>122.5865179542669</v>
      </c>
      <c r="D46" s="79">
        <v>89.393665110353766</v>
      </c>
      <c r="E46" s="79">
        <v>75.005821585302257</v>
      </c>
      <c r="F46" s="43"/>
      <c r="G46" s="55">
        <v>-38.813971685463379</v>
      </c>
      <c r="H46" s="45">
        <v>-16.094925191052582</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87">
        <v>25</v>
      </c>
    </row>
    <row r="62" spans="1:8" ht="12.75" customHeight="1" x14ac:dyDescent="0.25">
      <c r="A62" s="52" t="str">
        <f>+Innhold!$B$124</f>
        <v>Skadestatistikk for landbasert forsikring 2. kvartal 2025</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showGridLines="0" zoomScaleNormal="100" workbookViewId="0">
      <selection activeCell="A3" sqref="A3"/>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ht="12.75" customHeight="1" x14ac:dyDescent="0.25">
      <c r="A7" s="192" t="s">
        <v>64</v>
      </c>
      <c r="B7" s="19" t="s">
        <v>3</v>
      </c>
      <c r="C7" s="20">
        <v>13374.988000000001</v>
      </c>
      <c r="D7" s="20">
        <v>14653.088</v>
      </c>
      <c r="E7" s="72">
        <v>14330.66314638816</v>
      </c>
      <c r="F7" s="22" t="s">
        <v>240</v>
      </c>
      <c r="G7" s="23">
        <v>7.1452411500343658</v>
      </c>
      <c r="H7" s="24">
        <v>-2.200388434245653</v>
      </c>
    </row>
    <row r="8" spans="1:8" ht="12.75" customHeight="1" x14ac:dyDescent="0.25">
      <c r="A8" s="193"/>
      <c r="B8" s="25" t="s">
        <v>241</v>
      </c>
      <c r="C8" s="26">
        <v>6953.5780216841604</v>
      </c>
      <c r="D8" s="26">
        <v>7563.8460735600001</v>
      </c>
      <c r="E8" s="26">
        <v>7415</v>
      </c>
      <c r="F8" s="27"/>
      <c r="G8" s="28">
        <v>6.6357489177073035</v>
      </c>
      <c r="H8" s="29">
        <v>-1.96786227684224</v>
      </c>
    </row>
    <row r="9" spans="1:8" x14ac:dyDescent="0.25">
      <c r="A9" s="30" t="s">
        <v>53</v>
      </c>
      <c r="B9" s="31" t="s">
        <v>3</v>
      </c>
      <c r="C9" s="20">
        <v>2.2898800000000001</v>
      </c>
      <c r="D9" s="20">
        <v>4.2808799999999998</v>
      </c>
      <c r="E9" s="21">
        <v>0</v>
      </c>
      <c r="F9" s="22" t="s">
        <v>240</v>
      </c>
      <c r="G9" s="32">
        <v>-100</v>
      </c>
      <c r="H9" s="33">
        <v>-100</v>
      </c>
    </row>
    <row r="10" spans="1:8" x14ac:dyDescent="0.25">
      <c r="A10" s="34"/>
      <c r="B10" s="25" t="s">
        <v>241</v>
      </c>
      <c r="C10" s="26">
        <v>0.14136000000000001</v>
      </c>
      <c r="D10" s="26">
        <v>4.1884607355999997</v>
      </c>
      <c r="E10" s="26">
        <v>0</v>
      </c>
      <c r="F10" s="27"/>
      <c r="G10" s="35">
        <v>-100</v>
      </c>
      <c r="H10" s="29">
        <v>-100</v>
      </c>
    </row>
    <row r="11" spans="1:8" x14ac:dyDescent="0.25">
      <c r="A11" s="30" t="s">
        <v>54</v>
      </c>
      <c r="B11" s="31" t="s">
        <v>3</v>
      </c>
      <c r="C11" s="20">
        <v>521.44939999999997</v>
      </c>
      <c r="D11" s="20">
        <v>514.40440000000001</v>
      </c>
      <c r="E11" s="21">
        <v>631.40843852607122</v>
      </c>
      <c r="F11" s="22" t="s">
        <v>240</v>
      </c>
      <c r="G11" s="37">
        <v>21.08719245358634</v>
      </c>
      <c r="H11" s="33">
        <v>22.74553610468169</v>
      </c>
    </row>
    <row r="12" spans="1:8" x14ac:dyDescent="0.25">
      <c r="A12" s="34"/>
      <c r="B12" s="25" t="s">
        <v>241</v>
      </c>
      <c r="C12" s="26">
        <v>235.70679999999999</v>
      </c>
      <c r="D12" s="26">
        <v>259.94230367800003</v>
      </c>
      <c r="E12" s="26">
        <v>307</v>
      </c>
      <c r="F12" s="27"/>
      <c r="G12" s="28">
        <v>30.246560557438301</v>
      </c>
      <c r="H12" s="29">
        <v>18.103131216491803</v>
      </c>
    </row>
    <row r="13" spans="1:8" x14ac:dyDescent="0.25">
      <c r="A13" s="30" t="s">
        <v>66</v>
      </c>
      <c r="B13" s="31" t="s">
        <v>3</v>
      </c>
      <c r="C13" s="20">
        <v>17.57976</v>
      </c>
      <c r="D13" s="20">
        <v>7.5617599999999996</v>
      </c>
      <c r="E13" s="21">
        <v>34.923453342693833</v>
      </c>
      <c r="F13" s="22" t="s">
        <v>240</v>
      </c>
      <c r="G13" s="23">
        <v>98.657167917501909</v>
      </c>
      <c r="H13" s="24">
        <v>361.84292205377898</v>
      </c>
    </row>
    <row r="14" spans="1:8" x14ac:dyDescent="0.25">
      <c r="A14" s="34"/>
      <c r="B14" s="25" t="s">
        <v>241</v>
      </c>
      <c r="C14" s="26">
        <v>28.261443404255321</v>
      </c>
      <c r="D14" s="26">
        <v>2.3769214712000002</v>
      </c>
      <c r="E14" s="26">
        <v>15</v>
      </c>
      <c r="F14" s="27"/>
      <c r="G14" s="23">
        <v>-46.924154632026152</v>
      </c>
      <c r="H14" s="24">
        <v>531.06838748135749</v>
      </c>
    </row>
    <row r="15" spans="1:8" x14ac:dyDescent="0.25">
      <c r="A15" s="30" t="s">
        <v>55</v>
      </c>
      <c r="B15" s="31" t="s">
        <v>3</v>
      </c>
      <c r="C15" s="20">
        <v>7780.1903999999995</v>
      </c>
      <c r="D15" s="20">
        <v>8311.4704000000002</v>
      </c>
      <c r="E15" s="21">
        <v>7790.9730154129511</v>
      </c>
      <c r="F15" s="22" t="s">
        <v>240</v>
      </c>
      <c r="G15" s="37">
        <v>0.13859063671439742</v>
      </c>
      <c r="H15" s="33">
        <v>-6.2623983427414771</v>
      </c>
    </row>
    <row r="16" spans="1:8" x14ac:dyDescent="0.25">
      <c r="A16" s="34"/>
      <c r="B16" s="25" t="s">
        <v>241</v>
      </c>
      <c r="C16" s="26">
        <v>4287.6390752293573</v>
      </c>
      <c r="D16" s="26">
        <v>4282.0768588480005</v>
      </c>
      <c r="E16" s="26">
        <v>4103</v>
      </c>
      <c r="F16" s="27"/>
      <c r="G16" s="28">
        <v>-4.3063110488020868</v>
      </c>
      <c r="H16" s="29">
        <v>-4.1820094489424235</v>
      </c>
    </row>
    <row r="17" spans="1:8" x14ac:dyDescent="0.25">
      <c r="A17" s="30" t="s">
        <v>67</v>
      </c>
      <c r="B17" s="31" t="s">
        <v>3</v>
      </c>
      <c r="C17" s="20">
        <v>1839.4494</v>
      </c>
      <c r="D17" s="20">
        <v>2242.4043999999999</v>
      </c>
      <c r="E17" s="21">
        <v>2509.1993242694384</v>
      </c>
      <c r="F17" s="22" t="s">
        <v>240</v>
      </c>
      <c r="G17" s="37">
        <v>36.410347806764264</v>
      </c>
      <c r="H17" s="33">
        <v>11.89771676640656</v>
      </c>
    </row>
    <row r="18" spans="1:8" x14ac:dyDescent="0.25">
      <c r="A18" s="30"/>
      <c r="B18" s="25" t="s">
        <v>241</v>
      </c>
      <c r="C18" s="26">
        <v>898.0401333333333</v>
      </c>
      <c r="D18" s="26">
        <v>1058.9423036779999</v>
      </c>
      <c r="E18" s="26">
        <v>1198</v>
      </c>
      <c r="F18" s="27"/>
      <c r="G18" s="28">
        <v>33.401610410581526</v>
      </c>
      <c r="H18" s="29">
        <v>13.131753811233551</v>
      </c>
    </row>
    <row r="19" spans="1:8" x14ac:dyDescent="0.25">
      <c r="A19" s="38" t="s">
        <v>56</v>
      </c>
      <c r="B19" s="31" t="s">
        <v>3</v>
      </c>
      <c r="C19" s="20">
        <v>0.28988000000000003</v>
      </c>
      <c r="D19" s="20">
        <v>4.2808799999999998</v>
      </c>
      <c r="E19" s="21">
        <v>2.4483498658703287</v>
      </c>
      <c r="F19" s="22" t="s">
        <v>240</v>
      </c>
      <c r="G19" s="23">
        <v>744.60806743146418</v>
      </c>
      <c r="H19" s="24">
        <v>-42.807323123508979</v>
      </c>
    </row>
    <row r="20" spans="1:8" x14ac:dyDescent="0.25">
      <c r="A20" s="34"/>
      <c r="B20" s="25" t="s">
        <v>241</v>
      </c>
      <c r="C20" s="26">
        <v>2.0562536170212766</v>
      </c>
      <c r="D20" s="26">
        <v>1.1884607356000001</v>
      </c>
      <c r="E20" s="26">
        <v>1</v>
      </c>
      <c r="F20" s="27"/>
      <c r="G20" s="23">
        <v>-51.367866700771245</v>
      </c>
      <c r="H20" s="24">
        <v>-15.857548335819004</v>
      </c>
    </row>
    <row r="21" spans="1:8" x14ac:dyDescent="0.25">
      <c r="A21" s="38" t="s">
        <v>68</v>
      </c>
      <c r="B21" s="31" t="s">
        <v>3</v>
      </c>
      <c r="C21" s="20">
        <v>33.289879999999997</v>
      </c>
      <c r="D21" s="20">
        <v>51.280879999999996</v>
      </c>
      <c r="E21" s="21">
        <v>232.0026099269914</v>
      </c>
      <c r="F21" s="22" t="s">
        <v>240</v>
      </c>
      <c r="G21" s="37">
        <v>596.91632990864321</v>
      </c>
      <c r="H21" s="33">
        <v>352.41542252588374</v>
      </c>
    </row>
    <row r="22" spans="1:8" x14ac:dyDescent="0.25">
      <c r="A22" s="34"/>
      <c r="B22" s="25" t="s">
        <v>241</v>
      </c>
      <c r="C22" s="26">
        <v>3.0562536170212771</v>
      </c>
      <c r="D22" s="26">
        <v>26.1884607356</v>
      </c>
      <c r="E22" s="26">
        <v>47</v>
      </c>
      <c r="F22" s="27"/>
      <c r="G22" s="28">
        <v>1437.8304908415196</v>
      </c>
      <c r="H22" s="29">
        <v>79.468356214266805</v>
      </c>
    </row>
    <row r="23" spans="1:8" x14ac:dyDescent="0.25">
      <c r="A23" s="30" t="s">
        <v>69</v>
      </c>
      <c r="B23" s="31" t="s">
        <v>3</v>
      </c>
      <c r="C23" s="20">
        <v>3291.4494</v>
      </c>
      <c r="D23" s="20">
        <v>3663.4043999999999</v>
      </c>
      <c r="E23" s="21">
        <v>3542.0005196933448</v>
      </c>
      <c r="F23" s="22" t="s">
        <v>240</v>
      </c>
      <c r="G23" s="23">
        <v>7.6121820281771448</v>
      </c>
      <c r="H23" s="24">
        <v>-3.31396338080107</v>
      </c>
    </row>
    <row r="24" spans="1:8" ht="13.8" thickBot="1" x14ac:dyDescent="0.3">
      <c r="A24" s="54"/>
      <c r="B24" s="41" t="s">
        <v>241</v>
      </c>
      <c r="C24" s="42">
        <v>1528.8886181818182</v>
      </c>
      <c r="D24" s="42">
        <v>1987.9423036779999</v>
      </c>
      <c r="E24" s="42">
        <v>1820</v>
      </c>
      <c r="F24" s="43"/>
      <c r="G24" s="55">
        <v>19.040718751924302</v>
      </c>
      <c r="H24" s="45">
        <v>-8.4480471775906523</v>
      </c>
    </row>
    <row r="25" spans="1:8" x14ac:dyDescent="0.25">
      <c r="A25" s="6"/>
      <c r="B25" s="6"/>
      <c r="C25" s="59"/>
      <c r="D25" s="59"/>
      <c r="E25" s="21"/>
      <c r="F25" s="56"/>
      <c r="G25" s="23"/>
      <c r="H25" s="23"/>
    </row>
    <row r="26" spans="1:8" x14ac:dyDescent="0.25">
      <c r="A26" s="6"/>
      <c r="B26" s="6"/>
      <c r="C26" s="59"/>
      <c r="D26" s="59"/>
      <c r="E26" s="21"/>
      <c r="F26" s="56"/>
      <c r="G26" s="23"/>
      <c r="H26" s="23"/>
    </row>
    <row r="27" spans="1:8" x14ac:dyDescent="0.25">
      <c r="A27" s="6"/>
      <c r="B27" s="6"/>
      <c r="C27" s="59"/>
      <c r="D27" s="59"/>
      <c r="E27" s="21"/>
      <c r="F27" s="56"/>
      <c r="G27" s="23"/>
      <c r="H27" s="23"/>
    </row>
    <row r="28" spans="1:8" x14ac:dyDescent="0.25">
      <c r="A28" s="6"/>
      <c r="B28" s="6"/>
      <c r="C28" s="59"/>
      <c r="D28" s="59"/>
      <c r="E28" s="21"/>
      <c r="F28" s="56"/>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65</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64</v>
      </c>
      <c r="B35" s="19" t="s">
        <v>3</v>
      </c>
      <c r="C35" s="73">
        <v>1730.9479593790484</v>
      </c>
      <c r="D35" s="73">
        <v>1967.7894804639338</v>
      </c>
      <c r="E35" s="74">
        <v>1844.9268808295883</v>
      </c>
      <c r="F35" s="22" t="s">
        <v>240</v>
      </c>
      <c r="G35" s="23">
        <v>6.5847688160092446</v>
      </c>
      <c r="H35" s="24">
        <v>-6.243686169385299</v>
      </c>
    </row>
    <row r="36" spans="1:8" ht="12.75" customHeight="1" x14ac:dyDescent="0.25">
      <c r="A36" s="193"/>
      <c r="B36" s="25" t="s">
        <v>241</v>
      </c>
      <c r="C36" s="75">
        <v>799.07976156972654</v>
      </c>
      <c r="D36" s="75">
        <v>1027.5304319021525</v>
      </c>
      <c r="E36" s="75">
        <v>923.03103939056746</v>
      </c>
      <c r="F36" s="27"/>
      <c r="G36" s="28">
        <v>15.511752866490937</v>
      </c>
      <c r="H36" s="29">
        <v>-10.169955970855</v>
      </c>
    </row>
    <row r="37" spans="1:8" x14ac:dyDescent="0.25">
      <c r="A37" s="30" t="s">
        <v>53</v>
      </c>
      <c r="B37" s="31" t="s">
        <v>3</v>
      </c>
      <c r="C37" s="73">
        <v>0.61037295083207166</v>
      </c>
      <c r="D37" s="73">
        <v>0.20454295303126943</v>
      </c>
      <c r="E37" s="76">
        <v>6.2057365334831929E-2</v>
      </c>
      <c r="F37" s="22" t="s">
        <v>240</v>
      </c>
      <c r="G37" s="32">
        <v>-89.832877546386328</v>
      </c>
      <c r="H37" s="33">
        <v>-69.660472573041943</v>
      </c>
    </row>
    <row r="38" spans="1:8" x14ac:dyDescent="0.25">
      <c r="A38" s="34"/>
      <c r="B38" s="25" t="s">
        <v>241</v>
      </c>
      <c r="C38" s="75">
        <v>0.3718180191405574</v>
      </c>
      <c r="D38" s="75">
        <v>0.36491923305118956</v>
      </c>
      <c r="E38" s="75">
        <v>6.738963960057652E-2</v>
      </c>
      <c r="F38" s="27"/>
      <c r="G38" s="35">
        <v>-81.8756391214323</v>
      </c>
      <c r="H38" s="29">
        <v>-81.532998675593689</v>
      </c>
    </row>
    <row r="39" spans="1:8" x14ac:dyDescent="0.25">
      <c r="A39" s="30" t="s">
        <v>54</v>
      </c>
      <c r="B39" s="31" t="s">
        <v>3</v>
      </c>
      <c r="C39" s="73">
        <v>61.618555653841561</v>
      </c>
      <c r="D39" s="73">
        <v>60.467686159925613</v>
      </c>
      <c r="E39" s="76">
        <v>54.697639032762254</v>
      </c>
      <c r="F39" s="22" t="s">
        <v>240</v>
      </c>
      <c r="G39" s="37">
        <v>-11.231870899343008</v>
      </c>
      <c r="H39" s="33">
        <v>-9.5423646803726996</v>
      </c>
    </row>
    <row r="40" spans="1:8" x14ac:dyDescent="0.25">
      <c r="A40" s="34"/>
      <c r="B40" s="25" t="s">
        <v>241</v>
      </c>
      <c r="C40" s="75">
        <v>31.588369204245794</v>
      </c>
      <c r="D40" s="75">
        <v>26.226974231501973</v>
      </c>
      <c r="E40" s="75">
        <v>25.007383225409122</v>
      </c>
      <c r="F40" s="27"/>
      <c r="G40" s="28">
        <v>-20.833573066988592</v>
      </c>
      <c r="H40" s="29">
        <v>-4.6501399487706294</v>
      </c>
    </row>
    <row r="41" spans="1:8" x14ac:dyDescent="0.25">
      <c r="A41" s="30" t="s">
        <v>66</v>
      </c>
      <c r="B41" s="31" t="s">
        <v>3</v>
      </c>
      <c r="C41" s="73">
        <v>4.1606620602423767</v>
      </c>
      <c r="D41" s="73">
        <v>1.359369392205364</v>
      </c>
      <c r="E41" s="76">
        <v>1.6431694686166889</v>
      </c>
      <c r="F41" s="22" t="s">
        <v>240</v>
      </c>
      <c r="G41" s="23">
        <v>-60.507019199704793</v>
      </c>
      <c r="H41" s="24">
        <v>20.877333125097337</v>
      </c>
    </row>
    <row r="42" spans="1:8" x14ac:dyDescent="0.25">
      <c r="A42" s="34"/>
      <c r="B42" s="25" t="s">
        <v>241</v>
      </c>
      <c r="C42" s="75">
        <v>2.6237476464384768</v>
      </c>
      <c r="D42" s="75">
        <v>2.4400449263783979</v>
      </c>
      <c r="E42" s="75">
        <v>1.825752401151445</v>
      </c>
      <c r="F42" s="27"/>
      <c r="G42" s="23">
        <v>-30.414329151290346</v>
      </c>
      <c r="H42" s="24">
        <v>-25.175459623143411</v>
      </c>
    </row>
    <row r="43" spans="1:8" x14ac:dyDescent="0.25">
      <c r="A43" s="30" t="s">
        <v>55</v>
      </c>
      <c r="B43" s="31" t="s">
        <v>3</v>
      </c>
      <c r="C43" s="73">
        <v>1006.5696786069085</v>
      </c>
      <c r="D43" s="73">
        <v>942.05772540875626</v>
      </c>
      <c r="E43" s="76">
        <v>932.47501816301178</v>
      </c>
      <c r="F43" s="22" t="s">
        <v>240</v>
      </c>
      <c r="G43" s="37">
        <v>-7.3611059441452369</v>
      </c>
      <c r="H43" s="33">
        <v>-1.0172101971337923</v>
      </c>
    </row>
    <row r="44" spans="1:8" x14ac:dyDescent="0.25">
      <c r="A44" s="34"/>
      <c r="B44" s="25" t="s">
        <v>241</v>
      </c>
      <c r="C44" s="75">
        <v>480.26277373371499</v>
      </c>
      <c r="D44" s="75">
        <v>482.99447421925186</v>
      </c>
      <c r="E44" s="75">
        <v>466.48804712479779</v>
      </c>
      <c r="F44" s="27"/>
      <c r="G44" s="28">
        <v>-2.8681645470516344</v>
      </c>
      <c r="H44" s="29">
        <v>-3.4175188279609756</v>
      </c>
    </row>
    <row r="45" spans="1:8" x14ac:dyDescent="0.25">
      <c r="A45" s="30" t="s">
        <v>67</v>
      </c>
      <c r="B45" s="31" t="s">
        <v>3</v>
      </c>
      <c r="C45" s="73">
        <v>411.08025900749647</v>
      </c>
      <c r="D45" s="73">
        <v>626.15863656344334</v>
      </c>
      <c r="E45" s="76">
        <v>673.01783533200626</v>
      </c>
      <c r="F45" s="22" t="s">
        <v>240</v>
      </c>
      <c r="G45" s="37">
        <v>63.719327451268612</v>
      </c>
      <c r="H45" s="33">
        <v>7.4835985694840872</v>
      </c>
    </row>
    <row r="46" spans="1:8" x14ac:dyDescent="0.25">
      <c r="A46" s="30"/>
      <c r="B46" s="25" t="s">
        <v>241</v>
      </c>
      <c r="C46" s="75">
        <v>168.8962171239171</v>
      </c>
      <c r="D46" s="75">
        <v>323.9777011355996</v>
      </c>
      <c r="E46" s="75">
        <v>320.51698742134079</v>
      </c>
      <c r="F46" s="27"/>
      <c r="G46" s="28">
        <v>89.771560831455076</v>
      </c>
      <c r="H46" s="29">
        <v>-1.0681950338336179</v>
      </c>
    </row>
    <row r="47" spans="1:8" x14ac:dyDescent="0.25">
      <c r="A47" s="38" t="s">
        <v>56</v>
      </c>
      <c r="B47" s="31" t="s">
        <v>3</v>
      </c>
      <c r="C47" s="73">
        <v>5.9470217957497322</v>
      </c>
      <c r="D47" s="73">
        <v>13.330759200800607</v>
      </c>
      <c r="E47" s="76">
        <v>10.213248833261448</v>
      </c>
      <c r="F47" s="22" t="s">
        <v>240</v>
      </c>
      <c r="G47" s="23">
        <v>71.737201981683313</v>
      </c>
      <c r="H47" s="24">
        <v>-23.385842625916837</v>
      </c>
    </row>
    <row r="48" spans="1:8" x14ac:dyDescent="0.25">
      <c r="A48" s="34"/>
      <c r="B48" s="25" t="s">
        <v>241</v>
      </c>
      <c r="C48" s="75">
        <v>3.6844502924587843</v>
      </c>
      <c r="D48" s="75">
        <v>2.1436562316559442</v>
      </c>
      <c r="E48" s="75">
        <v>2.1805335528636864</v>
      </c>
      <c r="F48" s="27"/>
      <c r="G48" s="23">
        <v>-40.817940811232191</v>
      </c>
      <c r="H48" s="24">
        <v>1.7203001424932296</v>
      </c>
    </row>
    <row r="49" spans="1:8" x14ac:dyDescent="0.25">
      <c r="A49" s="38" t="s">
        <v>68</v>
      </c>
      <c r="B49" s="31" t="s">
        <v>3</v>
      </c>
      <c r="C49" s="73">
        <v>2.6355739081157088</v>
      </c>
      <c r="D49" s="73">
        <v>0.98166588819986678</v>
      </c>
      <c r="E49" s="76">
        <v>5.7118440495969356</v>
      </c>
      <c r="F49" s="22" t="s">
        <v>240</v>
      </c>
      <c r="G49" s="37">
        <v>116.72107285659811</v>
      </c>
      <c r="H49" s="33">
        <v>481.85214727905532</v>
      </c>
    </row>
    <row r="50" spans="1:8" x14ac:dyDescent="0.25">
      <c r="A50" s="34"/>
      <c r="B50" s="25" t="s">
        <v>241</v>
      </c>
      <c r="C50" s="75">
        <v>0.96450231468218894</v>
      </c>
      <c r="D50" s="75">
        <v>1.1534846207434692</v>
      </c>
      <c r="E50" s="75">
        <v>3.8640000448904881</v>
      </c>
      <c r="F50" s="27"/>
      <c r="G50" s="28">
        <v>300.6211271938426</v>
      </c>
      <c r="H50" s="29">
        <v>234.98496429020247</v>
      </c>
    </row>
    <row r="51" spans="1:8" x14ac:dyDescent="0.25">
      <c r="A51" s="30" t="s">
        <v>69</v>
      </c>
      <c r="B51" s="31" t="s">
        <v>3</v>
      </c>
      <c r="C51" s="73">
        <v>238.32583539586253</v>
      </c>
      <c r="D51" s="73">
        <v>323.2290948975716</v>
      </c>
      <c r="E51" s="76">
        <v>191.9901397473127</v>
      </c>
      <c r="F51" s="22" t="s">
        <v>240</v>
      </c>
      <c r="G51" s="23">
        <v>-19.442162269812499</v>
      </c>
      <c r="H51" s="24">
        <v>-40.602457273175652</v>
      </c>
    </row>
    <row r="52" spans="1:8" ht="13.8" thickBot="1" x14ac:dyDescent="0.3">
      <c r="A52" s="54"/>
      <c r="B52" s="41" t="s">
        <v>241</v>
      </c>
      <c r="C52" s="79">
        <v>110.68788323512855</v>
      </c>
      <c r="D52" s="79">
        <v>188.22917730397009</v>
      </c>
      <c r="E52" s="79">
        <v>103.08094598051349</v>
      </c>
      <c r="F52" s="43"/>
      <c r="G52" s="55">
        <v>-6.8724209301717565</v>
      </c>
      <c r="H52" s="45">
        <v>-45.236467875514997</v>
      </c>
    </row>
    <row r="53" spans="1:8" x14ac:dyDescent="0.25">
      <c r="A53" s="60"/>
      <c r="B53" s="57"/>
      <c r="C53" s="21"/>
      <c r="D53" s="21"/>
      <c r="E53" s="21"/>
      <c r="F53" s="58"/>
      <c r="G53" s="23"/>
      <c r="H53" s="23"/>
    </row>
    <row r="54" spans="1:8" x14ac:dyDescent="0.25">
      <c r="A54" s="60"/>
      <c r="B54" s="57"/>
      <c r="C54" s="21"/>
      <c r="D54" s="21"/>
      <c r="E54" s="21"/>
      <c r="F54" s="58"/>
      <c r="G54" s="23"/>
      <c r="H54" s="23"/>
    </row>
    <row r="55" spans="1:8" x14ac:dyDescent="0.25">
      <c r="A55" s="60"/>
      <c r="B55" s="57"/>
      <c r="C55" s="21"/>
      <c r="D55" s="21"/>
      <c r="E55" s="21"/>
      <c r="F55" s="58"/>
      <c r="G55" s="23"/>
      <c r="H55" s="23"/>
    </row>
    <row r="56" spans="1:8" x14ac:dyDescent="0.25">
      <c r="A56" s="60"/>
      <c r="B56" s="57"/>
      <c r="C56" s="21"/>
      <c r="D56" s="21"/>
      <c r="E56" s="21"/>
      <c r="F56" s="58"/>
      <c r="G56" s="23"/>
      <c r="H56" s="23"/>
    </row>
    <row r="57" spans="1:8" x14ac:dyDescent="0.25">
      <c r="A57" s="60"/>
      <c r="B57" s="57"/>
      <c r="C57" s="21"/>
      <c r="D57" s="21"/>
      <c r="E57" s="21"/>
      <c r="F57" s="58"/>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26</v>
      </c>
    </row>
    <row r="62" spans="1:8" ht="12.75" customHeight="1" x14ac:dyDescent="0.25">
      <c r="A62" s="52" t="str">
        <f>+Innhold!$B$124</f>
        <v>Skadestatistikk for landbasert forsikring 2. kvartal 2025</v>
      </c>
      <c r="G62" s="51"/>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zoomScaleNormal="100" workbookViewId="0">
      <selection activeCell="U31" sqref="U31"/>
    </sheetView>
  </sheetViews>
  <sheetFormatPr defaultColWidth="11.44140625" defaultRowHeight="13.2" x14ac:dyDescent="0.25"/>
  <cols>
    <col min="1" max="1" width="27.109375" style="1" customWidth="1"/>
    <col min="2" max="4" width="10.5546875" style="1" customWidth="1"/>
    <col min="5" max="6" width="7.5546875" style="1" customWidth="1"/>
    <col min="7" max="7" width="8.109375" style="1" customWidth="1"/>
    <col min="8" max="16384" width="11.44140625" style="1"/>
  </cols>
  <sheetData>
    <row r="1" spans="1:7" ht="5.25" customHeight="1" x14ac:dyDescent="0.25"/>
    <row r="2" spans="1:7" x14ac:dyDescent="0.25">
      <c r="A2" s="85" t="s">
        <v>0</v>
      </c>
      <c r="B2" s="2"/>
      <c r="C2" s="2"/>
      <c r="D2" s="2"/>
      <c r="E2" s="2"/>
      <c r="F2" s="2"/>
    </row>
    <row r="3" spans="1:7" ht="6" customHeight="1" x14ac:dyDescent="0.25">
      <c r="A3" s="2"/>
      <c r="B3" s="2"/>
      <c r="C3" s="2"/>
      <c r="D3" s="2"/>
      <c r="E3" s="2"/>
      <c r="F3" s="2"/>
    </row>
    <row r="4" spans="1:7" ht="15.75" customHeight="1" x14ac:dyDescent="0.3">
      <c r="A4" s="81" t="s">
        <v>109</v>
      </c>
      <c r="B4" s="67"/>
      <c r="C4" s="67"/>
      <c r="D4" s="67"/>
      <c r="E4" s="67"/>
      <c r="F4" s="67"/>
      <c r="G4" s="67"/>
    </row>
    <row r="5" spans="1:7" ht="15.75" customHeight="1" x14ac:dyDescent="0.3">
      <c r="A5" s="68"/>
      <c r="B5" s="67"/>
      <c r="C5" s="67"/>
      <c r="D5" s="67"/>
      <c r="E5" s="67"/>
      <c r="F5" s="67"/>
      <c r="G5" s="67"/>
    </row>
    <row r="6" spans="1:7" ht="15.75" customHeight="1" x14ac:dyDescent="0.3">
      <c r="A6" s="66"/>
      <c r="B6" s="66"/>
      <c r="C6" s="66"/>
      <c r="D6" s="66"/>
      <c r="E6" s="66"/>
      <c r="F6" s="66"/>
      <c r="G6" s="66"/>
    </row>
    <row r="7" spans="1:7" ht="15.75" customHeight="1" x14ac:dyDescent="0.3">
      <c r="A7" s="66"/>
      <c r="B7" s="66"/>
      <c r="C7" s="66"/>
      <c r="D7" s="66"/>
      <c r="E7" s="66"/>
      <c r="F7" s="66"/>
      <c r="G7" s="66"/>
    </row>
    <row r="8" spans="1:7" ht="15.75" customHeight="1" x14ac:dyDescent="0.3">
      <c r="A8" s="66"/>
      <c r="B8" s="66"/>
      <c r="C8" s="66"/>
      <c r="D8" s="66"/>
      <c r="E8" s="66"/>
      <c r="F8" s="66"/>
      <c r="G8" s="66"/>
    </row>
    <row r="9" spans="1:7" ht="15.75" customHeight="1" x14ac:dyDescent="0.3">
      <c r="A9" s="66"/>
      <c r="B9" s="66"/>
      <c r="C9" s="66"/>
      <c r="D9" s="66"/>
      <c r="E9" s="66"/>
      <c r="F9" s="66"/>
      <c r="G9" s="66"/>
    </row>
    <row r="10" spans="1:7" ht="15.75" customHeight="1" x14ac:dyDescent="0.3">
      <c r="A10" s="66"/>
      <c r="B10" s="66"/>
      <c r="C10" s="66"/>
      <c r="D10" s="66"/>
      <c r="E10" s="66"/>
      <c r="F10" s="66"/>
      <c r="G10" s="66"/>
    </row>
    <row r="11" spans="1:7" ht="15.75" customHeight="1" x14ac:dyDescent="0.3">
      <c r="A11" s="66"/>
      <c r="B11" s="66"/>
      <c r="C11" s="66"/>
      <c r="D11" s="66"/>
      <c r="E11" s="66"/>
      <c r="F11" s="66"/>
      <c r="G11" s="66"/>
    </row>
    <row r="12" spans="1:7" ht="15.75" customHeight="1" x14ac:dyDescent="0.3">
      <c r="A12" s="66"/>
      <c r="B12" s="66"/>
      <c r="C12" s="66"/>
      <c r="D12" s="66"/>
      <c r="E12" s="66"/>
      <c r="F12" s="66"/>
      <c r="G12" s="66"/>
    </row>
    <row r="13" spans="1:7" ht="15.75" customHeight="1" x14ac:dyDescent="0.3">
      <c r="A13" s="66"/>
      <c r="B13" s="66"/>
      <c r="C13" s="66"/>
      <c r="D13" s="66"/>
      <c r="E13" s="66"/>
      <c r="F13" s="66"/>
      <c r="G13" s="66"/>
    </row>
    <row r="14" spans="1:7" ht="15.75" customHeight="1" x14ac:dyDescent="0.3">
      <c r="A14" s="66"/>
      <c r="B14" s="66"/>
      <c r="C14" s="66"/>
      <c r="D14" s="66"/>
      <c r="E14" s="66"/>
      <c r="F14" s="66"/>
      <c r="G14" s="66"/>
    </row>
    <row r="15" spans="1:7" ht="15.75" customHeight="1" x14ac:dyDescent="0.3">
      <c r="A15" s="66"/>
      <c r="B15" s="66"/>
      <c r="C15" s="66"/>
      <c r="D15" s="66"/>
      <c r="E15" s="66"/>
      <c r="F15" s="66"/>
      <c r="G15" s="66"/>
    </row>
    <row r="16" spans="1:7" ht="15.75" customHeight="1" x14ac:dyDescent="0.3">
      <c r="A16" s="66"/>
      <c r="B16" s="66"/>
      <c r="C16" s="66"/>
      <c r="D16" s="66"/>
      <c r="E16" s="66"/>
      <c r="F16" s="66"/>
      <c r="G16" s="66"/>
    </row>
    <row r="17" spans="1:13" ht="15.75" customHeight="1" x14ac:dyDescent="0.3">
      <c r="A17" s="66"/>
      <c r="B17" s="66"/>
      <c r="C17" s="66"/>
      <c r="D17" s="66"/>
      <c r="E17" s="66"/>
      <c r="F17" s="66"/>
      <c r="G17" s="66"/>
    </row>
    <row r="18" spans="1:13" ht="15.75" customHeight="1" x14ac:dyDescent="0.3">
      <c r="A18" s="66"/>
      <c r="B18" s="66"/>
      <c r="C18" s="66"/>
      <c r="D18" s="66"/>
      <c r="E18" s="66"/>
      <c r="F18" s="66"/>
      <c r="G18" s="66"/>
    </row>
    <row r="19" spans="1:13" ht="15.75" customHeight="1" x14ac:dyDescent="0.3">
      <c r="A19" s="66"/>
      <c r="B19" s="66"/>
      <c r="C19" s="66"/>
      <c r="D19" s="66"/>
      <c r="E19" s="66"/>
      <c r="F19" s="66"/>
      <c r="G19" s="66"/>
    </row>
    <row r="20" spans="1:13" ht="15.75" customHeight="1" x14ac:dyDescent="0.3">
      <c r="A20" s="66"/>
      <c r="B20" s="66"/>
      <c r="C20" s="66"/>
      <c r="D20" s="66"/>
      <c r="E20" s="66"/>
      <c r="F20" s="66"/>
      <c r="G20" s="66"/>
    </row>
    <row r="21" spans="1:13" ht="15.75" customHeight="1" x14ac:dyDescent="0.3">
      <c r="A21" s="66"/>
      <c r="B21" s="66"/>
      <c r="C21" s="66"/>
      <c r="D21" s="66"/>
      <c r="E21" s="66"/>
      <c r="F21" s="66"/>
      <c r="G21" s="66"/>
    </row>
    <row r="22" spans="1:13" ht="15.75" customHeight="1" x14ac:dyDescent="0.3">
      <c r="A22" s="66"/>
      <c r="B22" s="66"/>
      <c r="C22" s="66"/>
      <c r="D22" s="66"/>
      <c r="E22" s="66"/>
      <c r="F22" s="66"/>
      <c r="G22" s="66"/>
    </row>
    <row r="23" spans="1:13" ht="15.75" customHeight="1" x14ac:dyDescent="0.3">
      <c r="A23" s="66"/>
      <c r="B23" s="66"/>
      <c r="C23" s="66"/>
      <c r="D23" s="66"/>
      <c r="E23" s="66"/>
      <c r="F23" s="66"/>
      <c r="G23" s="66"/>
    </row>
    <row r="24" spans="1:13" ht="15.75" customHeight="1" x14ac:dyDescent="0.3">
      <c r="A24" s="66"/>
      <c r="B24" s="66"/>
      <c r="C24" s="66"/>
      <c r="D24" s="66"/>
      <c r="E24" s="66"/>
      <c r="F24" s="66"/>
      <c r="G24" s="66"/>
    </row>
    <row r="25" spans="1:13" ht="15.75" customHeight="1" x14ac:dyDescent="0.3">
      <c r="A25" s="66"/>
      <c r="B25" s="66"/>
      <c r="C25" s="66"/>
      <c r="D25" s="66"/>
      <c r="E25" s="66"/>
      <c r="F25" s="66"/>
      <c r="G25" s="66"/>
    </row>
    <row r="26" spans="1:13" ht="15.75" customHeight="1" x14ac:dyDescent="0.3">
      <c r="A26" s="66"/>
      <c r="B26" s="66"/>
      <c r="C26" s="66"/>
      <c r="D26" s="66"/>
      <c r="E26" s="66"/>
      <c r="F26" s="66"/>
      <c r="G26" s="66"/>
    </row>
    <row r="27" spans="1:13" ht="15.75" customHeight="1" x14ac:dyDescent="0.3">
      <c r="A27" s="66"/>
      <c r="B27" s="66"/>
      <c r="C27" s="66"/>
      <c r="D27" s="66"/>
      <c r="E27" s="66"/>
      <c r="F27" s="66"/>
      <c r="G27" s="66"/>
      <c r="M27" s="70"/>
    </row>
    <row r="28" spans="1:13" ht="15.75" customHeight="1" x14ac:dyDescent="0.3">
      <c r="A28" s="66"/>
      <c r="B28" s="66"/>
      <c r="C28" s="66"/>
      <c r="D28" s="66"/>
      <c r="E28" s="66"/>
      <c r="F28" s="66"/>
      <c r="G28" s="66"/>
      <c r="M28" s="70"/>
    </row>
    <row r="29" spans="1:13" ht="15.75" customHeight="1" x14ac:dyDescent="0.3">
      <c r="A29" s="66"/>
      <c r="B29" s="66"/>
      <c r="C29" s="66"/>
      <c r="D29" s="66"/>
      <c r="E29" s="66"/>
      <c r="F29" s="66"/>
      <c r="G29" s="66"/>
      <c r="M29" s="70"/>
    </row>
    <row r="30" spans="1:13" ht="15.75" customHeight="1" x14ac:dyDescent="0.3">
      <c r="A30" s="66"/>
      <c r="B30" s="66"/>
      <c r="C30" s="66"/>
      <c r="D30" s="66"/>
      <c r="E30" s="66"/>
      <c r="F30" s="66"/>
      <c r="G30" s="66"/>
      <c r="M30" s="70"/>
    </row>
    <row r="31" spans="1:13" ht="15.75" customHeight="1" x14ac:dyDescent="0.3">
      <c r="A31" s="66"/>
      <c r="B31" s="66"/>
      <c r="C31" s="66"/>
      <c r="D31" s="66"/>
      <c r="E31" s="66"/>
      <c r="F31" s="66"/>
      <c r="G31" s="66"/>
      <c r="M31" s="70"/>
    </row>
    <row r="32" spans="1:13" ht="15.75" customHeight="1" x14ac:dyDescent="0.3">
      <c r="A32" s="66"/>
      <c r="B32" s="66"/>
      <c r="C32" s="66"/>
      <c r="D32" s="66"/>
      <c r="E32" s="66"/>
      <c r="F32" s="66"/>
      <c r="G32" s="66"/>
      <c r="M32" s="70"/>
    </row>
    <row r="33" spans="1:13" ht="15.75" customHeight="1" x14ac:dyDescent="0.3">
      <c r="A33" s="66"/>
      <c r="B33" s="66"/>
      <c r="C33" s="66"/>
      <c r="D33" s="66"/>
      <c r="E33" s="66"/>
      <c r="F33" s="66"/>
      <c r="G33" s="66"/>
      <c r="M33" s="70"/>
    </row>
    <row r="34" spans="1:13" ht="15.75" customHeight="1" x14ac:dyDescent="0.3">
      <c r="A34" s="66"/>
      <c r="B34" s="66"/>
      <c r="C34" s="66"/>
      <c r="D34" s="66"/>
      <c r="E34" s="66"/>
      <c r="F34" s="66"/>
      <c r="G34" s="66"/>
      <c r="M34" s="70"/>
    </row>
    <row r="35" spans="1:13" ht="15.75" customHeight="1" x14ac:dyDescent="0.3">
      <c r="A35" s="66"/>
      <c r="B35" s="66"/>
      <c r="C35" s="66"/>
      <c r="D35" s="66"/>
      <c r="E35" s="66"/>
      <c r="F35" s="66"/>
      <c r="G35" s="66"/>
      <c r="M35" s="70"/>
    </row>
    <row r="36" spans="1:13" ht="15.75" customHeight="1" x14ac:dyDescent="0.3">
      <c r="A36" s="66"/>
      <c r="B36" s="66"/>
      <c r="C36" s="66"/>
      <c r="D36" s="66"/>
      <c r="E36" s="66"/>
      <c r="F36" s="66"/>
      <c r="G36" s="66"/>
      <c r="M36" s="70"/>
    </row>
    <row r="37" spans="1:13" ht="15.75" customHeight="1" x14ac:dyDescent="0.3">
      <c r="A37" s="66"/>
      <c r="B37" s="66"/>
      <c r="C37" s="66"/>
      <c r="D37" s="66"/>
      <c r="E37" s="66"/>
      <c r="F37" s="66"/>
      <c r="G37" s="66"/>
      <c r="M37" s="70"/>
    </row>
    <row r="38" spans="1:13" ht="15.75" customHeight="1" x14ac:dyDescent="0.3">
      <c r="A38" s="66"/>
      <c r="B38" s="66"/>
      <c r="C38" s="66"/>
      <c r="D38" s="66"/>
      <c r="E38" s="66"/>
      <c r="F38" s="66"/>
      <c r="G38" s="66"/>
      <c r="M38" s="70"/>
    </row>
    <row r="39" spans="1:13" ht="15.75" customHeight="1" x14ac:dyDescent="0.3">
      <c r="A39" s="66"/>
      <c r="B39" s="66"/>
      <c r="C39" s="66"/>
      <c r="D39" s="66"/>
      <c r="E39" s="66"/>
      <c r="F39" s="66"/>
      <c r="G39" s="66"/>
      <c r="M39" s="70"/>
    </row>
    <row r="40" spans="1:13" ht="15.75" customHeight="1" x14ac:dyDescent="0.3">
      <c r="A40" s="66"/>
      <c r="B40" s="66"/>
      <c r="C40" s="66"/>
      <c r="D40" s="66"/>
      <c r="E40" s="66"/>
      <c r="F40" s="66"/>
      <c r="G40" s="66"/>
      <c r="M40" s="70"/>
    </row>
    <row r="41" spans="1:13" ht="15.75" customHeight="1" x14ac:dyDescent="0.3">
      <c r="A41" s="66"/>
      <c r="B41" s="66"/>
      <c r="C41" s="66"/>
      <c r="D41" s="66"/>
      <c r="E41" s="66"/>
      <c r="F41" s="66"/>
      <c r="G41" s="66"/>
      <c r="M41" s="70"/>
    </row>
    <row r="42" spans="1:13" ht="15.75" customHeight="1" x14ac:dyDescent="0.3">
      <c r="A42" s="66"/>
      <c r="B42" s="66"/>
      <c r="C42" s="66"/>
      <c r="D42" s="66"/>
      <c r="E42" s="66"/>
      <c r="F42" s="66"/>
      <c r="G42" s="66"/>
      <c r="M42" s="70"/>
    </row>
    <row r="43" spans="1:13" ht="15.75" customHeight="1" x14ac:dyDescent="0.3">
      <c r="A43" s="66"/>
      <c r="B43" s="66"/>
      <c r="C43" s="66"/>
      <c r="D43" s="66"/>
      <c r="E43" s="66"/>
      <c r="F43" s="66"/>
      <c r="G43" s="66"/>
      <c r="M43" s="70"/>
    </row>
    <row r="44" spans="1:13" ht="15.75" customHeight="1" x14ac:dyDescent="0.3">
      <c r="A44" s="66"/>
      <c r="B44" s="66"/>
      <c r="C44" s="66"/>
      <c r="D44" s="66"/>
      <c r="E44" s="66"/>
      <c r="F44" s="66"/>
      <c r="G44" s="66"/>
      <c r="M44" s="70"/>
    </row>
    <row r="45" spans="1:13" ht="15.75" customHeight="1" x14ac:dyDescent="0.3">
      <c r="A45" s="66"/>
      <c r="B45" s="66"/>
      <c r="C45" s="66"/>
      <c r="D45" s="66"/>
      <c r="E45" s="66"/>
      <c r="F45" s="66"/>
      <c r="G45" s="66"/>
      <c r="M45" s="70"/>
    </row>
    <row r="46" spans="1:13" ht="15.75" customHeight="1" x14ac:dyDescent="0.3">
      <c r="A46" s="66"/>
      <c r="B46" s="66"/>
      <c r="C46" s="66"/>
      <c r="D46" s="66"/>
      <c r="E46" s="66"/>
      <c r="F46" s="66"/>
      <c r="G46" s="66"/>
      <c r="M46" s="70"/>
    </row>
    <row r="47" spans="1:13" ht="15.75" customHeight="1" x14ac:dyDescent="0.3">
      <c r="A47" s="66"/>
      <c r="B47" s="66"/>
      <c r="C47" s="66"/>
      <c r="D47" s="66"/>
      <c r="E47" s="66"/>
      <c r="F47" s="66"/>
      <c r="G47" s="66"/>
      <c r="M47" s="70"/>
    </row>
    <row r="48" spans="1:13" ht="15.75" customHeight="1" x14ac:dyDescent="0.3">
      <c r="A48" s="66"/>
      <c r="B48" s="66"/>
      <c r="C48" s="66"/>
      <c r="D48" s="66"/>
      <c r="E48" s="66"/>
      <c r="F48" s="66"/>
      <c r="G48" s="66"/>
      <c r="M48" s="70"/>
    </row>
    <row r="49" spans="1:14" ht="15.75" customHeight="1" x14ac:dyDescent="0.3">
      <c r="A49" s="66"/>
      <c r="B49" s="66"/>
      <c r="C49" s="66"/>
      <c r="D49" s="66"/>
      <c r="E49" s="88"/>
      <c r="F49" s="66"/>
      <c r="G49" s="66"/>
      <c r="M49" s="70"/>
    </row>
    <row r="50" spans="1:14" ht="15.75" customHeight="1" x14ac:dyDescent="0.3">
      <c r="A50" s="66"/>
      <c r="B50" s="66"/>
      <c r="C50" s="66"/>
      <c r="D50" s="66"/>
      <c r="E50" s="66"/>
      <c r="F50" s="66"/>
      <c r="G50" s="66"/>
      <c r="M50" s="70"/>
    </row>
    <row r="51" spans="1:14" ht="12.75" customHeight="1" x14ac:dyDescent="0.25">
      <c r="A51" s="50"/>
      <c r="B51" s="50"/>
      <c r="C51" s="50"/>
      <c r="D51" s="50"/>
      <c r="E51" s="50"/>
      <c r="F51" s="50"/>
      <c r="G51" s="50"/>
      <c r="H51" s="50"/>
      <c r="I51" s="50"/>
      <c r="J51" s="50"/>
      <c r="K51" s="50"/>
      <c r="L51" s="50"/>
      <c r="M51" s="50"/>
      <c r="N51" s="50"/>
    </row>
    <row r="52" spans="1:14" ht="12.75" customHeight="1" x14ac:dyDescent="0.25">
      <c r="A52" s="52" t="str">
        <f>+Innhold!B123</f>
        <v>Finans Norge / Skadeforsikringsstatistikk</v>
      </c>
      <c r="G52" s="187">
        <v>27</v>
      </c>
      <c r="H52" s="52" t="str">
        <f>+Innhold!B123</f>
        <v>Finans Norge / Skadeforsikringsstatistikk</v>
      </c>
      <c r="N52" s="187">
        <v>28</v>
      </c>
    </row>
    <row r="53" spans="1:14" ht="12.75" customHeight="1" x14ac:dyDescent="0.25">
      <c r="A53" s="52" t="str">
        <f>+Innhold!B124</f>
        <v>Skadestatistikk for landbasert forsikring 2. kvartal 2025</v>
      </c>
      <c r="G53" s="188"/>
      <c r="H53" s="52" t="str">
        <f>+Innhold!B124</f>
        <v>Skadestatistikk for landbasert forsikring 2. kvartal 2025</v>
      </c>
      <c r="N53" s="188"/>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64"/>
      <c r="K61" s="65"/>
      <c r="L61" s="65"/>
    </row>
    <row r="62" spans="1:14" ht="15.75" customHeight="1" x14ac:dyDescent="0.25">
      <c r="J62" s="63"/>
      <c r="K62"/>
      <c r="L62"/>
    </row>
    <row r="63" spans="1:14" ht="15.75" customHeight="1" x14ac:dyDescent="0.25">
      <c r="J63" s="62"/>
      <c r="K63" s="62"/>
      <c r="L63" s="62"/>
    </row>
    <row r="64" spans="1:14" ht="15.75" customHeight="1" x14ac:dyDescent="0.25">
      <c r="J64" s="62"/>
      <c r="K64" s="62"/>
      <c r="L64" s="62"/>
    </row>
    <row r="65" spans="1:12" ht="15.75" customHeight="1" x14ac:dyDescent="0.25">
      <c r="J65" s="62"/>
      <c r="K65" s="62"/>
      <c r="L65" s="62"/>
    </row>
    <row r="66" spans="1:12" ht="15.75" customHeight="1" x14ac:dyDescent="0.25">
      <c r="J66" s="62"/>
      <c r="K66" s="62"/>
      <c r="L66" s="62"/>
    </row>
    <row r="67" spans="1:12" ht="15.75" customHeight="1" x14ac:dyDescent="0.25">
      <c r="J67" s="62"/>
      <c r="K67" s="62"/>
      <c r="L67" s="62"/>
    </row>
    <row r="68" spans="1:12" ht="15.75" customHeight="1" x14ac:dyDescent="0.25">
      <c r="J68" s="62"/>
      <c r="K68" s="62"/>
      <c r="L68" s="62"/>
    </row>
    <row r="69" spans="1:12" ht="15.75" customHeight="1" x14ac:dyDescent="0.25">
      <c r="J69" s="62"/>
      <c r="K69" s="62"/>
      <c r="L69" s="62"/>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1"/>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2"/>
      <c r="J105" s="62"/>
      <c r="K105" s="62"/>
    </row>
    <row r="106" spans="1:12" x14ac:dyDescent="0.25">
      <c r="A106"/>
      <c r="B106"/>
      <c r="C106"/>
      <c r="D106"/>
      <c r="E106"/>
      <c r="F106"/>
      <c r="H106"/>
      <c r="I106" s="62"/>
      <c r="J106" s="62"/>
      <c r="K106" s="62"/>
    </row>
    <row r="107" spans="1:12" x14ac:dyDescent="0.25">
      <c r="D107"/>
      <c r="E107"/>
      <c r="F107"/>
      <c r="H107"/>
      <c r="I107" s="62"/>
      <c r="J107" s="62"/>
      <c r="K107" s="62"/>
    </row>
    <row r="108" spans="1:12" x14ac:dyDescent="0.25">
      <c r="D108"/>
      <c r="E108"/>
      <c r="F108"/>
      <c r="H108"/>
      <c r="I108"/>
      <c r="J108"/>
      <c r="K108"/>
    </row>
    <row r="109" spans="1:12" x14ac:dyDescent="0.25">
      <c r="A109" s="71"/>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1"/>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2"/>
      <c r="K118" s="62"/>
    </row>
    <row r="119" spans="1:11" x14ac:dyDescent="0.25">
      <c r="A119"/>
      <c r="B119"/>
      <c r="C119"/>
      <c r="D119"/>
      <c r="E119"/>
      <c r="F119"/>
      <c r="H119"/>
      <c r="I119"/>
      <c r="J119" s="62"/>
      <c r="K119" s="62"/>
    </row>
    <row r="120" spans="1:11" x14ac:dyDescent="0.25">
      <c r="A120"/>
      <c r="B120"/>
      <c r="C120"/>
      <c r="D120"/>
      <c r="E120"/>
      <c r="F120"/>
      <c r="H120"/>
      <c r="I120"/>
      <c r="J120" s="62"/>
      <c r="K120" s="62"/>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2"/>
      <c r="J124" s="62"/>
    </row>
    <row r="125" spans="1:11" x14ac:dyDescent="0.25">
      <c r="A125"/>
      <c r="B125" s="62"/>
      <c r="C125" s="62"/>
      <c r="D125"/>
      <c r="E125"/>
      <c r="F125"/>
      <c r="G125"/>
      <c r="H125"/>
      <c r="I125" s="62"/>
      <c r="J125" s="62"/>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2"/>
      <c r="C129" s="62"/>
      <c r="D129"/>
      <c r="F129"/>
      <c r="G129"/>
      <c r="H129"/>
      <c r="I129"/>
      <c r="J129"/>
    </row>
    <row r="130" spans="1:10" x14ac:dyDescent="0.25">
      <c r="A130"/>
      <c r="B130" s="62"/>
      <c r="C130" s="62"/>
      <c r="D130"/>
      <c r="F130"/>
      <c r="G130"/>
      <c r="H130"/>
      <c r="I130"/>
      <c r="J130"/>
    </row>
    <row r="131" spans="1:10" x14ac:dyDescent="0.25">
      <c r="A131"/>
      <c r="B131" s="62"/>
      <c r="C131" s="62"/>
      <c r="D131"/>
      <c r="F131"/>
    </row>
    <row r="132" spans="1:10" x14ac:dyDescent="0.25">
      <c r="A132"/>
      <c r="B132"/>
      <c r="C132"/>
      <c r="D132"/>
      <c r="F132"/>
    </row>
    <row r="133" spans="1:10" x14ac:dyDescent="0.25">
      <c r="A133"/>
      <c r="B133" s="62"/>
      <c r="C133" s="62"/>
      <c r="D133"/>
      <c r="F133"/>
    </row>
    <row r="134" spans="1:10" x14ac:dyDescent="0.25">
      <c r="A134"/>
      <c r="B134" s="62"/>
      <c r="C134" s="62"/>
      <c r="D134"/>
      <c r="F134"/>
    </row>
    <row r="135" spans="1:10" x14ac:dyDescent="0.25">
      <c r="A135"/>
      <c r="B135" s="62"/>
      <c r="C135" s="62"/>
      <c r="D135"/>
      <c r="F135"/>
    </row>
    <row r="136" spans="1:10" x14ac:dyDescent="0.25">
      <c r="A136"/>
      <c r="B136"/>
      <c r="C136"/>
      <c r="D136"/>
      <c r="F136"/>
    </row>
    <row r="137" spans="1:10" x14ac:dyDescent="0.25">
      <c r="A137"/>
      <c r="B137" s="62"/>
      <c r="C137" s="62"/>
      <c r="D137"/>
      <c r="F137"/>
    </row>
    <row r="138" spans="1:10" x14ac:dyDescent="0.25">
      <c r="A138"/>
      <c r="B138" s="62"/>
      <c r="C138" s="62"/>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zoomScaleNormal="100" workbookViewId="0">
      <selection activeCell="Q27" sqref="Q27"/>
    </sheetView>
  </sheetViews>
  <sheetFormatPr defaultColWidth="11.44140625" defaultRowHeight="15.6" customHeight="1" x14ac:dyDescent="0.25"/>
  <cols>
    <col min="1" max="1" width="27.109375" style="1" customWidth="1"/>
    <col min="2" max="4" width="10.5546875" style="1" customWidth="1"/>
    <col min="5" max="7" width="7.5546875" style="1" customWidth="1"/>
    <col min="8" max="16384" width="11.44140625" style="1"/>
  </cols>
  <sheetData>
    <row r="1" spans="1:7" ht="6" customHeight="1" x14ac:dyDescent="0.25"/>
    <row r="2" spans="1:7" ht="15.6" customHeight="1" x14ac:dyDescent="0.25">
      <c r="A2" s="85"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1"/>
      <c r="B5" s="67"/>
      <c r="C5" s="67"/>
      <c r="D5" s="67"/>
      <c r="E5" s="67"/>
      <c r="F5" s="67"/>
      <c r="G5" s="67"/>
    </row>
    <row r="6" spans="1:7" ht="15.6" customHeight="1" x14ac:dyDescent="0.3">
      <c r="A6" s="81"/>
      <c r="B6" s="67"/>
      <c r="C6" s="67"/>
      <c r="D6" s="67"/>
      <c r="E6" s="67"/>
      <c r="F6" s="67"/>
      <c r="G6" s="67"/>
    </row>
    <row r="7" spans="1:7" ht="15.6" customHeight="1" x14ac:dyDescent="0.3">
      <c r="A7" s="66"/>
      <c r="B7" s="66"/>
      <c r="C7" s="66"/>
      <c r="D7" s="66"/>
      <c r="E7" s="66"/>
      <c r="F7" s="66"/>
      <c r="G7" s="66"/>
    </row>
    <row r="8" spans="1:7" ht="15.6" customHeight="1" x14ac:dyDescent="0.3">
      <c r="A8" s="66"/>
      <c r="B8" s="66"/>
      <c r="C8" s="66"/>
      <c r="D8" s="66"/>
      <c r="E8" s="66"/>
      <c r="F8" s="66"/>
      <c r="G8" s="66"/>
    </row>
    <row r="9" spans="1:7" ht="15.6" customHeight="1" x14ac:dyDescent="0.3">
      <c r="A9" s="66"/>
      <c r="B9" s="66"/>
      <c r="C9" s="66"/>
      <c r="D9" s="66"/>
      <c r="E9" s="66"/>
      <c r="F9" s="66"/>
      <c r="G9" s="66"/>
    </row>
    <row r="10" spans="1:7" ht="15.6" customHeight="1" x14ac:dyDescent="0.3">
      <c r="A10" s="66"/>
      <c r="B10" s="66"/>
      <c r="C10" s="66"/>
      <c r="D10" s="66"/>
      <c r="E10" s="66"/>
      <c r="F10" s="66"/>
      <c r="G10" s="66"/>
    </row>
    <row r="11" spans="1:7" ht="15.6" customHeight="1" x14ac:dyDescent="0.3">
      <c r="A11" s="66"/>
      <c r="B11" s="66"/>
      <c r="C11" s="66"/>
      <c r="D11" s="66"/>
      <c r="E11" s="66"/>
      <c r="F11" s="66"/>
      <c r="G11" s="66"/>
    </row>
    <row r="12" spans="1:7" ht="15.6" customHeight="1" x14ac:dyDescent="0.3">
      <c r="A12" s="66"/>
      <c r="B12" s="66"/>
      <c r="C12" s="66"/>
      <c r="D12" s="66"/>
      <c r="E12" s="66"/>
      <c r="F12" s="66"/>
      <c r="G12" s="66"/>
    </row>
    <row r="13" spans="1:7" ht="15.6" customHeight="1" x14ac:dyDescent="0.3">
      <c r="A13" s="66"/>
      <c r="B13" s="66"/>
      <c r="C13" s="66"/>
      <c r="D13" s="66"/>
      <c r="E13" s="66"/>
      <c r="F13" s="66"/>
      <c r="G13" s="66"/>
    </row>
    <row r="14" spans="1:7" ht="15.6" customHeight="1" x14ac:dyDescent="0.3">
      <c r="A14" s="66"/>
      <c r="B14" s="66"/>
      <c r="C14" s="66"/>
      <c r="D14" s="66"/>
      <c r="E14" s="66"/>
      <c r="F14" s="66"/>
      <c r="G14" s="66"/>
    </row>
    <row r="15" spans="1:7" ht="15.6" customHeight="1" x14ac:dyDescent="0.3">
      <c r="A15" s="66"/>
      <c r="B15" s="66"/>
      <c r="C15" s="66"/>
      <c r="D15" s="66"/>
      <c r="E15" s="66"/>
      <c r="F15" s="66"/>
      <c r="G15" s="66"/>
    </row>
    <row r="16" spans="1:7" ht="15.6" customHeight="1" x14ac:dyDescent="0.3">
      <c r="A16" s="66"/>
      <c r="B16" s="66"/>
      <c r="C16" s="66"/>
      <c r="D16" s="66"/>
      <c r="E16" s="66"/>
      <c r="F16" s="66"/>
      <c r="G16" s="66"/>
    </row>
    <row r="17" spans="1:13" ht="15.6" customHeight="1" x14ac:dyDescent="0.3">
      <c r="A17" s="66"/>
      <c r="B17" s="66"/>
      <c r="C17" s="66"/>
      <c r="D17" s="66"/>
      <c r="E17" s="66"/>
      <c r="F17" s="66"/>
      <c r="G17" s="66"/>
    </row>
    <row r="18" spans="1:13" ht="15.6" customHeight="1" x14ac:dyDescent="0.3">
      <c r="A18" s="66"/>
      <c r="B18" s="66"/>
      <c r="C18" s="66"/>
      <c r="D18" s="66"/>
      <c r="E18" s="66"/>
      <c r="F18" s="66"/>
      <c r="G18" s="66"/>
    </row>
    <row r="19" spans="1:13" ht="15.6" customHeight="1" x14ac:dyDescent="0.3">
      <c r="A19" s="66"/>
      <c r="B19" s="66"/>
      <c r="C19" s="66"/>
      <c r="D19" s="66"/>
      <c r="E19" s="66"/>
      <c r="F19" s="66"/>
      <c r="G19" s="66"/>
    </row>
    <row r="20" spans="1:13" ht="15.6" customHeight="1" x14ac:dyDescent="0.3">
      <c r="A20" s="66"/>
      <c r="B20" s="66"/>
      <c r="C20" s="66"/>
      <c r="D20" s="66"/>
      <c r="E20" s="66"/>
      <c r="F20" s="66"/>
      <c r="G20" s="66"/>
    </row>
    <row r="21" spans="1:13" ht="15.6" customHeight="1" x14ac:dyDescent="0.3">
      <c r="A21" s="66"/>
      <c r="B21" s="66"/>
      <c r="C21" s="66"/>
      <c r="D21" s="66"/>
      <c r="E21" s="66"/>
      <c r="F21" s="66"/>
      <c r="G21" s="66"/>
    </row>
    <row r="22" spans="1:13" ht="15.6" customHeight="1" x14ac:dyDescent="0.3">
      <c r="A22" s="66"/>
      <c r="B22" s="66"/>
      <c r="C22" s="66"/>
      <c r="D22" s="66"/>
      <c r="E22" s="66"/>
      <c r="F22" s="66"/>
      <c r="G22" s="66"/>
    </row>
    <row r="23" spans="1:13" ht="15.6" customHeight="1" x14ac:dyDescent="0.3">
      <c r="A23" s="66"/>
      <c r="B23" s="66"/>
      <c r="C23" s="66"/>
      <c r="D23" s="66"/>
      <c r="E23" s="66"/>
      <c r="F23" s="66"/>
      <c r="G23" s="66"/>
    </row>
    <row r="24" spans="1:13" ht="15.6" customHeight="1" x14ac:dyDescent="0.3">
      <c r="A24" s="66"/>
      <c r="B24" s="66"/>
      <c r="C24" s="66"/>
      <c r="D24" s="66"/>
      <c r="E24" s="66"/>
      <c r="F24" s="66"/>
      <c r="G24" s="66"/>
    </row>
    <row r="25" spans="1:13" ht="15.6" customHeight="1" x14ac:dyDescent="0.3">
      <c r="A25" s="66"/>
      <c r="B25" s="66"/>
      <c r="C25" s="66"/>
      <c r="D25" s="66"/>
      <c r="E25" s="66"/>
      <c r="F25" s="66"/>
      <c r="G25" s="66"/>
    </row>
    <row r="26" spans="1:13" ht="15.6" customHeight="1" x14ac:dyDescent="0.3">
      <c r="A26" s="66"/>
      <c r="B26" s="66"/>
      <c r="C26" s="66"/>
      <c r="D26" s="66"/>
      <c r="E26" s="66"/>
      <c r="F26" s="66"/>
      <c r="G26" s="66"/>
    </row>
    <row r="27" spans="1:13" ht="15.6" customHeight="1" x14ac:dyDescent="0.3">
      <c r="A27" s="66"/>
      <c r="B27" s="66"/>
      <c r="C27" s="66"/>
      <c r="D27" s="66"/>
      <c r="E27" s="66"/>
      <c r="F27" s="66"/>
      <c r="G27" s="66"/>
    </row>
    <row r="28" spans="1:13" ht="15.6" customHeight="1" x14ac:dyDescent="0.3">
      <c r="A28" s="66"/>
      <c r="B28" s="66"/>
      <c r="C28" s="66"/>
      <c r="D28" s="66"/>
      <c r="E28" s="66"/>
      <c r="F28" s="66"/>
      <c r="G28" s="66"/>
      <c r="M28" s="70"/>
    </row>
    <row r="29" spans="1:13" ht="15.6" customHeight="1" x14ac:dyDescent="0.3">
      <c r="A29" s="66"/>
      <c r="B29" s="66"/>
      <c r="C29" s="66"/>
      <c r="D29" s="66"/>
      <c r="E29" s="66"/>
      <c r="F29" s="66"/>
      <c r="G29" s="66"/>
      <c r="M29" s="70"/>
    </row>
    <row r="30" spans="1:13" ht="15.6" customHeight="1" x14ac:dyDescent="0.3">
      <c r="A30" s="66"/>
      <c r="B30" s="66"/>
      <c r="C30" s="66"/>
      <c r="D30" s="66"/>
      <c r="E30" s="66"/>
      <c r="F30" s="66"/>
      <c r="G30" s="66"/>
      <c r="M30" s="70"/>
    </row>
    <row r="31" spans="1:13" ht="15.6" customHeight="1" x14ac:dyDescent="0.3">
      <c r="A31" s="66"/>
      <c r="B31" s="66"/>
      <c r="C31" s="66"/>
      <c r="D31" s="66"/>
      <c r="E31" s="66"/>
      <c r="F31" s="66"/>
      <c r="G31" s="66"/>
      <c r="M31" s="70"/>
    </row>
    <row r="32" spans="1:13" ht="15.6" customHeight="1" x14ac:dyDescent="0.3">
      <c r="A32" s="66"/>
      <c r="B32" s="66"/>
      <c r="C32" s="66"/>
      <c r="D32" s="66"/>
      <c r="E32" s="66"/>
      <c r="F32" s="66"/>
      <c r="G32" s="66"/>
      <c r="M32" s="70"/>
    </row>
    <row r="33" spans="1:13" ht="15.6" customHeight="1" x14ac:dyDescent="0.3">
      <c r="A33" s="66"/>
      <c r="B33" s="66"/>
      <c r="C33" s="66"/>
      <c r="D33" s="66"/>
      <c r="E33" s="66"/>
      <c r="F33" s="66"/>
      <c r="G33" s="66"/>
      <c r="M33" s="70"/>
    </row>
    <row r="34" spans="1:13" ht="15.6" customHeight="1" x14ac:dyDescent="0.3">
      <c r="A34" s="66"/>
      <c r="B34" s="66"/>
      <c r="C34" s="66"/>
      <c r="D34" s="66"/>
      <c r="E34" s="66"/>
      <c r="F34" s="66"/>
      <c r="G34" s="66"/>
      <c r="M34" s="70"/>
    </row>
    <row r="35" spans="1:13" ht="15.6" customHeight="1" x14ac:dyDescent="0.3">
      <c r="A35" s="66"/>
      <c r="B35" s="66"/>
      <c r="C35" s="66"/>
      <c r="D35" s="66"/>
      <c r="E35" s="66"/>
      <c r="F35" s="66"/>
      <c r="G35" s="66"/>
      <c r="M35" s="70"/>
    </row>
    <row r="36" spans="1:13" ht="15.6" customHeight="1" x14ac:dyDescent="0.3">
      <c r="A36" s="66"/>
      <c r="B36" s="66"/>
      <c r="C36" s="66"/>
      <c r="D36" s="66"/>
      <c r="E36" s="66"/>
      <c r="F36" s="66"/>
      <c r="G36" s="66"/>
      <c r="M36" s="70"/>
    </row>
    <row r="37" spans="1:13" ht="15.6" customHeight="1" x14ac:dyDescent="0.3">
      <c r="A37" s="66"/>
      <c r="B37" s="66"/>
      <c r="C37" s="66"/>
      <c r="D37" s="66"/>
      <c r="E37" s="66"/>
      <c r="F37" s="66"/>
      <c r="G37" s="66"/>
      <c r="M37" s="70"/>
    </row>
    <row r="38" spans="1:13" ht="15.6" customHeight="1" x14ac:dyDescent="0.3">
      <c r="A38" s="66"/>
      <c r="B38" s="66"/>
      <c r="C38" s="66"/>
      <c r="D38" s="66"/>
      <c r="E38" s="66"/>
      <c r="F38" s="66"/>
      <c r="G38" s="66"/>
      <c r="M38" s="70"/>
    </row>
    <row r="39" spans="1:13" ht="15.6" customHeight="1" x14ac:dyDescent="0.3">
      <c r="A39" s="66"/>
      <c r="B39" s="66"/>
      <c r="C39" s="66"/>
      <c r="D39" s="66"/>
      <c r="E39" s="66"/>
      <c r="F39" s="66"/>
      <c r="G39" s="66"/>
      <c r="M39" s="70"/>
    </row>
    <row r="40" spans="1:13" ht="15.6" customHeight="1" x14ac:dyDescent="0.3">
      <c r="A40" s="66"/>
      <c r="B40" s="66"/>
      <c r="C40" s="66"/>
      <c r="D40" s="66"/>
      <c r="E40" s="66"/>
      <c r="F40" s="66"/>
      <c r="G40" s="66"/>
      <c r="M40" s="70"/>
    </row>
    <row r="41" spans="1:13" ht="15.6" customHeight="1" x14ac:dyDescent="0.3">
      <c r="A41" s="66"/>
      <c r="B41" s="66"/>
      <c r="C41" s="66"/>
      <c r="D41" s="66"/>
      <c r="E41" s="66"/>
      <c r="F41" s="66"/>
      <c r="G41" s="66"/>
      <c r="M41" s="70"/>
    </row>
    <row r="42" spans="1:13" ht="15.6" customHeight="1" x14ac:dyDescent="0.3">
      <c r="A42" s="66"/>
      <c r="B42" s="66"/>
      <c r="C42" s="66"/>
      <c r="D42" s="66"/>
      <c r="E42" s="66"/>
      <c r="F42" s="66"/>
      <c r="G42" s="66"/>
      <c r="M42" s="70"/>
    </row>
    <row r="43" spans="1:13" ht="15.6" customHeight="1" x14ac:dyDescent="0.3">
      <c r="A43" s="66"/>
      <c r="B43" s="66"/>
      <c r="C43" s="66"/>
      <c r="D43" s="66"/>
      <c r="E43" s="66"/>
      <c r="F43" s="66"/>
      <c r="G43" s="66"/>
      <c r="M43" s="70"/>
    </row>
    <row r="44" spans="1:13" ht="15.6" customHeight="1" x14ac:dyDescent="0.3">
      <c r="A44" s="66"/>
      <c r="B44" s="66"/>
      <c r="C44" s="66"/>
      <c r="D44" s="66"/>
      <c r="E44" s="66"/>
      <c r="F44" s="66"/>
      <c r="G44" s="66"/>
      <c r="M44" s="70"/>
    </row>
    <row r="45" spans="1:13" ht="15.6" customHeight="1" x14ac:dyDescent="0.3">
      <c r="A45" s="66"/>
      <c r="B45" s="66"/>
      <c r="C45" s="66"/>
      <c r="D45" s="66"/>
      <c r="E45" s="66"/>
      <c r="F45" s="66"/>
      <c r="G45" s="66"/>
      <c r="M45" s="70"/>
    </row>
    <row r="46" spans="1:13" ht="15.6" customHeight="1" x14ac:dyDescent="0.3">
      <c r="A46" s="86"/>
      <c r="B46" s="66"/>
      <c r="C46" s="66"/>
      <c r="D46" s="66"/>
      <c r="E46" s="66"/>
      <c r="F46" s="66"/>
      <c r="G46" s="66"/>
      <c r="M46" s="70"/>
    </row>
    <row r="47" spans="1:13" ht="15.6" customHeight="1" x14ac:dyDescent="0.3">
      <c r="A47" s="86"/>
      <c r="B47" s="66"/>
      <c r="C47" s="66"/>
      <c r="D47" s="66"/>
      <c r="E47" s="66"/>
      <c r="F47" s="66"/>
      <c r="G47" s="66"/>
      <c r="M47" s="70"/>
    </row>
    <row r="48" spans="1:13" ht="15.6" customHeight="1" x14ac:dyDescent="0.3">
      <c r="A48" s="47" t="s">
        <v>231</v>
      </c>
      <c r="B48" s="66"/>
      <c r="C48" s="66"/>
      <c r="D48" s="66"/>
      <c r="E48" s="66"/>
      <c r="F48" s="66"/>
      <c r="G48" s="66"/>
      <c r="M48" s="70"/>
    </row>
    <row r="49" spans="1:13" ht="15.6" customHeight="1" x14ac:dyDescent="0.3">
      <c r="A49" s="47" t="s">
        <v>232</v>
      </c>
      <c r="B49" s="66"/>
      <c r="C49" s="66"/>
      <c r="D49" s="66"/>
      <c r="E49" s="66"/>
      <c r="F49" s="66"/>
      <c r="G49" s="66"/>
      <c r="M49" s="70"/>
    </row>
    <row r="50" spans="1:13" ht="15.6" customHeight="1" x14ac:dyDescent="0.25">
      <c r="A50" s="136" t="s">
        <v>233</v>
      </c>
      <c r="B50" s="50"/>
      <c r="C50" s="50"/>
      <c r="D50" s="50"/>
      <c r="E50" s="50"/>
      <c r="F50" s="50"/>
      <c r="G50" s="50"/>
      <c r="H50" s="70"/>
    </row>
    <row r="51" spans="1:13" ht="15.6" customHeight="1" x14ac:dyDescent="0.25">
      <c r="A51" s="52" t="str">
        <f>+Innhold!B123</f>
        <v>Finans Norge / Skadeforsikringsstatistikk</v>
      </c>
      <c r="G51" s="187">
        <v>3</v>
      </c>
      <c r="H51" s="70"/>
    </row>
    <row r="52" spans="1:13" ht="15.6" customHeight="1" x14ac:dyDescent="0.25">
      <c r="A52" s="52" t="str">
        <f>+Innhold!B124</f>
        <v>Skadestatistikk for landbasert forsikring 2. kvartal 2025</v>
      </c>
      <c r="G52" s="188"/>
      <c r="H52" s="70"/>
    </row>
    <row r="53" spans="1:13" ht="15.6" customHeight="1" x14ac:dyDescent="0.25">
      <c r="H53" s="70"/>
    </row>
    <row r="59" spans="1:13" ht="15.6" customHeight="1" x14ac:dyDescent="0.25">
      <c r="J59"/>
      <c r="K59"/>
      <c r="L59"/>
    </row>
    <row r="60" spans="1:13" ht="15.6" customHeight="1" x14ac:dyDescent="0.25">
      <c r="J60" s="64"/>
      <c r="K60" s="65"/>
      <c r="L60" s="65"/>
    </row>
    <row r="61" spans="1:13" ht="15.6" customHeight="1" x14ac:dyDescent="0.25">
      <c r="J61" s="63"/>
      <c r="K61"/>
      <c r="L61"/>
    </row>
    <row r="62" spans="1:13" ht="15.6" customHeight="1" x14ac:dyDescent="0.25">
      <c r="J62" s="62"/>
      <c r="K62" s="62"/>
      <c r="L62" s="62"/>
    </row>
    <row r="63" spans="1:13" ht="15.6" customHeight="1" x14ac:dyDescent="0.25">
      <c r="J63" s="62"/>
      <c r="K63" s="62"/>
      <c r="L63" s="62"/>
    </row>
    <row r="64" spans="1:13" ht="15.6" customHeight="1" x14ac:dyDescent="0.25">
      <c r="J64" s="62"/>
      <c r="K64" s="62"/>
      <c r="L64" s="62"/>
    </row>
    <row r="65" spans="1:12" ht="15.6" customHeight="1" x14ac:dyDescent="0.25">
      <c r="J65" s="62"/>
      <c r="K65" s="62"/>
      <c r="L65" s="62"/>
    </row>
    <row r="66" spans="1:12" ht="15.6" customHeight="1" x14ac:dyDescent="0.25">
      <c r="J66" s="62"/>
      <c r="K66" s="62"/>
      <c r="L66" s="62"/>
    </row>
    <row r="67" spans="1:12" ht="15.6" customHeight="1" x14ac:dyDescent="0.25">
      <c r="J67" s="62"/>
      <c r="K67" s="62"/>
      <c r="L67" s="62"/>
    </row>
    <row r="68" spans="1:12" ht="15.6" customHeight="1" x14ac:dyDescent="0.25">
      <c r="J68" s="62"/>
      <c r="K68" s="62"/>
      <c r="L68" s="62"/>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1"/>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2"/>
      <c r="J104" s="62"/>
      <c r="K104" s="62"/>
    </row>
    <row r="105" spans="1:12" ht="15.6" customHeight="1" x14ac:dyDescent="0.25">
      <c r="A105"/>
      <c r="B105"/>
      <c r="C105"/>
      <c r="D105"/>
      <c r="E105"/>
      <c r="F105"/>
      <c r="H105"/>
      <c r="I105" s="62"/>
      <c r="J105" s="62"/>
      <c r="K105" s="62"/>
    </row>
    <row r="106" spans="1:12" ht="15.6" customHeight="1" x14ac:dyDescent="0.25">
      <c r="D106"/>
      <c r="E106"/>
      <c r="F106"/>
      <c r="H106"/>
      <c r="I106" s="62"/>
      <c r="J106" s="62"/>
      <c r="K106" s="62"/>
    </row>
    <row r="107" spans="1:12" ht="15.6" customHeight="1" x14ac:dyDescent="0.25">
      <c r="D107"/>
      <c r="E107"/>
      <c r="F107"/>
      <c r="H107"/>
      <c r="I107"/>
      <c r="J107"/>
      <c r="K107"/>
    </row>
    <row r="108" spans="1:12" ht="15.6" customHeight="1" x14ac:dyDescent="0.25">
      <c r="A108" s="71"/>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1"/>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2"/>
      <c r="K117" s="62"/>
    </row>
    <row r="118" spans="1:11" ht="15.6" customHeight="1" x14ac:dyDescent="0.25">
      <c r="A118"/>
      <c r="B118"/>
      <c r="C118"/>
      <c r="D118"/>
      <c r="E118"/>
      <c r="F118"/>
      <c r="H118"/>
      <c r="I118"/>
      <c r="J118" s="62"/>
      <c r="K118" s="62"/>
    </row>
    <row r="119" spans="1:11" ht="15.6" customHeight="1" x14ac:dyDescent="0.25">
      <c r="A119"/>
      <c r="B119"/>
      <c r="C119"/>
      <c r="D119"/>
      <c r="E119"/>
      <c r="F119"/>
      <c r="H119"/>
      <c r="I119"/>
      <c r="J119" s="62"/>
      <c r="K119" s="62"/>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2"/>
      <c r="J123" s="62"/>
    </row>
    <row r="124" spans="1:11" ht="15.6" customHeight="1" x14ac:dyDescent="0.25">
      <c r="A124"/>
      <c r="B124" s="62"/>
      <c r="C124" s="62"/>
      <c r="D124"/>
      <c r="E124"/>
      <c r="F124"/>
      <c r="G124"/>
      <c r="H124"/>
      <c r="I124" s="62"/>
      <c r="J124" s="62"/>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2"/>
      <c r="C128" s="62"/>
      <c r="D128"/>
      <c r="F128"/>
      <c r="G128"/>
      <c r="H128"/>
      <c r="I128"/>
      <c r="J128"/>
    </row>
    <row r="129" spans="1:10" ht="15.6" customHeight="1" x14ac:dyDescent="0.25">
      <c r="A129"/>
      <c r="B129" s="62"/>
      <c r="C129" s="62"/>
      <c r="D129"/>
      <c r="F129"/>
      <c r="G129"/>
      <c r="H129"/>
      <c r="I129"/>
      <c r="J129"/>
    </row>
    <row r="130" spans="1:10" ht="15.6" customHeight="1" x14ac:dyDescent="0.25">
      <c r="A130"/>
      <c r="B130" s="62"/>
      <c r="C130" s="62"/>
      <c r="D130"/>
      <c r="F130"/>
    </row>
    <row r="131" spans="1:10" ht="15.6" customHeight="1" x14ac:dyDescent="0.25">
      <c r="A131"/>
      <c r="B131"/>
      <c r="C131"/>
      <c r="D131"/>
      <c r="F131"/>
    </row>
    <row r="132" spans="1:10" ht="15.6" customHeight="1" x14ac:dyDescent="0.25">
      <c r="A132"/>
      <c r="B132" s="62"/>
      <c r="C132" s="62"/>
      <c r="D132"/>
      <c r="F132"/>
    </row>
    <row r="133" spans="1:10" ht="15.6" customHeight="1" x14ac:dyDescent="0.25">
      <c r="A133"/>
      <c r="B133" s="62"/>
      <c r="C133" s="62"/>
      <c r="D133"/>
      <c r="F133"/>
    </row>
    <row r="134" spans="1:10" ht="15.6" customHeight="1" x14ac:dyDescent="0.25">
      <c r="A134"/>
      <c r="B134" s="62"/>
      <c r="C134" s="62"/>
      <c r="D134"/>
      <c r="F134"/>
    </row>
    <row r="135" spans="1:10" ht="15.6" customHeight="1" x14ac:dyDescent="0.25">
      <c r="A135"/>
      <c r="B135"/>
      <c r="C135"/>
      <c r="D135"/>
      <c r="F135"/>
    </row>
    <row r="136" spans="1:10" ht="15.6" customHeight="1" x14ac:dyDescent="0.25">
      <c r="A136"/>
      <c r="B136" s="62"/>
      <c r="C136" s="62"/>
      <c r="D136"/>
      <c r="F136"/>
    </row>
    <row r="137" spans="1:10" ht="15.6" customHeight="1" x14ac:dyDescent="0.25">
      <c r="A137"/>
      <c r="B137" s="62"/>
      <c r="C137" s="62"/>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64"/>
  <sheetViews>
    <sheetView showGridLines="0" zoomScaleNormal="100" workbookViewId="0">
      <selection activeCell="L69" sqref="L69"/>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134" t="s">
        <v>0</v>
      </c>
      <c r="B2" s="2"/>
      <c r="C2" s="2"/>
      <c r="D2" s="2"/>
      <c r="E2" s="2"/>
      <c r="F2" s="2"/>
      <c r="G2" s="2"/>
    </row>
    <row r="3" spans="1:36" ht="6" customHeight="1" x14ac:dyDescent="0.25">
      <c r="A3" s="135"/>
      <c r="B3" s="2"/>
      <c r="C3" s="2"/>
      <c r="D3" s="2"/>
      <c r="E3" s="2"/>
      <c r="F3" s="2"/>
      <c r="G3" s="2"/>
    </row>
    <row r="4" spans="1:36" ht="12.75" customHeight="1" x14ac:dyDescent="0.25">
      <c r="A4" s="189" t="s">
        <v>90</v>
      </c>
      <c r="B4" s="2"/>
      <c r="C4" s="2"/>
      <c r="D4" s="2"/>
      <c r="E4" s="2"/>
      <c r="F4" s="2"/>
      <c r="G4" s="2"/>
    </row>
    <row r="5" spans="1:36" ht="12.75" customHeight="1" x14ac:dyDescent="0.25">
      <c r="A5" s="189"/>
      <c r="B5" s="2"/>
      <c r="C5" s="2"/>
      <c r="D5" s="2"/>
      <c r="E5" s="2"/>
      <c r="F5" s="2"/>
      <c r="G5" s="2"/>
    </row>
    <row r="6" spans="1:36" ht="15.6" x14ac:dyDescent="0.3">
      <c r="A6" s="4" t="str">
        <f>"Figur 1. Antall meldte skader etter bransjer "&amp;'Tab3'!H63</f>
        <v xml:space="preserve">Figur 1. Antall meldte skader etter bransjer </v>
      </c>
      <c r="B6" s="2"/>
      <c r="C6" s="2"/>
      <c r="D6" s="2"/>
      <c r="E6" s="2"/>
      <c r="F6" s="2"/>
      <c r="G6" s="2"/>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135"/>
      <c r="B7" s="2"/>
      <c r="C7" s="2"/>
      <c r="D7" s="2"/>
      <c r="E7" s="2"/>
      <c r="F7" s="2"/>
      <c r="G7" s="2"/>
      <c r="V7" s="81"/>
      <c r="AJ7" s="81"/>
    </row>
    <row r="8" spans="1:36" x14ac:dyDescent="0.25">
      <c r="A8" s="135"/>
      <c r="B8" s="2"/>
      <c r="C8" s="2"/>
      <c r="D8" s="2"/>
      <c r="E8" s="2"/>
      <c r="F8" s="2"/>
      <c r="G8" s="2"/>
    </row>
    <row r="9" spans="1:36" x14ac:dyDescent="0.25">
      <c r="A9" s="135"/>
      <c r="B9" s="2"/>
      <c r="C9" s="2"/>
      <c r="D9" s="2"/>
      <c r="E9" s="2"/>
      <c r="F9" s="2"/>
      <c r="G9" s="2"/>
    </row>
    <row r="10" spans="1:36" x14ac:dyDescent="0.25">
      <c r="A10" s="135"/>
      <c r="B10" s="2"/>
      <c r="C10" s="2"/>
      <c r="D10" s="2"/>
      <c r="E10" s="2"/>
      <c r="F10" s="2"/>
      <c r="G10" s="2"/>
    </row>
    <row r="11" spans="1:36" x14ac:dyDescent="0.25">
      <c r="A11" s="135"/>
      <c r="B11" s="2"/>
      <c r="C11" s="2"/>
      <c r="D11" s="2"/>
      <c r="E11" s="2"/>
      <c r="F11" s="2"/>
      <c r="G11" s="2"/>
    </row>
    <row r="12" spans="1:36" x14ac:dyDescent="0.25">
      <c r="A12" s="135"/>
      <c r="B12" s="2"/>
      <c r="C12" s="2"/>
      <c r="D12" s="2"/>
      <c r="E12" s="2"/>
      <c r="F12" s="2"/>
      <c r="G12" s="2"/>
    </row>
    <row r="13" spans="1:36" x14ac:dyDescent="0.25">
      <c r="A13" s="135"/>
      <c r="B13" s="2"/>
      <c r="C13" s="2"/>
      <c r="D13" s="2"/>
      <c r="E13" s="2"/>
      <c r="F13" s="2"/>
      <c r="G13" s="2"/>
    </row>
    <row r="14" spans="1:36" x14ac:dyDescent="0.25">
      <c r="A14" s="135"/>
      <c r="B14" s="2"/>
      <c r="C14" s="2"/>
      <c r="D14" s="2"/>
      <c r="E14" s="2"/>
      <c r="F14" s="2"/>
      <c r="G14" s="2"/>
    </row>
    <row r="15" spans="1:36" x14ac:dyDescent="0.25">
      <c r="A15" s="135"/>
      <c r="B15" s="2"/>
      <c r="C15" s="2"/>
      <c r="D15" s="2"/>
      <c r="E15" s="2"/>
      <c r="F15" s="2"/>
      <c r="G15" s="2"/>
    </row>
    <row r="16" spans="1:36" x14ac:dyDescent="0.25">
      <c r="A16" s="135"/>
      <c r="B16" s="2"/>
      <c r="C16" s="2"/>
      <c r="D16" s="2"/>
      <c r="E16" s="2"/>
      <c r="F16" s="2"/>
      <c r="G16" s="2"/>
    </row>
    <row r="17" spans="1:30" x14ac:dyDescent="0.25">
      <c r="A17" s="135"/>
      <c r="B17" s="2"/>
      <c r="C17" s="2"/>
      <c r="D17" s="2"/>
      <c r="E17" s="2"/>
      <c r="F17" s="2"/>
      <c r="G17" s="2"/>
    </row>
    <row r="18" spans="1:30" x14ac:dyDescent="0.25">
      <c r="A18" s="135"/>
      <c r="B18" s="2"/>
      <c r="C18" s="2"/>
      <c r="D18" s="2"/>
      <c r="E18" s="2"/>
      <c r="F18" s="2"/>
      <c r="G18" s="2"/>
    </row>
    <row r="19" spans="1:30" x14ac:dyDescent="0.25">
      <c r="A19" s="135"/>
      <c r="B19" s="2"/>
      <c r="C19" s="2"/>
      <c r="D19" s="2"/>
      <c r="E19" s="2"/>
      <c r="F19" s="2"/>
      <c r="G19" s="2"/>
    </row>
    <row r="20" spans="1:30" x14ac:dyDescent="0.25">
      <c r="A20" s="135"/>
      <c r="B20" s="2"/>
      <c r="C20" s="2"/>
      <c r="D20" s="2"/>
      <c r="E20" s="2"/>
      <c r="F20" s="2"/>
      <c r="G20" s="2"/>
    </row>
    <row r="21" spans="1:30" x14ac:dyDescent="0.25">
      <c r="A21" s="135"/>
      <c r="B21" s="2"/>
      <c r="C21" s="2"/>
      <c r="D21" s="2"/>
      <c r="E21" s="2"/>
      <c r="F21" s="2"/>
      <c r="G21" s="2"/>
    </row>
    <row r="22" spans="1:30" x14ac:dyDescent="0.25">
      <c r="A22" s="135"/>
      <c r="B22" s="2"/>
      <c r="C22" s="2"/>
      <c r="D22" s="2"/>
      <c r="E22" s="2"/>
      <c r="F22" s="2"/>
      <c r="G22" s="2"/>
    </row>
    <row r="23" spans="1:30" x14ac:dyDescent="0.25">
      <c r="A23" s="135"/>
      <c r="B23" s="2"/>
      <c r="C23" s="2"/>
      <c r="D23" s="2"/>
      <c r="E23" s="2"/>
      <c r="F23" s="2"/>
      <c r="G23" s="2"/>
    </row>
    <row r="24" spans="1:30" x14ac:dyDescent="0.25">
      <c r="A24" s="135"/>
      <c r="B24" s="2"/>
      <c r="C24" s="2"/>
      <c r="D24" s="2"/>
      <c r="E24" s="2"/>
      <c r="F24" s="2"/>
      <c r="G24" s="2"/>
    </row>
    <row r="25" spans="1:30" x14ac:dyDescent="0.25">
      <c r="A25" s="135"/>
      <c r="B25" s="2"/>
      <c r="C25" s="2"/>
      <c r="D25" s="2"/>
      <c r="E25" s="2"/>
      <c r="F25" s="2"/>
      <c r="G25" s="2"/>
    </row>
    <row r="26" spans="1:30" x14ac:dyDescent="0.25">
      <c r="A26" s="135"/>
      <c r="B26" s="2"/>
      <c r="C26" s="2"/>
      <c r="D26" s="2"/>
      <c r="E26" s="2"/>
      <c r="F26" s="2"/>
      <c r="G26" s="2"/>
    </row>
    <row r="27" spans="1:30" x14ac:dyDescent="0.25">
      <c r="A27" s="135"/>
      <c r="B27" s="2"/>
      <c r="C27" s="2"/>
      <c r="D27" s="2"/>
      <c r="E27" s="2"/>
      <c r="F27" s="2"/>
      <c r="G27" s="2"/>
    </row>
    <row r="28" spans="1:30" x14ac:dyDescent="0.25">
      <c r="A28" s="135"/>
      <c r="B28" s="2"/>
      <c r="C28" s="2"/>
      <c r="D28" s="2"/>
      <c r="E28" s="2"/>
      <c r="F28" s="2"/>
      <c r="G28" s="2"/>
    </row>
    <row r="29" spans="1:30" x14ac:dyDescent="0.25">
      <c r="A29" s="135"/>
      <c r="B29" s="2"/>
      <c r="C29" s="2"/>
      <c r="D29" s="2"/>
      <c r="E29" s="2"/>
      <c r="F29" s="2"/>
      <c r="G29" s="2"/>
    </row>
    <row r="30" spans="1:30" x14ac:dyDescent="0.25">
      <c r="A30" s="135"/>
      <c r="B30" s="2"/>
      <c r="C30" s="2"/>
      <c r="D30" s="2"/>
      <c r="E30" s="2"/>
      <c r="F30" s="2"/>
      <c r="G30" s="2"/>
    </row>
    <row r="31" spans="1:30" x14ac:dyDescent="0.25">
      <c r="A31" s="135"/>
      <c r="B31" s="2"/>
      <c r="C31" s="2"/>
      <c r="D31" s="2"/>
      <c r="E31" s="2"/>
      <c r="F31" s="2"/>
      <c r="G31" s="2"/>
    </row>
    <row r="32" spans="1:30" ht="15.6" x14ac:dyDescent="0.3">
      <c r="A32" s="4" t="str">
        <f>"Figur 2. Antall meldte skader etter bransjer "&amp;'Tab3'!H63</f>
        <v xml:space="preserve">Figur 2. Antall meldte skader etter bransjer </v>
      </c>
      <c r="B32" s="2"/>
      <c r="C32" s="2"/>
      <c r="D32" s="2"/>
      <c r="E32" s="2"/>
      <c r="F32" s="2"/>
      <c r="G32" s="2"/>
      <c r="I32" s="4" t="str">
        <f>"Figur 4. Vannskader pr. kvartal"</f>
        <v>Figur 4. Vannskader pr. kvartal</v>
      </c>
      <c r="P32" s="4" t="str">
        <f>"Figur 6. Anslått erstatning etter skadetype, motorvogn "&amp;'Tab3'!H63&amp;" "&amp;'Tab3'!E6</f>
        <v>Figur 6. Anslått erstatning etter skadetype, motorvogn  2025</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135"/>
      <c r="B33" s="2"/>
      <c r="C33" s="2"/>
      <c r="D33" s="2"/>
      <c r="E33" s="2"/>
      <c r="F33" s="2"/>
      <c r="G33" s="2"/>
    </row>
    <row r="34" spans="1:8" x14ac:dyDescent="0.25">
      <c r="A34" s="135"/>
      <c r="B34" s="2"/>
      <c r="C34" s="2"/>
      <c r="D34" s="2"/>
      <c r="E34" s="2"/>
      <c r="F34" s="2"/>
      <c r="G34" s="2"/>
    </row>
    <row r="35" spans="1:8" x14ac:dyDescent="0.25">
      <c r="A35" s="135"/>
      <c r="B35" s="2"/>
      <c r="C35" s="2"/>
      <c r="D35" s="2"/>
      <c r="E35" s="2"/>
      <c r="F35" s="2"/>
      <c r="G35" s="2"/>
    </row>
    <row r="36" spans="1:8" x14ac:dyDescent="0.25">
      <c r="A36" s="135"/>
      <c r="B36" s="2"/>
      <c r="C36" s="2"/>
      <c r="D36" s="2"/>
      <c r="E36" s="2"/>
      <c r="F36" s="2"/>
      <c r="G36" s="2"/>
    </row>
    <row r="37" spans="1:8" x14ac:dyDescent="0.25">
      <c r="A37" s="46"/>
      <c r="B37" s="47"/>
      <c r="C37" s="48"/>
      <c r="D37" s="48"/>
      <c r="E37" s="48"/>
      <c r="F37" s="48"/>
      <c r="G37" s="49"/>
      <c r="H37" s="49"/>
    </row>
    <row r="38" spans="1:8" x14ac:dyDescent="0.25">
      <c r="A38" s="46"/>
      <c r="B38" s="47"/>
      <c r="C38" s="48"/>
      <c r="D38" s="48"/>
      <c r="E38" s="48"/>
      <c r="F38" s="48"/>
      <c r="G38" s="49"/>
      <c r="H38" s="49"/>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36" x14ac:dyDescent="0.25">
      <c r="A49" s="46"/>
      <c r="B49" s="47"/>
      <c r="C49" s="48"/>
      <c r="D49" s="48"/>
      <c r="E49" s="90"/>
      <c r="F49" s="48"/>
      <c r="G49" s="49"/>
      <c r="H49" s="49"/>
    </row>
    <row r="50" spans="1:36" x14ac:dyDescent="0.25">
      <c r="A50" s="46"/>
      <c r="B50" s="47"/>
      <c r="C50" s="48"/>
      <c r="D50" s="48"/>
      <c r="E50" s="48"/>
      <c r="F50" s="48"/>
      <c r="G50" s="49"/>
      <c r="H50" s="49"/>
    </row>
    <row r="51" spans="1:36" x14ac:dyDescent="0.25">
      <c r="A51" s="46"/>
      <c r="B51" s="47"/>
      <c r="C51" s="48"/>
      <c r="D51" s="48"/>
      <c r="E51" s="48"/>
      <c r="F51" s="48"/>
      <c r="G51" s="49"/>
      <c r="H51" s="49"/>
    </row>
    <row r="52" spans="1:36" x14ac:dyDescent="0.25">
      <c r="A52" s="46"/>
      <c r="B52" s="47"/>
      <c r="C52" s="48"/>
      <c r="D52" s="48"/>
      <c r="E52" s="48"/>
      <c r="F52" s="48"/>
      <c r="G52" s="49"/>
      <c r="H52" s="49"/>
    </row>
    <row r="53" spans="1:36" x14ac:dyDescent="0.25">
      <c r="A53" s="46"/>
      <c r="B53" s="47"/>
      <c r="C53" s="48"/>
      <c r="D53" s="48"/>
      <c r="E53" s="48"/>
      <c r="F53" s="48"/>
      <c r="G53" s="49"/>
      <c r="H53" s="49"/>
    </row>
    <row r="54" spans="1:36" x14ac:dyDescent="0.25">
      <c r="A54" s="46"/>
      <c r="B54" s="47"/>
      <c r="C54" s="48"/>
      <c r="D54" s="48"/>
      <c r="E54" s="48"/>
      <c r="F54" s="48"/>
      <c r="G54" s="49"/>
      <c r="H54" s="49"/>
    </row>
    <row r="55" spans="1:36" x14ac:dyDescent="0.25">
      <c r="A55" s="46"/>
      <c r="B55" s="47"/>
      <c r="C55" s="48"/>
      <c r="D55" s="48"/>
      <c r="E55" s="48"/>
      <c r="F55" s="48"/>
      <c r="G55" s="49"/>
      <c r="H55" s="49"/>
    </row>
    <row r="56" spans="1:36" x14ac:dyDescent="0.25">
      <c r="A56" s="46"/>
      <c r="B56" s="47"/>
      <c r="C56" s="48"/>
      <c r="D56" s="48"/>
      <c r="E56" s="48"/>
      <c r="F56" s="48"/>
      <c r="G56" s="49"/>
      <c r="H56" s="49"/>
    </row>
    <row r="57" spans="1:36" x14ac:dyDescent="0.25">
      <c r="A57" s="46"/>
      <c r="B57" s="47"/>
      <c r="C57" s="48"/>
      <c r="D57" s="48"/>
      <c r="E57" s="48"/>
      <c r="F57" s="48"/>
      <c r="G57" s="49"/>
      <c r="H57" s="49"/>
    </row>
    <row r="58" spans="1:36" x14ac:dyDescent="0.25">
      <c r="A58" s="46"/>
      <c r="B58" s="47"/>
      <c r="C58" s="48"/>
      <c r="D58" s="48"/>
      <c r="E58" s="48"/>
      <c r="F58" s="48"/>
      <c r="G58" s="49"/>
      <c r="H58" s="49"/>
    </row>
    <row r="59" spans="1:36" x14ac:dyDescent="0.25">
      <c r="A59" s="46"/>
      <c r="B59" s="47"/>
      <c r="C59" s="48"/>
      <c r="D59" s="48"/>
      <c r="E59" s="48"/>
      <c r="F59" s="48"/>
      <c r="G59" s="49"/>
      <c r="H59" s="49"/>
    </row>
    <row r="60" spans="1:36"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36" x14ac:dyDescent="0.25">
      <c r="A61" s="52" t="str">
        <f>+Innhold!B123</f>
        <v>Finans Norge / Skadeforsikringsstatistikk</v>
      </c>
      <c r="H61" s="187">
        <v>4</v>
      </c>
      <c r="I61" s="52" t="str">
        <f>+Innhold!B123</f>
        <v>Finans Norge / Skadeforsikringsstatistikk</v>
      </c>
      <c r="O61" s="187">
        <v>5</v>
      </c>
      <c r="P61" s="52" t="str">
        <f>+Innhold!B123</f>
        <v>Finans Norge / Skadeforsikringsstatistikk</v>
      </c>
      <c r="V61" s="187">
        <v>6</v>
      </c>
      <c r="W61" s="52" t="str">
        <f>+Innhold!B123</f>
        <v>Finans Norge / Skadeforsikringsstatistikk</v>
      </c>
      <c r="AC61" s="187">
        <v>7</v>
      </c>
      <c r="AD61" s="52" t="str">
        <f>+Innhold!B123</f>
        <v>Finans Norge / Skadeforsikringsstatistikk</v>
      </c>
      <c r="AJ61" s="187">
        <v>8</v>
      </c>
    </row>
    <row r="62" spans="1:36" x14ac:dyDescent="0.25">
      <c r="A62" s="52" t="str">
        <f>+Innhold!B124</f>
        <v>Skadestatistikk for landbasert forsikring 2. kvartal 2025</v>
      </c>
      <c r="H62" s="188"/>
      <c r="I62" s="52" t="str">
        <f>+Innhold!B124</f>
        <v>Skadestatistikk for landbasert forsikring 2. kvartal 2025</v>
      </c>
      <c r="O62" s="188"/>
      <c r="P62" s="52" t="str">
        <f>+Innhold!B124</f>
        <v>Skadestatistikk for landbasert forsikring 2. kvartal 2025</v>
      </c>
      <c r="V62" s="188"/>
      <c r="W62" s="52" t="str">
        <f>+Innhold!B124</f>
        <v>Skadestatistikk for landbasert forsikring 2. kvartal 2025</v>
      </c>
      <c r="AC62" s="188"/>
      <c r="AD62" s="52" t="str">
        <f>+Innhold!B124</f>
        <v>Skadestatistikk for landbasert forsikring 2. kvartal 2025</v>
      </c>
      <c r="AJ62" s="188"/>
    </row>
    <row r="67" spans="1:31" ht="12.75" customHeight="1" x14ac:dyDescent="0.25">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row>
    <row r="68" spans="1:31" ht="12.75" customHeight="1" x14ac:dyDescent="0.25">
      <c r="A68" s="156"/>
      <c r="B68" s="156"/>
      <c r="C68" s="156"/>
      <c r="D68" s="156"/>
      <c r="E68" s="156"/>
      <c r="F68" s="156"/>
      <c r="G68" s="156"/>
      <c r="H68" s="156"/>
      <c r="I68" s="156"/>
      <c r="J68" s="156"/>
      <c r="K68" s="156"/>
      <c r="L68" s="156"/>
      <c r="M68" s="157" t="s">
        <v>177</v>
      </c>
      <c r="N68" s="156"/>
      <c r="O68" s="156"/>
      <c r="P68" s="157" t="s">
        <v>179</v>
      </c>
      <c r="Q68" s="156"/>
      <c r="R68" s="156"/>
      <c r="S68" s="157" t="s">
        <v>178</v>
      </c>
      <c r="T68" s="156"/>
      <c r="U68" s="156"/>
      <c r="V68" s="156"/>
      <c r="W68" s="156"/>
      <c r="X68" s="156"/>
      <c r="Y68" s="156"/>
      <c r="Z68" s="156"/>
      <c r="AA68" s="156"/>
      <c r="AB68" s="156"/>
      <c r="AC68" s="156"/>
      <c r="AD68" s="156"/>
      <c r="AE68" s="156"/>
    </row>
    <row r="69" spans="1:31" x14ac:dyDescent="0.25">
      <c r="A69" s="158" t="s">
        <v>183</v>
      </c>
      <c r="B69" s="159"/>
      <c r="C69" s="159"/>
      <c r="D69" s="159" t="s">
        <v>74</v>
      </c>
      <c r="E69" s="159"/>
      <c r="F69" s="159"/>
      <c r="G69" s="159"/>
      <c r="H69" s="158"/>
      <c r="I69" s="160">
        <v>186.85314700000001</v>
      </c>
      <c r="J69" s="161" t="s">
        <v>234</v>
      </c>
      <c r="K69" s="156"/>
      <c r="L69" s="156"/>
      <c r="M69" s="157" t="s">
        <v>161</v>
      </c>
      <c r="N69" s="156"/>
      <c r="O69" s="156"/>
      <c r="P69" s="157" t="s">
        <v>175</v>
      </c>
      <c r="Q69" s="156"/>
      <c r="R69" s="156"/>
      <c r="S69" s="157" t="s">
        <v>176</v>
      </c>
      <c r="T69" s="156"/>
      <c r="U69" s="156"/>
      <c r="V69" s="158" t="s">
        <v>184</v>
      </c>
      <c r="W69" s="159"/>
      <c r="X69" s="159"/>
      <c r="Y69" s="159"/>
      <c r="Z69" s="159"/>
      <c r="AA69" s="156"/>
      <c r="AB69" s="156"/>
      <c r="AC69" s="156"/>
      <c r="AD69" s="156"/>
      <c r="AE69" s="156"/>
    </row>
    <row r="70" spans="1:31" x14ac:dyDescent="0.25">
      <c r="A70" s="159" t="s">
        <v>75</v>
      </c>
      <c r="B70" s="159" t="s">
        <v>76</v>
      </c>
      <c r="C70" s="159" t="s">
        <v>26</v>
      </c>
      <c r="D70" s="159" t="s">
        <v>77</v>
      </c>
      <c r="E70" s="159"/>
      <c r="F70" s="159"/>
      <c r="G70" s="159"/>
      <c r="H70" s="156"/>
      <c r="I70" s="162" t="s">
        <v>159</v>
      </c>
      <c r="J70" s="156" t="s">
        <v>229</v>
      </c>
      <c r="K70" s="162" t="s">
        <v>76</v>
      </c>
      <c r="L70" s="162" t="s">
        <v>108</v>
      </c>
      <c r="M70" s="162" t="s">
        <v>157</v>
      </c>
      <c r="N70" s="162" t="s">
        <v>158</v>
      </c>
      <c r="O70" s="162" t="s">
        <v>108</v>
      </c>
      <c r="P70" s="162" t="s">
        <v>157</v>
      </c>
      <c r="Q70" s="162" t="s">
        <v>158</v>
      </c>
      <c r="R70" s="162" t="s">
        <v>108</v>
      </c>
      <c r="S70" s="162" t="s">
        <v>157</v>
      </c>
      <c r="T70" s="162" t="s">
        <v>158</v>
      </c>
      <c r="U70" s="156"/>
      <c r="V70" s="159" t="s">
        <v>81</v>
      </c>
      <c r="W70" s="159"/>
      <c r="X70" s="163" t="str">
        <f>+'Tab3'!C6</f>
        <v>2023</v>
      </c>
      <c r="Y70" s="163" t="str">
        <f>+'Tab3'!D6</f>
        <v>2024</v>
      </c>
      <c r="Z70" s="163" t="str">
        <f>+'Tab3'!E6</f>
        <v>2025</v>
      </c>
      <c r="AA70" s="156"/>
      <c r="AB70" s="156"/>
      <c r="AC70" s="156"/>
      <c r="AD70" s="156"/>
      <c r="AE70" s="156"/>
    </row>
    <row r="71" spans="1:31" x14ac:dyDescent="0.25">
      <c r="A71" s="159">
        <v>1</v>
      </c>
      <c r="B71" s="159">
        <v>1983</v>
      </c>
      <c r="C71" s="159">
        <v>97</v>
      </c>
      <c r="D71" s="159">
        <v>78.3</v>
      </c>
      <c r="E71" s="159"/>
      <c r="F71" s="159"/>
      <c r="G71" s="159"/>
      <c r="H71" s="156"/>
      <c r="I71" s="164">
        <v>53.8</v>
      </c>
      <c r="J71" s="156">
        <v>1</v>
      </c>
      <c r="K71" s="156">
        <v>1983</v>
      </c>
      <c r="L71" s="165">
        <v>11621</v>
      </c>
      <c r="M71" s="164">
        <v>80.900000000000006</v>
      </c>
      <c r="N71" s="164">
        <f t="shared" ref="N71:N102" si="0">M71/I71*$I$69</f>
        <v>280.97434186431229</v>
      </c>
      <c r="O71" s="156"/>
      <c r="P71" s="156"/>
      <c r="Q71" s="156"/>
      <c r="R71" s="156"/>
      <c r="S71" s="156"/>
      <c r="T71" s="156"/>
      <c r="U71" s="156"/>
      <c r="V71" s="159"/>
      <c r="W71" s="159"/>
      <c r="X71" s="159"/>
      <c r="Y71" s="159"/>
      <c r="Z71" s="159"/>
      <c r="AA71" s="156"/>
      <c r="AB71" s="156"/>
      <c r="AC71" s="156"/>
      <c r="AD71" s="156"/>
      <c r="AE71" s="156"/>
    </row>
    <row r="72" spans="1:31" x14ac:dyDescent="0.25">
      <c r="A72" s="159">
        <v>2</v>
      </c>
      <c r="B72" s="159"/>
      <c r="C72" s="159">
        <v>78.8</v>
      </c>
      <c r="D72" s="159">
        <v>61.3</v>
      </c>
      <c r="E72" s="159"/>
      <c r="F72" s="159"/>
      <c r="G72" s="159"/>
      <c r="H72" s="156"/>
      <c r="I72" s="164">
        <v>54.7</v>
      </c>
      <c r="J72" s="156">
        <v>2</v>
      </c>
      <c r="K72" s="156"/>
      <c r="L72" s="165">
        <v>11120</v>
      </c>
      <c r="M72" s="164">
        <v>68.900000000000006</v>
      </c>
      <c r="N72" s="164">
        <f t="shared" si="0"/>
        <v>235.35981404570387</v>
      </c>
      <c r="O72" s="156"/>
      <c r="P72" s="156"/>
      <c r="Q72" s="156"/>
      <c r="R72" s="156"/>
      <c r="S72" s="156"/>
      <c r="T72" s="156"/>
      <c r="U72" s="156"/>
      <c r="V72" s="159" t="s">
        <v>26</v>
      </c>
      <c r="W72" s="159"/>
      <c r="X72" s="166">
        <f>IF('Tab6'!C36="",'Tab6'!C35,'Tab6'!C36)</f>
        <v>10117.122844498701</v>
      </c>
      <c r="Y72" s="166">
        <f>IF('Tab6'!D36="",'Tab6'!D35,'Tab6'!D36)</f>
        <v>12801.058734064589</v>
      </c>
      <c r="Z72" s="166">
        <f>IF('Tab6'!E36="",'Tab6'!E35,'Tab6'!E36)</f>
        <v>12842.554399186889</v>
      </c>
      <c r="AA72" s="156"/>
      <c r="AB72" s="156"/>
      <c r="AC72" s="156"/>
      <c r="AD72" s="156"/>
      <c r="AE72" s="156"/>
    </row>
    <row r="73" spans="1:31" x14ac:dyDescent="0.25">
      <c r="A73" s="159">
        <v>3</v>
      </c>
      <c r="B73" s="159"/>
      <c r="C73" s="159">
        <v>84.8</v>
      </c>
      <c r="D73" s="159">
        <v>63</v>
      </c>
      <c r="E73" s="159"/>
      <c r="F73" s="159"/>
      <c r="G73" s="159"/>
      <c r="H73" s="156"/>
      <c r="I73" s="164">
        <v>55.3</v>
      </c>
      <c r="J73" s="156">
        <v>3</v>
      </c>
      <c r="K73" s="156"/>
      <c r="L73" s="165">
        <v>11918</v>
      </c>
      <c r="M73" s="164">
        <v>63.7</v>
      </c>
      <c r="N73" s="164">
        <f t="shared" si="0"/>
        <v>215.23590350632915</v>
      </c>
      <c r="O73" s="156"/>
      <c r="P73" s="156"/>
      <c r="Q73" s="156"/>
      <c r="R73" s="156"/>
      <c r="S73" s="156"/>
      <c r="T73" s="156"/>
      <c r="U73" s="156"/>
      <c r="V73" s="159"/>
      <c r="W73" s="159"/>
      <c r="X73" s="166"/>
      <c r="Y73" s="166"/>
      <c r="Z73" s="166"/>
      <c r="AA73" s="156"/>
      <c r="AB73" s="156"/>
      <c r="AC73" s="156"/>
      <c r="AD73" s="156"/>
      <c r="AE73" s="156"/>
    </row>
    <row r="74" spans="1:31" x14ac:dyDescent="0.25">
      <c r="A74" s="159">
        <v>4</v>
      </c>
      <c r="B74" s="159"/>
      <c r="C74" s="159">
        <v>91.2</v>
      </c>
      <c r="D74" s="159">
        <v>70.8</v>
      </c>
      <c r="E74" s="159"/>
      <c r="F74" s="159"/>
      <c r="G74" s="159"/>
      <c r="H74" s="156"/>
      <c r="I74" s="164">
        <v>56.2</v>
      </c>
      <c r="J74" s="156">
        <v>4</v>
      </c>
      <c r="K74" s="156"/>
      <c r="L74" s="165">
        <v>11905</v>
      </c>
      <c r="M74" s="164">
        <v>79.3</v>
      </c>
      <c r="N74" s="164">
        <f t="shared" si="0"/>
        <v>263.65577503736654</v>
      </c>
      <c r="O74" s="156"/>
      <c r="P74" s="156"/>
      <c r="Q74" s="156"/>
      <c r="R74" s="156"/>
      <c r="S74" s="156"/>
      <c r="T74" s="156"/>
      <c r="U74" s="156"/>
      <c r="V74" s="159" t="s">
        <v>63</v>
      </c>
      <c r="W74" s="159"/>
      <c r="X74" s="166">
        <f>IF('Tab6'!C36="",'Tab6'!C45+'Tab6'!C47,'Tab6'!C46+'Tab6'!C48)</f>
        <v>114.90341051623392</v>
      </c>
      <c r="Y74" s="166">
        <f>IF('Tab6'!D36="",'Tab6'!D45+'Tab6'!D47,'Tab6'!D46+'Tab6'!D48)</f>
        <v>176.98812016313664</v>
      </c>
      <c r="Z74" s="166">
        <f>IF('Tab6'!E36="",'Tab6'!E45+'Tab6'!E47,'Tab6'!E46+'Tab6'!E48)</f>
        <v>154.07879667729068</v>
      </c>
      <c r="AA74" s="156"/>
      <c r="AB74" s="156"/>
      <c r="AC74" s="156"/>
      <c r="AD74" s="156"/>
      <c r="AE74" s="156"/>
    </row>
    <row r="75" spans="1:31" x14ac:dyDescent="0.25">
      <c r="A75" s="159">
        <v>1</v>
      </c>
      <c r="B75" s="159">
        <v>1984</v>
      </c>
      <c r="C75" s="159">
        <v>112.2</v>
      </c>
      <c r="D75" s="159">
        <v>90.4</v>
      </c>
      <c r="E75" s="159"/>
      <c r="F75" s="159"/>
      <c r="G75" s="159"/>
      <c r="H75" s="156"/>
      <c r="I75" s="164">
        <v>57.3</v>
      </c>
      <c r="J75" s="156">
        <v>1</v>
      </c>
      <c r="K75" s="156">
        <v>1984</v>
      </c>
      <c r="L75" s="165">
        <v>13205</v>
      </c>
      <c r="M75" s="164">
        <v>86.7</v>
      </c>
      <c r="N75" s="164">
        <f t="shared" si="0"/>
        <v>282.72544231937178</v>
      </c>
      <c r="O75" s="156"/>
      <c r="P75" s="156"/>
      <c r="Q75" s="156"/>
      <c r="R75" s="156"/>
      <c r="S75" s="156"/>
      <c r="T75" s="156"/>
      <c r="U75" s="156"/>
      <c r="V75" s="159" t="s">
        <v>39</v>
      </c>
      <c r="W75" s="159"/>
      <c r="X75" s="166">
        <f>IF('Tab6'!C36="",'Tab6'!C49,'Tab6'!C50)</f>
        <v>1026.7338056669939</v>
      </c>
      <c r="Y75" s="166">
        <f>IF('Tab6'!D36="",'Tab6'!D49,'Tab6'!D50)</f>
        <v>1228.4319304113455</v>
      </c>
      <c r="Z75" s="166">
        <f>IF('Tab6'!E36="",'Tab6'!E49,'Tab6'!E50)</f>
        <v>1224.3660236050016</v>
      </c>
      <c r="AA75" s="156"/>
      <c r="AB75" s="156"/>
      <c r="AC75" s="156"/>
      <c r="AD75" s="156"/>
      <c r="AE75" s="156"/>
    </row>
    <row r="76" spans="1:31" x14ac:dyDescent="0.25">
      <c r="A76" s="159">
        <v>2</v>
      </c>
      <c r="B76" s="159"/>
      <c r="C76" s="159">
        <v>81.8</v>
      </c>
      <c r="D76" s="159">
        <v>64.400000000000006</v>
      </c>
      <c r="E76" s="159"/>
      <c r="F76" s="159"/>
      <c r="G76" s="159"/>
      <c r="H76" s="156"/>
      <c r="I76" s="164">
        <v>58.2</v>
      </c>
      <c r="J76" s="156">
        <v>2</v>
      </c>
      <c r="K76" s="156"/>
      <c r="L76" s="165">
        <v>12453</v>
      </c>
      <c r="M76" s="164">
        <v>83.3</v>
      </c>
      <c r="N76" s="164">
        <f t="shared" si="0"/>
        <v>267.43757981271477</v>
      </c>
      <c r="O76" s="156"/>
      <c r="P76" s="156"/>
      <c r="Q76" s="156"/>
      <c r="R76" s="156"/>
      <c r="S76" s="156"/>
      <c r="T76" s="156"/>
      <c r="U76" s="156"/>
      <c r="V76" s="159" t="s">
        <v>18</v>
      </c>
      <c r="W76" s="159"/>
      <c r="X76" s="166">
        <f>IF('Tab6'!C36="",'Tab6'!C43,'Tab6'!C44)</f>
        <v>129.74018011491199</v>
      </c>
      <c r="Y76" s="166">
        <f>IF('Tab6'!D36="",'Tab6'!D43,'Tab6'!D44)</f>
        <v>212.76634994112646</v>
      </c>
      <c r="Z76" s="166">
        <f>IF('Tab6'!E36="",'Tab6'!E43,'Tab6'!E44)</f>
        <v>181.3304047467382</v>
      </c>
      <c r="AA76" s="156"/>
      <c r="AB76" s="156"/>
      <c r="AC76" s="156"/>
      <c r="AD76" s="156"/>
      <c r="AE76" s="156"/>
    </row>
    <row r="77" spans="1:31" x14ac:dyDescent="0.25">
      <c r="A77" s="159">
        <v>3</v>
      </c>
      <c r="B77" s="159"/>
      <c r="C77" s="159">
        <v>90.4</v>
      </c>
      <c r="D77" s="159">
        <v>71.099999999999994</v>
      </c>
      <c r="E77" s="159"/>
      <c r="F77" s="159"/>
      <c r="G77" s="159"/>
      <c r="H77" s="156"/>
      <c r="I77" s="164">
        <v>58.7</v>
      </c>
      <c r="J77" s="156">
        <v>3</v>
      </c>
      <c r="K77" s="156"/>
      <c r="L77" s="165">
        <v>12278</v>
      </c>
      <c r="M77" s="164">
        <v>83.3</v>
      </c>
      <c r="N77" s="164">
        <f t="shared" si="0"/>
        <v>265.15957657751278</v>
      </c>
      <c r="O77" s="156"/>
      <c r="P77" s="156"/>
      <c r="Q77" s="156"/>
      <c r="R77" s="156"/>
      <c r="S77" s="156"/>
      <c r="T77" s="156"/>
      <c r="U77" s="156"/>
      <c r="V77" s="159" t="s">
        <v>82</v>
      </c>
      <c r="W77" s="159"/>
      <c r="X77" s="166">
        <f>IF('Tab6'!C36="",'Tab6'!C37+'Tab6'!C39,'Tab6'!C38+'Tab6'!C40)</f>
        <v>780.23316071028319</v>
      </c>
      <c r="Y77" s="166">
        <f>IF('Tab6'!D36="",'Tab6'!D37+'Tab6'!D39,'Tab6'!D38+'Tab6'!D40)</f>
        <v>1047.6060802104519</v>
      </c>
      <c r="Z77" s="166">
        <f>IF('Tab6'!E36="",'Tab6'!E37+'Tab6'!E39,'Tab6'!E38+'Tab6'!E40)</f>
        <v>1176.5961793311822</v>
      </c>
      <c r="AA77" s="156"/>
      <c r="AB77" s="156"/>
      <c r="AC77" s="156"/>
      <c r="AD77" s="156"/>
      <c r="AE77" s="156"/>
    </row>
    <row r="78" spans="1:31" x14ac:dyDescent="0.25">
      <c r="A78" s="159">
        <v>4</v>
      </c>
      <c r="B78" s="159"/>
      <c r="C78" s="159">
        <v>92.9</v>
      </c>
      <c r="D78" s="159">
        <v>73.900000000000006</v>
      </c>
      <c r="E78" s="159"/>
      <c r="F78" s="159"/>
      <c r="G78" s="159"/>
      <c r="H78" s="156"/>
      <c r="I78" s="164">
        <v>59.6</v>
      </c>
      <c r="J78" s="156">
        <v>4</v>
      </c>
      <c r="K78" s="156"/>
      <c r="L78" s="165">
        <v>11449</v>
      </c>
      <c r="M78" s="164">
        <v>94.6</v>
      </c>
      <c r="N78" s="164">
        <f t="shared" si="0"/>
        <v>296.58234406375834</v>
      </c>
      <c r="O78" s="156"/>
      <c r="P78" s="156"/>
      <c r="Q78" s="156"/>
      <c r="R78" s="156"/>
      <c r="S78" s="156"/>
      <c r="T78" s="156"/>
      <c r="U78" s="156"/>
      <c r="V78" s="159" t="s">
        <v>83</v>
      </c>
      <c r="W78" s="159"/>
      <c r="X78" s="167">
        <f>X72-X77-X76-X75-X74</f>
        <v>8065.512287490279</v>
      </c>
      <c r="Y78" s="167">
        <f>Y72-Y77-Y76-Y75-Y74</f>
        <v>10135.26625333853</v>
      </c>
      <c r="Z78" s="167">
        <f>Z72-Z77-Z76-Z75-Z74</f>
        <v>10106.182994826675</v>
      </c>
      <c r="AA78" s="156"/>
      <c r="AB78" s="156"/>
      <c r="AC78" s="156"/>
      <c r="AD78" s="156"/>
      <c r="AE78" s="156"/>
    </row>
    <row r="79" spans="1:31" x14ac:dyDescent="0.25">
      <c r="A79" s="159">
        <v>1</v>
      </c>
      <c r="B79" s="159">
        <v>1985</v>
      </c>
      <c r="C79" s="159">
        <v>123.4</v>
      </c>
      <c r="D79" s="159">
        <v>100.8</v>
      </c>
      <c r="E79" s="159"/>
      <c r="F79" s="159"/>
      <c r="G79" s="159"/>
      <c r="H79" s="156"/>
      <c r="I79" s="164">
        <v>60.4</v>
      </c>
      <c r="J79" s="156">
        <v>1</v>
      </c>
      <c r="K79" s="156">
        <v>1985</v>
      </c>
      <c r="L79" s="165">
        <v>16918</v>
      </c>
      <c r="M79" s="164">
        <v>103.6</v>
      </c>
      <c r="N79" s="164">
        <f t="shared" si="0"/>
        <v>320.49645743708606</v>
      </c>
      <c r="O79" s="156"/>
      <c r="P79" s="156"/>
      <c r="Q79" s="156"/>
      <c r="R79" s="156"/>
      <c r="S79" s="156"/>
      <c r="T79" s="156"/>
      <c r="U79" s="156"/>
      <c r="V79" s="159"/>
      <c r="W79" s="159"/>
      <c r="X79" s="159"/>
      <c r="Y79" s="159"/>
      <c r="Z79" s="159"/>
      <c r="AA79" s="156"/>
      <c r="AB79" s="156"/>
      <c r="AC79" s="156"/>
      <c r="AD79" s="156"/>
      <c r="AE79" s="156"/>
    </row>
    <row r="80" spans="1:31" x14ac:dyDescent="0.25">
      <c r="A80" s="159">
        <v>2</v>
      </c>
      <c r="B80" s="159"/>
      <c r="C80" s="159">
        <v>102</v>
      </c>
      <c r="D80" s="159">
        <v>81.099999999999994</v>
      </c>
      <c r="E80" s="159"/>
      <c r="F80" s="159"/>
      <c r="G80" s="159"/>
      <c r="H80" s="156"/>
      <c r="I80" s="164">
        <v>61.5</v>
      </c>
      <c r="J80" s="156">
        <v>2</v>
      </c>
      <c r="K80" s="156"/>
      <c r="L80" s="165">
        <v>14237</v>
      </c>
      <c r="M80" s="164">
        <v>115.3</v>
      </c>
      <c r="N80" s="164">
        <f t="shared" si="0"/>
        <v>350.31167234308941</v>
      </c>
      <c r="O80" s="156"/>
      <c r="P80" s="156"/>
      <c r="Q80" s="156"/>
      <c r="R80" s="156"/>
      <c r="S80" s="156"/>
      <c r="T80" s="156"/>
      <c r="U80" s="156"/>
      <c r="V80" s="158" t="s">
        <v>162</v>
      </c>
      <c r="W80" s="159"/>
      <c r="X80" s="159"/>
      <c r="Y80" s="159"/>
      <c r="Z80" s="156"/>
      <c r="AA80" s="156"/>
      <c r="AB80" s="156"/>
      <c r="AC80" s="156"/>
      <c r="AD80" s="156"/>
      <c r="AE80" s="156"/>
    </row>
    <row r="81" spans="1:31" x14ac:dyDescent="0.25">
      <c r="A81" s="159">
        <v>3</v>
      </c>
      <c r="B81" s="159"/>
      <c r="C81" s="159">
        <v>108.4</v>
      </c>
      <c r="D81" s="159">
        <v>86</v>
      </c>
      <c r="E81" s="159"/>
      <c r="F81" s="159"/>
      <c r="G81" s="159"/>
      <c r="H81" s="156"/>
      <c r="I81" s="164">
        <v>62</v>
      </c>
      <c r="J81" s="156">
        <v>3</v>
      </c>
      <c r="K81" s="156"/>
      <c r="L81" s="165">
        <v>14329</v>
      </c>
      <c r="M81" s="164">
        <v>103</v>
      </c>
      <c r="N81" s="164">
        <f t="shared" si="0"/>
        <v>310.41732485483874</v>
      </c>
      <c r="O81" s="156"/>
      <c r="P81" s="156"/>
      <c r="Q81" s="156"/>
      <c r="R81" s="156"/>
      <c r="S81" s="156"/>
      <c r="T81" s="156"/>
      <c r="U81" s="156"/>
      <c r="V81" s="159"/>
      <c r="W81" s="159"/>
      <c r="X81" s="159"/>
      <c r="Y81" s="159"/>
      <c r="Z81" s="156"/>
      <c r="AA81" s="156"/>
      <c r="AB81" s="156"/>
      <c r="AC81" s="156"/>
      <c r="AD81" s="156"/>
      <c r="AE81" s="156"/>
    </row>
    <row r="82" spans="1:31" x14ac:dyDescent="0.25">
      <c r="A82" s="159">
        <v>4</v>
      </c>
      <c r="B82" s="159"/>
      <c r="C82" s="159">
        <v>109.6</v>
      </c>
      <c r="D82" s="159">
        <v>87.1</v>
      </c>
      <c r="E82" s="159"/>
      <c r="F82" s="159"/>
      <c r="G82" s="159"/>
      <c r="H82" s="156"/>
      <c r="I82" s="164">
        <v>63</v>
      </c>
      <c r="J82" s="156">
        <v>4</v>
      </c>
      <c r="K82" s="156"/>
      <c r="L82" s="165">
        <v>13060</v>
      </c>
      <c r="M82" s="164">
        <v>118.7</v>
      </c>
      <c r="N82" s="164">
        <f t="shared" si="0"/>
        <v>352.05505633174602</v>
      </c>
      <c r="O82" s="156"/>
      <c r="P82" s="156"/>
      <c r="Q82" s="156"/>
      <c r="R82" s="156"/>
      <c r="S82" s="156"/>
      <c r="T82" s="156"/>
      <c r="U82" s="156"/>
      <c r="V82" s="159"/>
      <c r="W82" s="163" t="str">
        <f>+'Tab4'!C6</f>
        <v>2023</v>
      </c>
      <c r="X82" s="163" t="str">
        <f>+'Tab4'!D6</f>
        <v>2024</v>
      </c>
      <c r="Y82" s="163" t="str">
        <f>+'Tab4'!E6</f>
        <v>2025</v>
      </c>
      <c r="Z82" s="156"/>
      <c r="AA82" s="156"/>
      <c r="AB82" s="156"/>
      <c r="AC82" s="156"/>
      <c r="AD82" s="156"/>
      <c r="AE82" s="156"/>
    </row>
    <row r="83" spans="1:31" x14ac:dyDescent="0.25">
      <c r="A83" s="159">
        <v>1</v>
      </c>
      <c r="B83" s="159">
        <v>1986</v>
      </c>
      <c r="C83" s="159">
        <v>141</v>
      </c>
      <c r="D83" s="159">
        <v>115.2</v>
      </c>
      <c r="E83" s="159"/>
      <c r="F83" s="159"/>
      <c r="G83" s="159"/>
      <c r="H83" s="156"/>
      <c r="I83" s="164">
        <v>64</v>
      </c>
      <c r="J83" s="156">
        <v>1</v>
      </c>
      <c r="K83" s="156">
        <v>1986</v>
      </c>
      <c r="L83" s="165">
        <v>14314</v>
      </c>
      <c r="M83" s="164">
        <v>111.8</v>
      </c>
      <c r="N83" s="164">
        <f t="shared" si="0"/>
        <v>326.409091165625</v>
      </c>
      <c r="O83" s="156"/>
      <c r="P83" s="156"/>
      <c r="Q83" s="156"/>
      <c r="R83" s="156"/>
      <c r="S83" s="156"/>
      <c r="T83" s="156"/>
      <c r="U83" s="156"/>
      <c r="V83" s="159" t="s">
        <v>84</v>
      </c>
      <c r="W83" s="166">
        <f>IF('Tab4'!C14="",'Tab4'!C13,'Tab4'!C14)</f>
        <v>5274.6595201486416</v>
      </c>
      <c r="X83" s="166">
        <f>IF('Tab4'!D14="",'Tab4'!D13,'Tab4'!D14)</f>
        <v>7031.3108390325842</v>
      </c>
      <c r="Y83" s="166">
        <f>IF('Tab4'!E14="",'Tab4'!E13,'Tab4'!E14)</f>
        <v>5523.8919930607635</v>
      </c>
      <c r="Z83" s="156"/>
      <c r="AA83" s="156"/>
      <c r="AB83" s="156"/>
      <c r="AC83" s="156"/>
      <c r="AD83" s="156"/>
      <c r="AE83" s="156"/>
    </row>
    <row r="84" spans="1:31" x14ac:dyDescent="0.25">
      <c r="A84" s="159">
        <v>2</v>
      </c>
      <c r="B84" s="159"/>
      <c r="C84" s="159">
        <v>120.5</v>
      </c>
      <c r="D84" s="159">
        <v>93.2</v>
      </c>
      <c r="E84" s="159"/>
      <c r="F84" s="159"/>
      <c r="G84" s="159"/>
      <c r="H84" s="156"/>
      <c r="I84" s="164">
        <v>65</v>
      </c>
      <c r="J84" s="156">
        <v>2</v>
      </c>
      <c r="K84" s="156"/>
      <c r="L84" s="165">
        <v>13505</v>
      </c>
      <c r="M84" s="164">
        <v>121.5</v>
      </c>
      <c r="N84" s="164">
        <f t="shared" si="0"/>
        <v>349.27165170000001</v>
      </c>
      <c r="O84" s="156"/>
      <c r="P84" s="156"/>
      <c r="Q84" s="156"/>
      <c r="R84" s="156"/>
      <c r="S84" s="156"/>
      <c r="T84" s="156"/>
      <c r="U84" s="156"/>
      <c r="V84" s="159" t="s">
        <v>169</v>
      </c>
      <c r="W84" s="166">
        <f>IF('Tab4'!C16="",'Tab4'!C15,'Tab4'!C16)</f>
        <v>5208.1941584267161</v>
      </c>
      <c r="X84" s="166">
        <f>IF('Tab4'!D16="",'Tab4'!D15,'Tab4'!D16)</f>
        <v>4449.6403132115302</v>
      </c>
      <c r="Y84" s="166">
        <f>IF('Tab4'!E16="",'Tab4'!E15,'Tab4'!E16)</f>
        <v>4526.5193594540469</v>
      </c>
      <c r="Z84" s="156"/>
      <c r="AA84" s="156"/>
      <c r="AB84" s="156"/>
      <c r="AC84" s="156"/>
      <c r="AD84" s="156"/>
      <c r="AE84" s="156"/>
    </row>
    <row r="85" spans="1:31" x14ac:dyDescent="0.25">
      <c r="A85" s="159">
        <v>3</v>
      </c>
      <c r="B85" s="159"/>
      <c r="C85" s="159">
        <v>115.7</v>
      </c>
      <c r="D85" s="159">
        <v>91.1</v>
      </c>
      <c r="E85" s="159"/>
      <c r="F85" s="159"/>
      <c r="G85" s="159"/>
      <c r="H85" s="156"/>
      <c r="I85" s="164">
        <v>67</v>
      </c>
      <c r="J85" s="156">
        <v>3</v>
      </c>
      <c r="K85" s="156"/>
      <c r="L85" s="165">
        <v>12132</v>
      </c>
      <c r="M85" s="164">
        <v>100.8</v>
      </c>
      <c r="N85" s="164">
        <f t="shared" si="0"/>
        <v>281.11637638208958</v>
      </c>
      <c r="O85" s="156"/>
      <c r="P85" s="156"/>
      <c r="Q85" s="156"/>
      <c r="R85" s="156"/>
      <c r="S85" s="156"/>
      <c r="T85" s="156"/>
      <c r="U85" s="156"/>
      <c r="V85" s="159" t="s">
        <v>7</v>
      </c>
      <c r="W85" s="166">
        <f>IF('Tab4'!C18="",'Tab4'!C17,'Tab4'!C18)</f>
        <v>966.99462730300047</v>
      </c>
      <c r="X85" s="166">
        <f>IF('Tab4'!D18="",'Tab4'!D17,'Tab4'!D18)</f>
        <v>1050.0310508388611</v>
      </c>
      <c r="Y85" s="166">
        <f>IF('Tab4'!E18="",'Tab4'!E17,'Tab4'!E18)</f>
        <v>1143.4990653542022</v>
      </c>
      <c r="Z85" s="156"/>
      <c r="AA85" s="156"/>
      <c r="AB85" s="156"/>
      <c r="AC85" s="156"/>
      <c r="AD85" s="156"/>
      <c r="AE85" s="156"/>
    </row>
    <row r="86" spans="1:31" x14ac:dyDescent="0.25">
      <c r="A86" s="159">
        <v>4</v>
      </c>
      <c r="B86" s="159"/>
      <c r="C86" s="159">
        <v>114.4</v>
      </c>
      <c r="D86" s="159">
        <v>90.8</v>
      </c>
      <c r="E86" s="159"/>
      <c r="F86" s="159"/>
      <c r="G86" s="159"/>
      <c r="H86" s="156"/>
      <c r="I86" s="164">
        <v>68.5</v>
      </c>
      <c r="J86" s="156">
        <v>4</v>
      </c>
      <c r="K86" s="156"/>
      <c r="L86" s="165">
        <v>11763</v>
      </c>
      <c r="M86" s="164">
        <v>120.6</v>
      </c>
      <c r="N86" s="164">
        <f t="shared" si="0"/>
        <v>328.97065004671532</v>
      </c>
      <c r="O86" s="156"/>
      <c r="P86" s="156"/>
      <c r="Q86" s="156"/>
      <c r="R86" s="156"/>
      <c r="S86" s="156"/>
      <c r="T86" s="156"/>
      <c r="U86" s="156"/>
      <c r="V86" s="156" t="s">
        <v>8</v>
      </c>
      <c r="W86" s="166">
        <f>IF('Tab4'!C20="",'Tab4'!C19,'Tab4'!C20)</f>
        <v>1329.4597835691709</v>
      </c>
      <c r="X86" s="166">
        <f>IF('Tab4'!D20="",'Tab4'!D19,'Tab4'!D20)</f>
        <v>1684.063890814034</v>
      </c>
      <c r="Y86" s="166">
        <f>IF('Tab4'!E20="",'Tab4'!E19,'Tab4'!E20)</f>
        <v>1553.0833880781138</v>
      </c>
      <c r="Z86" s="156"/>
      <c r="AA86" s="156"/>
      <c r="AB86" s="156"/>
      <c r="AC86" s="156"/>
      <c r="AD86" s="156"/>
      <c r="AE86" s="156"/>
    </row>
    <row r="87" spans="1:31" x14ac:dyDescent="0.25">
      <c r="A87" s="159">
        <v>1</v>
      </c>
      <c r="B87" s="159">
        <v>1987</v>
      </c>
      <c r="C87" s="159">
        <v>152.19999999999999</v>
      </c>
      <c r="D87" s="159">
        <v>121.3</v>
      </c>
      <c r="E87" s="159"/>
      <c r="F87" s="159"/>
      <c r="G87" s="159"/>
      <c r="H87" s="156"/>
      <c r="I87" s="164">
        <v>70.5</v>
      </c>
      <c r="J87" s="156">
        <v>1</v>
      </c>
      <c r="K87" s="156">
        <v>1987</v>
      </c>
      <c r="L87" s="165">
        <v>17280</v>
      </c>
      <c r="M87" s="164">
        <v>135.6</v>
      </c>
      <c r="N87" s="164">
        <f t="shared" si="0"/>
        <v>359.39413805957446</v>
      </c>
      <c r="O87" s="156"/>
      <c r="P87" s="156"/>
      <c r="Q87" s="156"/>
      <c r="R87" s="156"/>
      <c r="S87" s="156"/>
      <c r="T87" s="156"/>
      <c r="U87" s="156"/>
      <c r="V87" s="159" t="s">
        <v>9</v>
      </c>
      <c r="W87" s="166">
        <f>IF('Tab4'!C20="",'Tab4'!C21,'Tab4'!C22)</f>
        <v>430.09049827717246</v>
      </c>
      <c r="X87" s="166">
        <f>IF('Tab4'!D20="",'Tab4'!D21,'Tab4'!D22)</f>
        <v>467.45427395359326</v>
      </c>
      <c r="Y87" s="166">
        <f>IF('Tab4'!E20="",'Tab4'!E21,'Tab4'!E22)</f>
        <v>451.41042219834264</v>
      </c>
      <c r="Z87" s="156"/>
      <c r="AA87" s="156"/>
      <c r="AB87" s="156"/>
      <c r="AC87" s="156"/>
      <c r="AD87" s="156"/>
      <c r="AE87" s="156"/>
    </row>
    <row r="88" spans="1:31" x14ac:dyDescent="0.25">
      <c r="A88" s="159">
        <v>2</v>
      </c>
      <c r="B88" s="159"/>
      <c r="C88" s="159">
        <v>109.2</v>
      </c>
      <c r="D88" s="159">
        <v>86.1</v>
      </c>
      <c r="E88" s="159"/>
      <c r="F88" s="159"/>
      <c r="G88" s="159"/>
      <c r="H88" s="156"/>
      <c r="I88" s="164">
        <v>71.599999999999994</v>
      </c>
      <c r="J88" s="156">
        <v>2</v>
      </c>
      <c r="K88" s="156"/>
      <c r="L88" s="165">
        <v>12241</v>
      </c>
      <c r="M88" s="164">
        <v>135.9</v>
      </c>
      <c r="N88" s="164">
        <f t="shared" si="0"/>
        <v>354.65562398463692</v>
      </c>
      <c r="O88" s="156"/>
      <c r="P88" s="156"/>
      <c r="Q88" s="156"/>
      <c r="R88" s="156"/>
      <c r="S88" s="156"/>
      <c r="T88" s="156"/>
      <c r="U88" s="156"/>
      <c r="V88" s="159" t="s">
        <v>10</v>
      </c>
      <c r="W88" s="166">
        <f>IF('Tab4'!C22="",'Tab4'!C29,'Tab4'!C30)</f>
        <v>1237.1224239163612</v>
      </c>
      <c r="X88" s="166">
        <f>IF('Tab4'!D22="",'Tab4'!D29,'Tab4'!D30)</f>
        <v>1490.5315898014717</v>
      </c>
      <c r="Y88" s="166">
        <f>IF('Tab4'!E22="",'Tab4'!E29,'Tab4'!E30)</f>
        <v>1607.0650200100615</v>
      </c>
      <c r="Z88" s="156"/>
      <c r="AA88" s="156"/>
      <c r="AB88" s="156"/>
      <c r="AC88" s="156"/>
      <c r="AD88" s="156"/>
      <c r="AE88" s="156"/>
    </row>
    <row r="89" spans="1:31" x14ac:dyDescent="0.25">
      <c r="A89" s="159">
        <v>3</v>
      </c>
      <c r="B89" s="159"/>
      <c r="C89" s="159">
        <v>110.1</v>
      </c>
      <c r="D89" s="159">
        <v>87.3</v>
      </c>
      <c r="E89" s="159"/>
      <c r="F89" s="159"/>
      <c r="G89" s="159"/>
      <c r="H89" s="156"/>
      <c r="I89" s="164">
        <v>72.3</v>
      </c>
      <c r="J89" s="156">
        <v>3</v>
      </c>
      <c r="K89" s="156"/>
      <c r="L89" s="165">
        <v>11506</v>
      </c>
      <c r="M89" s="164">
        <v>112.3</v>
      </c>
      <c r="N89" s="164">
        <f t="shared" si="0"/>
        <v>290.22971518810516</v>
      </c>
      <c r="O89" s="156"/>
      <c r="P89" s="156"/>
      <c r="Q89" s="156"/>
      <c r="R89" s="156"/>
      <c r="S89" s="156"/>
      <c r="T89" s="156"/>
      <c r="U89" s="156"/>
      <c r="V89" s="159" t="s">
        <v>11</v>
      </c>
      <c r="W89" s="166">
        <f>IF('Tab4'!C30="",'Tab4'!C31,'Tab4'!C32)</f>
        <v>332.57071891291406</v>
      </c>
      <c r="X89" s="166">
        <f>IF('Tab4'!D30="",'Tab4'!D31,'Tab4'!D32)</f>
        <v>375.37466996374849</v>
      </c>
      <c r="Y89" s="166">
        <f>IF('Tab4'!E30="",'Tab4'!E31,'Tab4'!E32)</f>
        <v>317.68733692192143</v>
      </c>
      <c r="Z89" s="156"/>
      <c r="AA89" s="156"/>
      <c r="AB89" s="156"/>
      <c r="AC89" s="156"/>
      <c r="AD89" s="156"/>
      <c r="AE89" s="156"/>
    </row>
    <row r="90" spans="1:31" x14ac:dyDescent="0.25">
      <c r="A90" s="159">
        <v>4</v>
      </c>
      <c r="B90" s="159"/>
      <c r="C90" s="159">
        <v>112</v>
      </c>
      <c r="D90" s="159">
        <v>89.8</v>
      </c>
      <c r="E90" s="159"/>
      <c r="F90" s="159"/>
      <c r="G90" s="159"/>
      <c r="H90" s="156"/>
      <c r="I90" s="164">
        <v>73.599999999999994</v>
      </c>
      <c r="J90" s="156">
        <v>4</v>
      </c>
      <c r="K90" s="156"/>
      <c r="L90" s="165">
        <v>12860</v>
      </c>
      <c r="M90" s="164">
        <v>134.5</v>
      </c>
      <c r="N90" s="164">
        <f t="shared" si="0"/>
        <v>341.46397108016305</v>
      </c>
      <c r="O90" s="156"/>
      <c r="P90" s="156"/>
      <c r="Q90" s="156"/>
      <c r="R90" s="156"/>
      <c r="S90" s="156"/>
      <c r="T90" s="156"/>
      <c r="U90" s="156"/>
      <c r="V90" s="159" t="s">
        <v>12</v>
      </c>
      <c r="W90" s="166">
        <f>IF('Tab4'!C32="",'Tab4'!C33,'Tab4'!C34)</f>
        <v>799.07976156972643</v>
      </c>
      <c r="X90" s="166">
        <f>IF('Tab4'!D32="",'Tab4'!D33,'Tab4'!D34)</f>
        <v>1027.5304319021527</v>
      </c>
      <c r="Y90" s="166">
        <f>IF('Tab4'!E32="",'Tab4'!E33,'Tab4'!E34)</f>
        <v>923.03103939056734</v>
      </c>
      <c r="Z90" s="156"/>
      <c r="AA90" s="156"/>
      <c r="AB90" s="156"/>
      <c r="AC90" s="156"/>
      <c r="AD90" s="156"/>
      <c r="AE90" s="156"/>
    </row>
    <row r="91" spans="1:31" x14ac:dyDescent="0.25">
      <c r="A91" s="159">
        <v>1</v>
      </c>
      <c r="B91" s="159">
        <v>1988</v>
      </c>
      <c r="C91" s="159">
        <v>134.1</v>
      </c>
      <c r="D91" s="159">
        <v>107.5</v>
      </c>
      <c r="E91" s="159"/>
      <c r="F91" s="159"/>
      <c r="G91" s="159"/>
      <c r="H91" s="156"/>
      <c r="I91" s="164">
        <v>75.2</v>
      </c>
      <c r="J91" s="156">
        <v>1</v>
      </c>
      <c r="K91" s="156">
        <v>1988</v>
      </c>
      <c r="L91" s="165">
        <v>10180</v>
      </c>
      <c r="M91" s="164">
        <v>130.80000000000001</v>
      </c>
      <c r="N91" s="164">
        <f t="shared" si="0"/>
        <v>325.00520781382983</v>
      </c>
      <c r="O91" s="156"/>
      <c r="P91" s="156"/>
      <c r="Q91" s="156"/>
      <c r="R91" s="156"/>
      <c r="S91" s="156"/>
      <c r="T91" s="156"/>
      <c r="U91" s="156"/>
      <c r="V91" s="159" t="s">
        <v>13</v>
      </c>
      <c r="W91" s="166">
        <f>IF('Tab4'!C34="",'Tab4'!C35,'Tab4'!C36)</f>
        <v>101.53884741246026</v>
      </c>
      <c r="X91" s="166">
        <f>IF('Tab4'!D34="",'Tab4'!D35,'Tab4'!D36)</f>
        <v>112.76880885477392</v>
      </c>
      <c r="Y91" s="166">
        <f>IF('Tab4'!E34="",'Tab4'!E35,'Tab4'!E36)</f>
        <v>253.63465245501035</v>
      </c>
      <c r="Z91" s="156"/>
      <c r="AA91" s="156"/>
      <c r="AB91" s="156"/>
      <c r="AC91" s="156"/>
      <c r="AD91" s="156"/>
      <c r="AE91" s="156"/>
    </row>
    <row r="92" spans="1:31" x14ac:dyDescent="0.25">
      <c r="A92" s="159">
        <v>2</v>
      </c>
      <c r="B92" s="159"/>
      <c r="C92" s="159">
        <v>113.7</v>
      </c>
      <c r="D92" s="159">
        <v>90</v>
      </c>
      <c r="E92" s="159"/>
      <c r="F92" s="159"/>
      <c r="G92" s="159"/>
      <c r="H92" s="156"/>
      <c r="I92" s="164">
        <v>76.7</v>
      </c>
      <c r="J92" s="156">
        <v>2</v>
      </c>
      <c r="K92" s="156"/>
      <c r="L92" s="165">
        <v>11081</v>
      </c>
      <c r="M92" s="164">
        <v>95.1</v>
      </c>
      <c r="N92" s="164">
        <f t="shared" si="0"/>
        <v>231.67841303389832</v>
      </c>
      <c r="O92" s="156"/>
      <c r="P92" s="156"/>
      <c r="Q92" s="156"/>
      <c r="R92" s="156"/>
      <c r="S92" s="156"/>
      <c r="T92" s="156"/>
      <c r="U92" s="156"/>
      <c r="V92" s="159" t="s">
        <v>14</v>
      </c>
      <c r="W92" s="166">
        <f>IF('Tab4'!C38="",'Tab4'!C37,'Tab4'!C38)</f>
        <v>699.15487968130128</v>
      </c>
      <c r="X92" s="166">
        <f>IF('Tab4'!D38="",'Tab4'!D37,'Tab4'!D38)</f>
        <v>859.49101251947116</v>
      </c>
      <c r="Y92" s="166">
        <f>IF('Tab4'!E38="",'Tab4'!E37,'Tab4'!E38)</f>
        <v>1018.2732838815923</v>
      </c>
      <c r="Z92" s="156"/>
      <c r="AA92" s="156"/>
      <c r="AB92" s="156"/>
      <c r="AC92" s="156"/>
      <c r="AD92" s="156"/>
      <c r="AE92" s="156"/>
    </row>
    <row r="93" spans="1:31" x14ac:dyDescent="0.25">
      <c r="A93" s="159">
        <v>3</v>
      </c>
      <c r="B93" s="159"/>
      <c r="C93" s="159">
        <v>116.3</v>
      </c>
      <c r="D93" s="159">
        <v>93.1</v>
      </c>
      <c r="E93" s="159"/>
      <c r="F93" s="159"/>
      <c r="G93" s="159"/>
      <c r="H93" s="156"/>
      <c r="I93" s="164">
        <v>77</v>
      </c>
      <c r="J93" s="156">
        <v>3</v>
      </c>
      <c r="K93" s="156"/>
      <c r="L93" s="165">
        <v>15987</v>
      </c>
      <c r="M93" s="164">
        <v>148.69999999999999</v>
      </c>
      <c r="N93" s="164">
        <f t="shared" si="0"/>
        <v>360.84497349220777</v>
      </c>
      <c r="O93" s="156"/>
      <c r="P93" s="156"/>
      <c r="Q93" s="156"/>
      <c r="R93" s="156"/>
      <c r="S93" s="156"/>
      <c r="T93" s="156"/>
      <c r="U93" s="156"/>
      <c r="V93" s="159" t="s">
        <v>85</v>
      </c>
      <c r="W93" s="167">
        <f>SUM(W83:W92)</f>
        <v>16378.865219217463</v>
      </c>
      <c r="X93" s="167">
        <f>SUM(X83:X92)</f>
        <v>18548.196880892221</v>
      </c>
      <c r="Y93" s="167">
        <f>SUM(Y83:Y92)</f>
        <v>17318.095560804621</v>
      </c>
      <c r="Z93" s="156"/>
      <c r="AA93" s="156"/>
      <c r="AB93" s="156"/>
      <c r="AC93" s="156"/>
      <c r="AD93" s="156"/>
      <c r="AE93" s="156"/>
    </row>
    <row r="94" spans="1:31" x14ac:dyDescent="0.25">
      <c r="A94" s="159">
        <v>4</v>
      </c>
      <c r="B94" s="159"/>
      <c r="C94" s="159">
        <v>115.2</v>
      </c>
      <c r="D94" s="159">
        <v>93.4</v>
      </c>
      <c r="E94" s="159"/>
      <c r="F94" s="159"/>
      <c r="G94" s="159"/>
      <c r="H94" s="156"/>
      <c r="I94" s="164">
        <v>78.099999999999994</v>
      </c>
      <c r="J94" s="156">
        <v>4</v>
      </c>
      <c r="K94" s="156"/>
      <c r="L94" s="165">
        <v>12493</v>
      </c>
      <c r="M94" s="164">
        <v>199.8</v>
      </c>
      <c r="N94" s="164">
        <f t="shared" si="0"/>
        <v>478.01867824071712</v>
      </c>
      <c r="O94" s="156"/>
      <c r="P94" s="156"/>
      <c r="Q94" s="156"/>
      <c r="R94" s="156"/>
      <c r="S94" s="156"/>
      <c r="T94" s="156"/>
      <c r="U94" s="156"/>
      <c r="V94" s="159"/>
      <c r="W94" s="159"/>
      <c r="X94" s="159"/>
      <c r="Y94" s="159"/>
      <c r="Z94" s="156"/>
      <c r="AA94" s="156"/>
      <c r="AB94" s="156"/>
      <c r="AC94" s="156"/>
      <c r="AD94" s="156"/>
      <c r="AE94" s="156"/>
    </row>
    <row r="95" spans="1:31" x14ac:dyDescent="0.25">
      <c r="A95" s="159">
        <v>1</v>
      </c>
      <c r="B95" s="159">
        <v>1989</v>
      </c>
      <c r="C95" s="159">
        <v>106.6</v>
      </c>
      <c r="D95" s="159">
        <v>86.4</v>
      </c>
      <c r="E95" s="159"/>
      <c r="F95" s="159"/>
      <c r="G95" s="159"/>
      <c r="H95" s="156"/>
      <c r="I95" s="164">
        <v>78.900000000000006</v>
      </c>
      <c r="J95" s="156">
        <v>1</v>
      </c>
      <c r="K95" s="156">
        <v>1989</v>
      </c>
      <c r="L95" s="165">
        <v>10988</v>
      </c>
      <c r="M95" s="164">
        <v>142.6</v>
      </c>
      <c r="N95" s="164">
        <f t="shared" si="0"/>
        <v>337.7092365297845</v>
      </c>
      <c r="O95" s="156"/>
      <c r="P95" s="156"/>
      <c r="Q95" s="156"/>
      <c r="R95" s="156"/>
      <c r="S95" s="156"/>
      <c r="T95" s="156"/>
      <c r="U95" s="156"/>
      <c r="V95" s="159" t="s">
        <v>170</v>
      </c>
      <c r="W95" s="168">
        <f>+W93+X72</f>
        <v>26495.988063716162</v>
      </c>
      <c r="X95" s="168">
        <f>+X93+Y72</f>
        <v>31349.255614956812</v>
      </c>
      <c r="Y95" s="168">
        <f>+Y93+Z72</f>
        <v>30160.649959991511</v>
      </c>
      <c r="Z95" s="156"/>
      <c r="AA95" s="156"/>
      <c r="AB95" s="156"/>
      <c r="AC95" s="156"/>
      <c r="AD95" s="156"/>
      <c r="AE95" s="156"/>
    </row>
    <row r="96" spans="1:31" x14ac:dyDescent="0.25">
      <c r="A96" s="159">
        <v>2</v>
      </c>
      <c r="B96" s="159"/>
      <c r="C96" s="159">
        <v>98</v>
      </c>
      <c r="D96" s="159">
        <v>79.599999999999994</v>
      </c>
      <c r="E96" s="159"/>
      <c r="F96" s="159"/>
      <c r="G96" s="159"/>
      <c r="H96" s="156"/>
      <c r="I96" s="164">
        <v>80.3</v>
      </c>
      <c r="J96" s="156">
        <v>2</v>
      </c>
      <c r="K96" s="156"/>
      <c r="L96" s="165">
        <v>10292</v>
      </c>
      <c r="M96" s="164">
        <v>117.3</v>
      </c>
      <c r="N96" s="164">
        <f t="shared" si="0"/>
        <v>272.9498647957659</v>
      </c>
      <c r="O96" s="156"/>
      <c r="P96" s="156"/>
      <c r="Q96" s="156"/>
      <c r="R96" s="156"/>
      <c r="S96" s="156"/>
      <c r="T96" s="156"/>
      <c r="U96" s="156"/>
      <c r="V96" s="156"/>
      <c r="W96" s="156"/>
      <c r="X96" s="156"/>
      <c r="Y96" s="156"/>
      <c r="Z96" s="156"/>
      <c r="AA96" s="156"/>
      <c r="AB96" s="156"/>
      <c r="AC96" s="156"/>
      <c r="AD96" s="156"/>
      <c r="AE96" s="156"/>
    </row>
    <row r="97" spans="1:31" x14ac:dyDescent="0.25">
      <c r="A97" s="159">
        <v>3</v>
      </c>
      <c r="B97" s="159"/>
      <c r="C97" s="159">
        <v>96.9</v>
      </c>
      <c r="D97" s="159">
        <v>79</v>
      </c>
      <c r="E97" s="159"/>
      <c r="F97" s="159"/>
      <c r="G97" s="159"/>
      <c r="H97" s="156"/>
      <c r="I97" s="164">
        <v>80.599999999999994</v>
      </c>
      <c r="J97" s="156">
        <v>3</v>
      </c>
      <c r="K97" s="156"/>
      <c r="L97" s="165">
        <v>11352</v>
      </c>
      <c r="M97" s="164">
        <v>103.6</v>
      </c>
      <c r="N97" s="164">
        <f t="shared" si="0"/>
        <v>240.17352393548387</v>
      </c>
      <c r="O97" s="156"/>
      <c r="P97" s="156"/>
      <c r="Q97" s="156"/>
      <c r="R97" s="156"/>
      <c r="S97" s="156"/>
      <c r="T97" s="156"/>
      <c r="U97" s="156"/>
      <c r="V97" s="156"/>
      <c r="W97" s="156"/>
      <c r="X97" s="156"/>
      <c r="Y97" s="159"/>
      <c r="Z97" s="156"/>
      <c r="AA97" s="156"/>
      <c r="AB97" s="156"/>
      <c r="AC97" s="156"/>
      <c r="AD97" s="156"/>
      <c r="AE97" s="156"/>
    </row>
    <row r="98" spans="1:31" x14ac:dyDescent="0.25">
      <c r="A98" s="159">
        <v>4</v>
      </c>
      <c r="B98" s="159"/>
      <c r="C98" s="159">
        <v>93.4</v>
      </c>
      <c r="D98" s="159">
        <v>76.8</v>
      </c>
      <c r="E98" s="159"/>
      <c r="F98" s="159"/>
      <c r="G98" s="159"/>
      <c r="H98" s="156"/>
      <c r="I98" s="164">
        <v>81.400000000000006</v>
      </c>
      <c r="J98" s="156">
        <v>4</v>
      </c>
      <c r="K98" s="156"/>
      <c r="L98" s="165">
        <v>11958</v>
      </c>
      <c r="M98" s="164">
        <v>132</v>
      </c>
      <c r="N98" s="164">
        <f t="shared" si="0"/>
        <v>303.00510324324324</v>
      </c>
      <c r="O98" s="156"/>
      <c r="P98" s="156"/>
      <c r="Q98" s="156"/>
      <c r="R98" s="156"/>
      <c r="S98" s="156"/>
      <c r="T98" s="156"/>
      <c r="U98" s="156"/>
      <c r="V98" s="158" t="s">
        <v>185</v>
      </c>
      <c r="W98" s="159"/>
      <c r="X98" s="159"/>
      <c r="Y98" s="159"/>
      <c r="Z98" s="156"/>
      <c r="AA98" s="156"/>
      <c r="AB98" s="156"/>
      <c r="AC98" s="156"/>
      <c r="AD98" s="156"/>
      <c r="AE98" s="156"/>
    </row>
    <row r="99" spans="1:31" x14ac:dyDescent="0.25">
      <c r="A99" s="159">
        <v>1</v>
      </c>
      <c r="B99" s="159">
        <v>1990</v>
      </c>
      <c r="C99" s="159">
        <v>99.4</v>
      </c>
      <c r="D99" s="159">
        <v>81.3</v>
      </c>
      <c r="E99" s="159"/>
      <c r="F99" s="159"/>
      <c r="G99" s="159"/>
      <c r="H99" s="156"/>
      <c r="I99" s="164">
        <v>82.3</v>
      </c>
      <c r="J99" s="156">
        <v>1</v>
      </c>
      <c r="K99" s="156">
        <v>1990</v>
      </c>
      <c r="L99" s="165">
        <v>13741</v>
      </c>
      <c r="M99" s="164">
        <v>142.9</v>
      </c>
      <c r="N99" s="164">
        <f t="shared" si="0"/>
        <v>324.43881781652493</v>
      </c>
      <c r="O99" s="156"/>
      <c r="P99" s="156"/>
      <c r="Q99" s="156"/>
      <c r="R99" s="156"/>
      <c r="S99" s="156"/>
      <c r="T99" s="156"/>
      <c r="U99" s="156"/>
      <c r="V99" s="159"/>
      <c r="W99" s="156"/>
      <c r="X99" s="159"/>
      <c r="Y99" s="159"/>
      <c r="Z99" s="156"/>
      <c r="AA99" s="156"/>
      <c r="AB99" s="156"/>
      <c r="AC99" s="156"/>
      <c r="AD99" s="156"/>
      <c r="AE99" s="156"/>
    </row>
    <row r="100" spans="1:31" x14ac:dyDescent="0.25">
      <c r="A100" s="159">
        <v>2</v>
      </c>
      <c r="B100" s="159"/>
      <c r="C100" s="159">
        <v>88.6</v>
      </c>
      <c r="D100" s="159">
        <v>73.099999999999994</v>
      </c>
      <c r="E100" s="159"/>
      <c r="F100" s="159"/>
      <c r="G100" s="159"/>
      <c r="H100" s="156"/>
      <c r="I100" s="164">
        <v>83.4</v>
      </c>
      <c r="J100" s="156">
        <v>2</v>
      </c>
      <c r="K100" s="156"/>
      <c r="L100" s="165">
        <v>10045</v>
      </c>
      <c r="M100" s="164">
        <v>116.5</v>
      </c>
      <c r="N100" s="164">
        <f t="shared" si="0"/>
        <v>261.01188999400478</v>
      </c>
      <c r="O100" s="156"/>
      <c r="P100" s="156"/>
      <c r="Q100" s="156"/>
      <c r="R100" s="156"/>
      <c r="S100" s="156"/>
      <c r="T100" s="156"/>
      <c r="U100" s="156"/>
      <c r="V100" s="159"/>
      <c r="W100" s="163" t="str">
        <f>+W82</f>
        <v>2023</v>
      </c>
      <c r="X100" s="163" t="str">
        <f>+X82</f>
        <v>2024</v>
      </c>
      <c r="Y100" s="163" t="str">
        <f>+Y82</f>
        <v>2025</v>
      </c>
      <c r="Z100" s="156"/>
      <c r="AA100" s="156"/>
      <c r="AB100" s="156"/>
      <c r="AC100" s="156"/>
      <c r="AD100" s="156"/>
      <c r="AE100" s="156"/>
    </row>
    <row r="101" spans="1:31" x14ac:dyDescent="0.25">
      <c r="A101" s="159">
        <v>3</v>
      </c>
      <c r="B101" s="159"/>
      <c r="C101" s="159">
        <v>88.2</v>
      </c>
      <c r="D101" s="159">
        <v>72.5</v>
      </c>
      <c r="E101" s="159"/>
      <c r="F101" s="159"/>
      <c r="G101" s="159"/>
      <c r="H101" s="156"/>
      <c r="I101" s="164">
        <v>83.7</v>
      </c>
      <c r="J101" s="156">
        <v>3</v>
      </c>
      <c r="K101" s="156"/>
      <c r="L101" s="165">
        <v>10870</v>
      </c>
      <c r="M101" s="164">
        <v>101.4</v>
      </c>
      <c r="N101" s="164">
        <f t="shared" si="0"/>
        <v>226.36689493189968</v>
      </c>
      <c r="O101" s="156"/>
      <c r="P101" s="156"/>
      <c r="Q101" s="156"/>
      <c r="R101" s="156"/>
      <c r="S101" s="156"/>
      <c r="T101" s="156"/>
      <c r="U101" s="156"/>
      <c r="V101" s="159" t="s">
        <v>18</v>
      </c>
      <c r="W101" s="169">
        <f>IF('Tab7'!C10="",+'Tab7'!C9+'Tab11'!C9,+'Tab7'!C10+'Tab11'!C10)</f>
        <v>13372.05268684297</v>
      </c>
      <c r="X101" s="169">
        <f>IF('Tab7'!D10="",+'Tab7'!D9+'Tab11'!D9,+'Tab7'!D10+'Tab11'!D10)</f>
        <v>17820.270775550696</v>
      </c>
      <c r="Y101" s="169">
        <f>IF('Tab7'!E10="",+'Tab7'!E9+'Tab11'!E9,+'Tab7'!E10+'Tab11'!E10)</f>
        <v>13425</v>
      </c>
      <c r="Z101" s="156"/>
      <c r="AA101" s="156"/>
      <c r="AB101" s="156"/>
      <c r="AC101" s="156"/>
      <c r="AD101" s="156"/>
      <c r="AE101" s="156"/>
    </row>
    <row r="102" spans="1:31" x14ac:dyDescent="0.25">
      <c r="A102" s="159">
        <v>4</v>
      </c>
      <c r="B102" s="159"/>
      <c r="C102" s="159">
        <v>84.8</v>
      </c>
      <c r="D102" s="159">
        <v>70.2</v>
      </c>
      <c r="E102" s="159"/>
      <c r="F102" s="159"/>
      <c r="G102" s="159"/>
      <c r="H102" s="156"/>
      <c r="I102" s="164">
        <v>85.1</v>
      </c>
      <c r="J102" s="156">
        <v>4</v>
      </c>
      <c r="K102" s="156"/>
      <c r="L102" s="165">
        <v>11076</v>
      </c>
      <c r="M102" s="164">
        <v>120</v>
      </c>
      <c r="N102" s="164">
        <f t="shared" si="0"/>
        <v>263.48269847238544</v>
      </c>
      <c r="O102" s="156"/>
      <c r="P102" s="156"/>
      <c r="Q102" s="156"/>
      <c r="R102" s="156"/>
      <c r="S102" s="156"/>
      <c r="T102" s="156"/>
      <c r="U102" s="156"/>
      <c r="V102" s="159" t="s">
        <v>86</v>
      </c>
      <c r="W102" s="169">
        <f>IF('Tab7'!C12="",+'Tab7'!C11+'Tab11'!C11,+'Tab7'!C12+'Tab11'!C12)</f>
        <v>48967.401991927523</v>
      </c>
      <c r="X102" s="169">
        <f>IF('Tab7'!D12="",+'Tab7'!D11+'Tab11'!D11,+'Tab7'!D12+'Tab11'!D12)</f>
        <v>67455.217648646329</v>
      </c>
      <c r="Y102" s="169">
        <f>IF('Tab7'!E12="",+'Tab7'!E11+'Tab11'!E11,+'Tab7'!E12+'Tab11'!E12)</f>
        <v>46145</v>
      </c>
      <c r="Z102" s="156"/>
      <c r="AA102" s="156"/>
      <c r="AB102" s="156"/>
      <c r="AC102" s="156"/>
      <c r="AD102" s="156"/>
      <c r="AE102" s="156"/>
    </row>
    <row r="103" spans="1:31" x14ac:dyDescent="0.25">
      <c r="A103" s="159">
        <v>1</v>
      </c>
      <c r="B103" s="159">
        <v>1991</v>
      </c>
      <c r="C103" s="159">
        <v>97.5</v>
      </c>
      <c r="D103" s="159">
        <v>82.4</v>
      </c>
      <c r="E103" s="159"/>
      <c r="F103" s="159"/>
      <c r="G103" s="159"/>
      <c r="H103" s="156"/>
      <c r="I103" s="164">
        <v>85.5</v>
      </c>
      <c r="J103" s="156">
        <v>1</v>
      </c>
      <c r="K103" s="156">
        <v>1991</v>
      </c>
      <c r="L103" s="165">
        <v>10172</v>
      </c>
      <c r="M103" s="164">
        <v>130.10000000000002</v>
      </c>
      <c r="N103" s="164">
        <f t="shared" ref="N103:N106" si="1">M103/I103*$I$69</f>
        <v>284.32274180935678</v>
      </c>
      <c r="O103" s="165">
        <v>6727</v>
      </c>
      <c r="P103" s="164">
        <v>376.9</v>
      </c>
      <c r="Q103" s="164">
        <f>P103/I103*$I$69</f>
        <v>823.68363864678349</v>
      </c>
      <c r="R103" s="165">
        <v>9077</v>
      </c>
      <c r="S103" s="164">
        <v>139.9</v>
      </c>
      <c r="T103" s="164">
        <f>S103/I103*$I$69</f>
        <v>305.73982766432749</v>
      </c>
      <c r="U103" s="156"/>
      <c r="V103" s="159" t="s">
        <v>63</v>
      </c>
      <c r="W103" s="169">
        <f>IF('Tab7'!C14="",+'Tab7'!C13+'Tab11'!C13,+'Tab7'!C14+'Tab11'!C14)</f>
        <v>19189.677829046293</v>
      </c>
      <c r="X103" s="169">
        <f>IF('Tab7'!D14="",+'Tab7'!D13+'Tab11'!D13,+'Tab7'!D14+'Tab11'!D14)</f>
        <v>21048.000431775588</v>
      </c>
      <c r="Y103" s="169">
        <f>IF('Tab7'!E14="",+'Tab7'!E13+'Tab11'!E13,+'Tab7'!E14+'Tab11'!E14)</f>
        <v>18983</v>
      </c>
      <c r="Z103" s="156"/>
      <c r="AA103" s="156"/>
      <c r="AB103" s="156"/>
      <c r="AC103" s="156"/>
      <c r="AD103" s="156"/>
      <c r="AE103" s="156"/>
    </row>
    <row r="104" spans="1:31" x14ac:dyDescent="0.25">
      <c r="A104" s="159">
        <v>2</v>
      </c>
      <c r="B104" s="159"/>
      <c r="C104" s="159">
        <v>93.9</v>
      </c>
      <c r="D104" s="159">
        <v>78</v>
      </c>
      <c r="E104" s="159"/>
      <c r="F104" s="159"/>
      <c r="G104" s="159"/>
      <c r="H104" s="156"/>
      <c r="I104" s="164">
        <v>86.6</v>
      </c>
      <c r="J104" s="156">
        <v>2</v>
      </c>
      <c r="K104" s="156"/>
      <c r="L104" s="165">
        <v>10188</v>
      </c>
      <c r="M104" s="164">
        <v>126.69999999999993</v>
      </c>
      <c r="N104" s="164">
        <f t="shared" si="1"/>
        <v>273.37521622286363</v>
      </c>
      <c r="O104" s="165">
        <v>5864</v>
      </c>
      <c r="P104" s="164">
        <v>369.29999999999995</v>
      </c>
      <c r="Q104" s="164">
        <f t="shared" ref="Q104:Q167" si="2">P104/I104*$I$69</f>
        <v>796.82294673325634</v>
      </c>
      <c r="R104" s="165">
        <v>12525</v>
      </c>
      <c r="S104" s="164">
        <v>176.29999999999998</v>
      </c>
      <c r="T104" s="164">
        <f t="shared" ref="T104:T167" si="3">S104/I104*$I$69</f>
        <v>380.39503251847577</v>
      </c>
      <c r="U104" s="156"/>
      <c r="V104" s="159" t="s">
        <v>14</v>
      </c>
      <c r="W104" s="170">
        <f>+W106-SUM(W101:W103)</f>
        <v>150278.30848199822</v>
      </c>
      <c r="X104" s="170">
        <f>+X106-SUM(X101:X103)</f>
        <v>165195.6098987138</v>
      </c>
      <c r="Y104" s="170">
        <f>+Y106-SUM(Y101:Y103)</f>
        <v>151060</v>
      </c>
      <c r="Z104" s="156"/>
      <c r="AA104" s="156"/>
      <c r="AB104" s="156"/>
      <c r="AC104" s="156"/>
      <c r="AD104" s="156"/>
      <c r="AE104" s="156"/>
    </row>
    <row r="105" spans="1:31" x14ac:dyDescent="0.25">
      <c r="A105" s="159">
        <v>3</v>
      </c>
      <c r="B105" s="159"/>
      <c r="C105" s="159">
        <v>90.2</v>
      </c>
      <c r="D105" s="159">
        <v>76.099999999999994</v>
      </c>
      <c r="E105" s="159"/>
      <c r="F105" s="159"/>
      <c r="G105" s="159"/>
      <c r="H105" s="156"/>
      <c r="I105" s="164">
        <v>86.6</v>
      </c>
      <c r="J105" s="156">
        <v>3</v>
      </c>
      <c r="K105" s="156"/>
      <c r="L105" s="165">
        <v>10621</v>
      </c>
      <c r="M105" s="164">
        <v>132.60000000000002</v>
      </c>
      <c r="N105" s="164">
        <f t="shared" si="1"/>
        <v>286.10539598383377</v>
      </c>
      <c r="O105" s="165">
        <v>7951</v>
      </c>
      <c r="P105" s="164">
        <v>430.9</v>
      </c>
      <c r="Q105" s="164">
        <f t="shared" si="2"/>
        <v>929.73465406812932</v>
      </c>
      <c r="R105" s="165">
        <v>14126</v>
      </c>
      <c r="S105" s="164">
        <v>204.90000000000003</v>
      </c>
      <c r="T105" s="164">
        <f t="shared" si="3"/>
        <v>442.10403949538113</v>
      </c>
      <c r="U105" s="156"/>
      <c r="V105" s="159"/>
      <c r="W105" s="159"/>
      <c r="X105" s="159"/>
      <c r="Y105" s="159"/>
      <c r="Z105" s="156"/>
      <c r="AA105" s="156"/>
      <c r="AB105" s="156"/>
      <c r="AC105" s="156"/>
      <c r="AD105" s="156"/>
      <c r="AE105" s="156"/>
    </row>
    <row r="106" spans="1:31" x14ac:dyDescent="0.25">
      <c r="A106" s="159">
        <v>4</v>
      </c>
      <c r="B106" s="159"/>
      <c r="C106" s="159">
        <v>92.6</v>
      </c>
      <c r="D106" s="159">
        <v>78.099999999999994</v>
      </c>
      <c r="E106" s="159"/>
      <c r="F106" s="159"/>
      <c r="G106" s="159"/>
      <c r="H106" s="156"/>
      <c r="I106" s="164">
        <v>87.3</v>
      </c>
      <c r="J106" s="156">
        <v>4</v>
      </c>
      <c r="K106" s="156"/>
      <c r="L106" s="165">
        <v>11640</v>
      </c>
      <c r="M106" s="164">
        <v>138.20000000000005</v>
      </c>
      <c r="N106" s="164">
        <f t="shared" si="1"/>
        <v>295.79730716380311</v>
      </c>
      <c r="O106" s="165">
        <v>13048</v>
      </c>
      <c r="P106" s="164">
        <v>427.00000000000023</v>
      </c>
      <c r="Q106" s="164">
        <f t="shared" si="2"/>
        <v>913.93234557846563</v>
      </c>
      <c r="R106" s="165">
        <v>13048</v>
      </c>
      <c r="S106" s="164">
        <v>185</v>
      </c>
      <c r="T106" s="164">
        <f t="shared" si="3"/>
        <v>395.96600452462775</v>
      </c>
      <c r="U106" s="156"/>
      <c r="V106" s="159" t="s">
        <v>87</v>
      </c>
      <c r="W106" s="169">
        <f>IF('Tab7'!C8="",+'Tab7'!C7+'Tab11'!C7,+'Tab7'!C8+'Tab11'!C8)</f>
        <v>231807.44098981499</v>
      </c>
      <c r="X106" s="169">
        <f>IF('Tab7'!D8="",+'Tab7'!D7+'Tab11'!D7,+'Tab7'!D8+'Tab11'!D8)</f>
        <v>271519.09875468642</v>
      </c>
      <c r="Y106" s="169">
        <f>IF('Tab7'!E8="",+'Tab7'!E7+'Tab11'!E7,+'Tab7'!E8+'Tab11'!E8)</f>
        <v>229613</v>
      </c>
      <c r="Z106" s="156"/>
      <c r="AA106" s="156"/>
      <c r="AB106" s="156"/>
      <c r="AC106" s="156"/>
      <c r="AD106" s="156"/>
      <c r="AE106" s="156"/>
    </row>
    <row r="107" spans="1:31" x14ac:dyDescent="0.25">
      <c r="A107" s="159">
        <v>1</v>
      </c>
      <c r="B107" s="159">
        <v>1992</v>
      </c>
      <c r="C107" s="159">
        <v>102</v>
      </c>
      <c r="D107" s="159">
        <v>87.1</v>
      </c>
      <c r="E107" s="159"/>
      <c r="F107" s="159"/>
      <c r="G107" s="159"/>
      <c r="H107" s="156"/>
      <c r="I107" s="164">
        <v>87.5</v>
      </c>
      <c r="J107" s="156">
        <v>1</v>
      </c>
      <c r="K107" s="156">
        <v>1992</v>
      </c>
      <c r="L107" s="165">
        <v>10520</v>
      </c>
      <c r="M107" s="164">
        <v>129.4</v>
      </c>
      <c r="N107" s="164">
        <f>M107/I107*$I$69</f>
        <v>276.32911110628572</v>
      </c>
      <c r="O107" s="165">
        <v>6509</v>
      </c>
      <c r="P107" s="164">
        <v>409.5</v>
      </c>
      <c r="Q107" s="164">
        <f t="shared" si="2"/>
        <v>874.47272795999993</v>
      </c>
      <c r="R107" s="165">
        <v>11030</v>
      </c>
      <c r="S107" s="164">
        <v>180.5</v>
      </c>
      <c r="T107" s="164">
        <f t="shared" si="3"/>
        <v>385.45134895428572</v>
      </c>
      <c r="U107" s="156"/>
      <c r="V107" s="156"/>
      <c r="W107" s="156"/>
      <c r="X107" s="156"/>
      <c r="Y107" s="156"/>
      <c r="Z107" s="156"/>
      <c r="AA107" s="156"/>
      <c r="AB107" s="156"/>
      <c r="AC107" s="156"/>
      <c r="AD107" s="156"/>
      <c r="AE107" s="156"/>
    </row>
    <row r="108" spans="1:31" x14ac:dyDescent="0.25">
      <c r="A108" s="159">
        <v>2</v>
      </c>
      <c r="B108" s="159"/>
      <c r="C108" s="159">
        <v>92.2</v>
      </c>
      <c r="D108" s="159">
        <v>78.900000000000006</v>
      </c>
      <c r="E108" s="159"/>
      <c r="F108" s="159"/>
      <c r="G108" s="159"/>
      <c r="H108" s="156"/>
      <c r="I108" s="164">
        <v>88.6</v>
      </c>
      <c r="J108" s="156">
        <v>2</v>
      </c>
      <c r="K108" s="156"/>
      <c r="L108" s="165">
        <v>10661</v>
      </c>
      <c r="M108" s="164">
        <v>112.9</v>
      </c>
      <c r="N108" s="164">
        <f t="shared" ref="N108:N171" si="4">M108/I108*$I$69</f>
        <v>238.10068054514679</v>
      </c>
      <c r="O108" s="165">
        <v>5632</v>
      </c>
      <c r="P108" s="164">
        <v>412</v>
      </c>
      <c r="Q108" s="164">
        <f t="shared" si="2"/>
        <v>868.88822306997747</v>
      </c>
      <c r="R108" s="165">
        <v>13252</v>
      </c>
      <c r="S108" s="164">
        <v>167</v>
      </c>
      <c r="T108" s="164">
        <f t="shared" si="3"/>
        <v>352.19498362302488</v>
      </c>
      <c r="U108" s="156"/>
      <c r="V108" s="156"/>
      <c r="W108" s="156"/>
      <c r="X108" s="156"/>
      <c r="Y108" s="156"/>
      <c r="Z108" s="156"/>
      <c r="AA108" s="156"/>
      <c r="AB108" s="156"/>
      <c r="AC108" s="156"/>
      <c r="AD108" s="156"/>
      <c r="AE108" s="156"/>
    </row>
    <row r="109" spans="1:31" x14ac:dyDescent="0.25">
      <c r="A109" s="159">
        <v>3</v>
      </c>
      <c r="B109" s="159"/>
      <c r="C109" s="159">
        <v>93.3</v>
      </c>
      <c r="D109" s="159">
        <v>79.900000000000006</v>
      </c>
      <c r="E109" s="159"/>
      <c r="F109" s="159"/>
      <c r="G109" s="159"/>
      <c r="H109" s="156"/>
      <c r="I109" s="164">
        <v>88.7</v>
      </c>
      <c r="J109" s="156">
        <v>3</v>
      </c>
      <c r="K109" s="156"/>
      <c r="L109" s="165">
        <v>11590</v>
      </c>
      <c r="M109" s="164">
        <v>130.59999999999997</v>
      </c>
      <c r="N109" s="164">
        <f t="shared" si="4"/>
        <v>275.11861328297624</v>
      </c>
      <c r="O109" s="165">
        <v>8642</v>
      </c>
      <c r="P109" s="164">
        <v>440.40000000000009</v>
      </c>
      <c r="Q109" s="164">
        <f t="shared" si="2"/>
        <v>927.73535443968456</v>
      </c>
      <c r="R109" s="165">
        <v>15450</v>
      </c>
      <c r="S109" s="164">
        <v>219.10000000000002</v>
      </c>
      <c r="T109" s="164">
        <f t="shared" si="3"/>
        <v>461.55044540811724</v>
      </c>
      <c r="U109" s="156"/>
      <c r="V109" s="158" t="s">
        <v>186</v>
      </c>
      <c r="W109" s="159"/>
      <c r="X109" s="159"/>
      <c r="Y109" s="159"/>
      <c r="Z109" s="156"/>
      <c r="AA109" s="156"/>
      <c r="AB109" s="156"/>
      <c r="AC109" s="156"/>
      <c r="AD109" s="156"/>
      <c r="AE109" s="156"/>
    </row>
    <row r="110" spans="1:31" x14ac:dyDescent="0.25">
      <c r="A110" s="159">
        <v>4</v>
      </c>
      <c r="B110" s="159"/>
      <c r="C110" s="159">
        <v>90.8</v>
      </c>
      <c r="D110" s="159">
        <v>77.599999999999994</v>
      </c>
      <c r="E110" s="159"/>
      <c r="F110" s="159"/>
      <c r="G110" s="159"/>
      <c r="H110" s="156"/>
      <c r="I110" s="164">
        <v>89.3</v>
      </c>
      <c r="J110" s="156">
        <v>4</v>
      </c>
      <c r="K110" s="156"/>
      <c r="L110" s="165">
        <v>11917</v>
      </c>
      <c r="M110" s="164">
        <v>108.50000000000006</v>
      </c>
      <c r="N110" s="164">
        <f t="shared" si="4"/>
        <v>227.02761981522968</v>
      </c>
      <c r="O110" s="165">
        <v>7139</v>
      </c>
      <c r="P110" s="164">
        <v>425.59999999999991</v>
      </c>
      <c r="Q110" s="164">
        <f t="shared" si="2"/>
        <v>890.53414740425512</v>
      </c>
      <c r="R110" s="165">
        <v>12309</v>
      </c>
      <c r="S110" s="164">
        <v>109.39999999999998</v>
      </c>
      <c r="T110" s="164">
        <f t="shared" si="3"/>
        <v>228.91079822844344</v>
      </c>
      <c r="U110" s="156"/>
      <c r="V110" s="159"/>
      <c r="W110" s="159"/>
      <c r="X110" s="159"/>
      <c r="Y110" s="159"/>
      <c r="Z110" s="156"/>
      <c r="AA110" s="156"/>
      <c r="AB110" s="156"/>
      <c r="AC110" s="156"/>
      <c r="AD110" s="156"/>
      <c r="AE110" s="156"/>
    </row>
    <row r="111" spans="1:31" x14ac:dyDescent="0.25">
      <c r="A111" s="159">
        <v>1</v>
      </c>
      <c r="B111" s="159">
        <v>1993</v>
      </c>
      <c r="C111" s="159">
        <v>112.6</v>
      </c>
      <c r="D111" s="159">
        <v>96.5</v>
      </c>
      <c r="E111" s="159"/>
      <c r="F111" s="159"/>
      <c r="G111" s="159"/>
      <c r="H111" s="156"/>
      <c r="I111" s="164">
        <v>89.8</v>
      </c>
      <c r="J111" s="156">
        <v>1</v>
      </c>
      <c r="K111" s="156">
        <v>1993</v>
      </c>
      <c r="L111" s="165">
        <v>11275</v>
      </c>
      <c r="M111" s="164">
        <v>136.89999999999998</v>
      </c>
      <c r="N111" s="164">
        <f t="shared" si="4"/>
        <v>284.85741452449884</v>
      </c>
      <c r="O111" s="165">
        <v>6982</v>
      </c>
      <c r="P111" s="164">
        <v>449.4</v>
      </c>
      <c r="Q111" s="164">
        <f t="shared" si="2"/>
        <v>935.09804300445433</v>
      </c>
      <c r="R111" s="165">
        <v>10571</v>
      </c>
      <c r="S111" s="164">
        <v>175.5</v>
      </c>
      <c r="T111" s="164">
        <f t="shared" si="3"/>
        <v>365.17513695434303</v>
      </c>
      <c r="U111" s="156"/>
      <c r="V111" s="159"/>
      <c r="W111" s="163" t="str">
        <f>+W100</f>
        <v>2023</v>
      </c>
      <c r="X111" s="163" t="str">
        <f>+X100</f>
        <v>2024</v>
      </c>
      <c r="Y111" s="163" t="str">
        <f>+Y100</f>
        <v>2025</v>
      </c>
      <c r="Z111" s="156"/>
      <c r="AA111" s="156"/>
      <c r="AB111" s="156"/>
      <c r="AC111" s="156"/>
      <c r="AD111" s="156"/>
      <c r="AE111" s="156"/>
    </row>
    <row r="112" spans="1:31" x14ac:dyDescent="0.25">
      <c r="A112" s="159">
        <v>2</v>
      </c>
      <c r="B112" s="159"/>
      <c r="C112" s="159">
        <f>205.6-C111</f>
        <v>93</v>
      </c>
      <c r="D112" s="159">
        <f>176.6-D111</f>
        <v>80.099999999999994</v>
      </c>
      <c r="E112" s="159"/>
      <c r="F112" s="159"/>
      <c r="G112" s="159"/>
      <c r="H112" s="156"/>
      <c r="I112" s="164">
        <v>90.8</v>
      </c>
      <c r="J112" s="156">
        <v>2</v>
      </c>
      <c r="K112" s="156"/>
      <c r="L112" s="165">
        <v>10076</v>
      </c>
      <c r="M112" s="164">
        <v>115.20000000000002</v>
      </c>
      <c r="N112" s="164">
        <f t="shared" si="4"/>
        <v>237.06478562114543</v>
      </c>
      <c r="O112" s="165">
        <v>6332</v>
      </c>
      <c r="P112" s="164">
        <v>352.9</v>
      </c>
      <c r="Q112" s="164">
        <f t="shared" si="2"/>
        <v>726.21669136894275</v>
      </c>
      <c r="R112" s="165">
        <v>12919</v>
      </c>
      <c r="S112" s="164">
        <v>191.20000000000005</v>
      </c>
      <c r="T112" s="164">
        <f t="shared" si="3"/>
        <v>393.46169280176218</v>
      </c>
      <c r="U112" s="156"/>
      <c r="V112" s="159" t="s">
        <v>171</v>
      </c>
      <c r="W112" s="168">
        <f>IF('Tab7'!C38="",+'Tab7'!C37+'Tab11'!C37,+'Tab7'!C38+'Tab11'!C38)</f>
        <v>3625.6170606681403</v>
      </c>
      <c r="X112" s="168">
        <f>IF('Tab7'!D38="",+'Tab7'!D37+'Tab11'!D37,+'Tab7'!D38+'Tab11'!D38)</f>
        <v>3705.575352852215</v>
      </c>
      <c r="Y112" s="168">
        <f>IF('Tab7'!E38="",+'Tab7'!E37+'Tab11'!E37,+'Tab7'!E38+'Tab11'!E38)</f>
        <v>4143.2921037936703</v>
      </c>
      <c r="Z112" s="156"/>
      <c r="AA112" s="156"/>
      <c r="AB112" s="156"/>
      <c r="AC112" s="156"/>
      <c r="AD112" s="156"/>
      <c r="AE112" s="156"/>
    </row>
    <row r="113" spans="1:31" x14ac:dyDescent="0.25">
      <c r="A113" s="159">
        <v>3</v>
      </c>
      <c r="B113" s="159"/>
      <c r="C113" s="159">
        <f>293.1-C112-C111</f>
        <v>87.500000000000028</v>
      </c>
      <c r="D113" s="159">
        <f>250.2-D112-D111</f>
        <v>73.599999999999994</v>
      </c>
      <c r="E113" s="159"/>
      <c r="F113" s="159"/>
      <c r="G113" s="159"/>
      <c r="H113" s="156"/>
      <c r="I113" s="164">
        <v>90.6</v>
      </c>
      <c r="J113" s="156">
        <v>3</v>
      </c>
      <c r="K113" s="156"/>
      <c r="L113" s="165">
        <v>11766</v>
      </c>
      <c r="M113" s="164">
        <v>132.79999999999998</v>
      </c>
      <c r="N113" s="164">
        <f t="shared" si="4"/>
        <v>273.8862905253863</v>
      </c>
      <c r="O113" s="165">
        <v>6675</v>
      </c>
      <c r="P113" s="164">
        <v>388.50000000000023</v>
      </c>
      <c r="Q113" s="164">
        <f t="shared" si="2"/>
        <v>801.24114359271573</v>
      </c>
      <c r="R113" s="165">
        <v>14800</v>
      </c>
      <c r="S113" s="164">
        <v>216.89999999999998</v>
      </c>
      <c r="T113" s="164">
        <f t="shared" si="3"/>
        <v>447.33385854635759</v>
      </c>
      <c r="U113" s="156"/>
      <c r="V113" s="159" t="s">
        <v>86</v>
      </c>
      <c r="W113" s="168">
        <f>IF('Tab7'!C40="",+'Tab7'!C39+'Tab11'!C39,+'Tab7'!C40+'Tab11'!C40)</f>
        <v>2981.0519010570115</v>
      </c>
      <c r="X113" s="168">
        <f>IF('Tab7'!D40="",+'Tab7'!D39+'Tab11'!D39,+'Tab7'!D40+'Tab11'!D40)</f>
        <v>4376.3099442946632</v>
      </c>
      <c r="Y113" s="168">
        <f>IF('Tab7'!E40="",+'Tab7'!E39+'Tab11'!E39,+'Tab7'!E40+'Tab11'!E40)</f>
        <v>3145.5367856009429</v>
      </c>
      <c r="Z113" s="156"/>
      <c r="AA113" s="156"/>
      <c r="AB113" s="156"/>
      <c r="AC113" s="156"/>
      <c r="AD113" s="156"/>
      <c r="AE113" s="156"/>
    </row>
    <row r="114" spans="1:31" x14ac:dyDescent="0.25">
      <c r="A114" s="159">
        <v>4</v>
      </c>
      <c r="B114" s="159"/>
      <c r="C114" s="159">
        <f>413.2-C113-C112-C111</f>
        <v>120.09999999999994</v>
      </c>
      <c r="D114" s="159">
        <f>356.8-D113-D112-D111</f>
        <v>106.60000000000005</v>
      </c>
      <c r="E114" s="159"/>
      <c r="F114" s="159"/>
      <c r="G114" s="159"/>
      <c r="H114" s="156"/>
      <c r="I114" s="164">
        <v>91</v>
      </c>
      <c r="J114" s="156">
        <v>4</v>
      </c>
      <c r="K114" s="156"/>
      <c r="L114" s="165">
        <v>12707</v>
      </c>
      <c r="M114" s="164">
        <v>157.79999999999995</v>
      </c>
      <c r="N114" s="164">
        <f t="shared" si="4"/>
        <v>324.01567688571419</v>
      </c>
      <c r="O114" s="165">
        <v>6319</v>
      </c>
      <c r="P114" s="164">
        <v>466.99999999999977</v>
      </c>
      <c r="Q114" s="164">
        <f t="shared" si="2"/>
        <v>958.90571042857107</v>
      </c>
      <c r="R114" s="165">
        <v>11391</v>
      </c>
      <c r="S114" s="164">
        <v>164.5</v>
      </c>
      <c r="T114" s="164">
        <f t="shared" si="3"/>
        <v>337.77299650000003</v>
      </c>
      <c r="U114" s="156"/>
      <c r="V114" s="159" t="s">
        <v>63</v>
      </c>
      <c r="W114" s="168">
        <f>IF('Tab7'!C42="",+'Tab7'!C41+'Tab11'!C41,+'Tab7'!C42+'Tab11'!C42)</f>
        <v>344.72357449875824</v>
      </c>
      <c r="X114" s="168">
        <f>IF('Tab7'!D42="",+'Tab7'!D41+'Tab11'!D41,+'Tab7'!D42+'Tab11'!D42)</f>
        <v>388.51714921554247</v>
      </c>
      <c r="Y114" s="168">
        <f>IF('Tab7'!E42="",+'Tab7'!E41+'Tab11'!E41,+'Tab7'!E42+'Tab11'!E42)</f>
        <v>375.71068901463235</v>
      </c>
      <c r="Z114" s="156"/>
      <c r="AA114" s="156"/>
      <c r="AB114" s="156"/>
      <c r="AC114" s="156"/>
      <c r="AD114" s="156"/>
      <c r="AE114" s="156"/>
    </row>
    <row r="115" spans="1:31" x14ac:dyDescent="0.25">
      <c r="A115" s="159">
        <v>1</v>
      </c>
      <c r="B115" s="159">
        <v>1994</v>
      </c>
      <c r="C115" s="159">
        <v>138.4</v>
      </c>
      <c r="D115" s="159">
        <v>120</v>
      </c>
      <c r="E115" s="159"/>
      <c r="F115" s="159"/>
      <c r="G115" s="159"/>
      <c r="H115" s="156"/>
      <c r="I115" s="164">
        <v>91</v>
      </c>
      <c r="J115" s="156">
        <v>1</v>
      </c>
      <c r="K115" s="156">
        <v>1994</v>
      </c>
      <c r="L115" s="165">
        <v>15224</v>
      </c>
      <c r="M115" s="164">
        <v>189</v>
      </c>
      <c r="N115" s="164">
        <f t="shared" si="4"/>
        <v>388.07961300000005</v>
      </c>
      <c r="O115" s="165">
        <v>6291</v>
      </c>
      <c r="P115" s="164">
        <v>427.6</v>
      </c>
      <c r="Q115" s="164">
        <f t="shared" si="2"/>
        <v>878.00445777142863</v>
      </c>
      <c r="R115" s="165">
        <v>8795</v>
      </c>
      <c r="S115" s="164">
        <v>161.69999999999999</v>
      </c>
      <c r="T115" s="164">
        <f t="shared" si="3"/>
        <v>332.02366890000002</v>
      </c>
      <c r="U115" s="156"/>
      <c r="V115" s="159" t="s">
        <v>14</v>
      </c>
      <c r="W115" s="171">
        <f>+W117-SUM(W112:W114)</f>
        <v>3531.4611423514461</v>
      </c>
      <c r="X115" s="171">
        <f>+X117-SUM(X112:X114)</f>
        <v>3010.5487058816925</v>
      </c>
      <c r="Y115" s="171">
        <f>+Y117-SUM(Y112:Y114)</f>
        <v>2385.8717741055634</v>
      </c>
      <c r="Z115" s="156"/>
      <c r="AA115" s="156"/>
      <c r="AB115" s="156"/>
      <c r="AC115" s="156"/>
      <c r="AD115" s="156"/>
      <c r="AE115" s="156"/>
    </row>
    <row r="116" spans="1:31" x14ac:dyDescent="0.25">
      <c r="A116" s="159">
        <v>2</v>
      </c>
      <c r="B116" s="159"/>
      <c r="C116" s="159">
        <f>252.9-C115</f>
        <v>114.5</v>
      </c>
      <c r="D116" s="159">
        <f>218.1-D115</f>
        <v>98.1</v>
      </c>
      <c r="E116" s="159"/>
      <c r="F116" s="159"/>
      <c r="G116" s="159"/>
      <c r="H116" s="156"/>
      <c r="I116" s="164">
        <v>91.7</v>
      </c>
      <c r="J116" s="156">
        <v>2</v>
      </c>
      <c r="K116" s="156"/>
      <c r="L116" s="165">
        <v>13585</v>
      </c>
      <c r="M116" s="164">
        <v>166.5</v>
      </c>
      <c r="N116" s="164">
        <f t="shared" si="4"/>
        <v>339.26989068157036</v>
      </c>
      <c r="O116" s="165">
        <v>5517</v>
      </c>
      <c r="P116" s="164">
        <v>494.30000000000007</v>
      </c>
      <c r="Q116" s="164">
        <f t="shared" si="2"/>
        <v>1007.2138556390404</v>
      </c>
      <c r="R116" s="165">
        <v>13449</v>
      </c>
      <c r="S116" s="164">
        <v>196.2</v>
      </c>
      <c r="T116" s="164">
        <f t="shared" si="3"/>
        <v>399.78830361395859</v>
      </c>
      <c r="U116" s="156"/>
      <c r="V116" s="159"/>
      <c r="W116" s="168"/>
      <c r="X116" s="168"/>
      <c r="Y116" s="168"/>
      <c r="Z116" s="156"/>
      <c r="AA116" s="156"/>
      <c r="AB116" s="156"/>
      <c r="AC116" s="156"/>
      <c r="AD116" s="156"/>
      <c r="AE116" s="156"/>
    </row>
    <row r="117" spans="1:31" x14ac:dyDescent="0.25">
      <c r="A117" s="159">
        <v>3</v>
      </c>
      <c r="B117" s="159"/>
      <c r="C117" s="159">
        <f>365.7-C115-C116</f>
        <v>112.79999999999998</v>
      </c>
      <c r="D117" s="159">
        <f>316.9-D115-D116</f>
        <v>98.799999999999983</v>
      </c>
      <c r="E117" s="159"/>
      <c r="F117" s="159"/>
      <c r="G117" s="159"/>
      <c r="H117" s="156"/>
      <c r="I117" s="164">
        <v>92.1</v>
      </c>
      <c r="J117" s="156">
        <v>3</v>
      </c>
      <c r="K117" s="156"/>
      <c r="L117" s="165">
        <v>13956</v>
      </c>
      <c r="M117" s="164">
        <v>169.89999999999998</v>
      </c>
      <c r="N117" s="164">
        <f t="shared" si="4"/>
        <v>344.69435043756783</v>
      </c>
      <c r="O117" s="165">
        <v>8952</v>
      </c>
      <c r="P117" s="164">
        <v>425.5</v>
      </c>
      <c r="Q117" s="164">
        <f t="shared" si="2"/>
        <v>863.25748152551591</v>
      </c>
      <c r="R117" s="165">
        <v>15669</v>
      </c>
      <c r="S117" s="164">
        <v>219.80000000000007</v>
      </c>
      <c r="T117" s="164">
        <f t="shared" si="3"/>
        <v>445.93183181976133</v>
      </c>
      <c r="U117" s="156"/>
      <c r="V117" s="159" t="s">
        <v>87</v>
      </c>
      <c r="W117" s="168">
        <f>IF('Tab7'!C36="",+'Tab7'!C35+'Tab11'!C35,+'Tab7'!C36+'Tab11'!C36)</f>
        <v>10482.853678575357</v>
      </c>
      <c r="X117" s="168">
        <f>IF('Tab7'!D36="",+'Tab7'!D35+'Tab11'!D35,+'Tab7'!D36+'Tab11'!D36)</f>
        <v>11480.951152244113</v>
      </c>
      <c r="Y117" s="168">
        <f>IF('Tab7'!E36="",+'Tab7'!E35+'Tab11'!E35,+'Tab7'!E36+'Tab11'!E36)</f>
        <v>10050.41135251481</v>
      </c>
      <c r="Z117" s="156"/>
      <c r="AA117" s="156"/>
      <c r="AB117" s="156"/>
      <c r="AC117" s="156"/>
      <c r="AD117" s="156"/>
      <c r="AE117" s="156"/>
    </row>
    <row r="118" spans="1:31" x14ac:dyDescent="0.25">
      <c r="A118" s="159">
        <v>4</v>
      </c>
      <c r="B118" s="159"/>
      <c r="C118" s="159">
        <f>480.2-C115-C116-C117</f>
        <v>114.49999999999997</v>
      </c>
      <c r="D118" s="159">
        <f>417.1-D115-D116-D117</f>
        <v>100.20000000000005</v>
      </c>
      <c r="E118" s="159"/>
      <c r="F118" s="159"/>
      <c r="G118" s="159"/>
      <c r="H118" s="156"/>
      <c r="I118" s="164">
        <v>92.6</v>
      </c>
      <c r="J118" s="156">
        <v>4</v>
      </c>
      <c r="K118" s="156"/>
      <c r="L118" s="165">
        <v>14006</v>
      </c>
      <c r="M118" s="164">
        <v>140.80000000000007</v>
      </c>
      <c r="N118" s="164">
        <f t="shared" si="4"/>
        <v>284.11364036285113</v>
      </c>
      <c r="O118" s="165">
        <v>8189</v>
      </c>
      <c r="P118" s="164">
        <v>390.59999999999991</v>
      </c>
      <c r="Q118" s="164">
        <f t="shared" si="2"/>
        <v>788.17320969978402</v>
      </c>
      <c r="R118" s="165">
        <v>14139</v>
      </c>
      <c r="S118" s="164">
        <v>214.39999999999998</v>
      </c>
      <c r="T118" s="164">
        <f t="shared" si="3"/>
        <v>432.62758873434126</v>
      </c>
      <c r="U118" s="156"/>
      <c r="V118" s="159"/>
      <c r="W118" s="156"/>
      <c r="X118" s="159"/>
      <c r="Y118" s="156"/>
      <c r="Z118" s="156"/>
      <c r="AA118" s="156"/>
      <c r="AB118" s="156"/>
      <c r="AC118" s="156"/>
      <c r="AD118" s="156"/>
      <c r="AE118" s="156"/>
    </row>
    <row r="119" spans="1:31" x14ac:dyDescent="0.25">
      <c r="A119" s="159">
        <v>1</v>
      </c>
      <c r="B119" s="159">
        <v>1995</v>
      </c>
      <c r="C119" s="159">
        <v>137.19999999999999</v>
      </c>
      <c r="D119" s="159">
        <v>119.3</v>
      </c>
      <c r="E119" s="159"/>
      <c r="F119" s="159"/>
      <c r="G119" s="159"/>
      <c r="H119" s="156"/>
      <c r="I119" s="164">
        <v>93.4</v>
      </c>
      <c r="J119" s="156">
        <v>1</v>
      </c>
      <c r="K119" s="156">
        <v>1995</v>
      </c>
      <c r="L119" s="165">
        <v>13188</v>
      </c>
      <c r="M119" s="164">
        <v>171.1</v>
      </c>
      <c r="N119" s="164">
        <f t="shared" si="4"/>
        <v>342.29736029657386</v>
      </c>
      <c r="O119" s="165">
        <v>7699</v>
      </c>
      <c r="P119" s="164">
        <v>543</v>
      </c>
      <c r="Q119" s="164">
        <f t="shared" si="2"/>
        <v>1086.3089809528908</v>
      </c>
      <c r="R119" s="165">
        <v>11007</v>
      </c>
      <c r="S119" s="164">
        <v>183.1</v>
      </c>
      <c r="T119" s="164">
        <f t="shared" si="3"/>
        <v>366.30418860492506</v>
      </c>
      <c r="U119" s="156"/>
      <c r="V119" s="158" t="s">
        <v>180</v>
      </c>
      <c r="W119" s="156"/>
      <c r="X119" s="156"/>
      <c r="Y119" s="156"/>
      <c r="Z119" s="156"/>
      <c r="AA119" s="156"/>
      <c r="AB119" s="156"/>
      <c r="AC119" s="156"/>
      <c r="AD119" s="156"/>
      <c r="AE119" s="156"/>
    </row>
    <row r="120" spans="1:31" x14ac:dyDescent="0.25">
      <c r="A120" s="159">
        <v>2</v>
      </c>
      <c r="B120" s="159"/>
      <c r="C120" s="159">
        <f>248.2-C119</f>
        <v>111</v>
      </c>
      <c r="D120" s="159">
        <f>214.7-D119</f>
        <v>95.399999999999991</v>
      </c>
      <c r="E120" s="159"/>
      <c r="F120" s="159"/>
      <c r="G120" s="159"/>
      <c r="H120" s="156"/>
      <c r="I120" s="164">
        <v>94.1</v>
      </c>
      <c r="J120" s="156">
        <v>2</v>
      </c>
      <c r="K120" s="156"/>
      <c r="L120" s="165">
        <v>11077</v>
      </c>
      <c r="M120" s="164">
        <v>148.30000000000004</v>
      </c>
      <c r="N120" s="164">
        <f t="shared" si="4"/>
        <v>294.47738257279502</v>
      </c>
      <c r="O120" s="165">
        <v>5465</v>
      </c>
      <c r="P120" s="164">
        <v>462.40000000000009</v>
      </c>
      <c r="Q120" s="164">
        <f t="shared" si="2"/>
        <v>918.18167027417667</v>
      </c>
      <c r="R120" s="165">
        <v>13915</v>
      </c>
      <c r="S120" s="164">
        <v>213.4</v>
      </c>
      <c r="T120" s="164">
        <f t="shared" si="3"/>
        <v>423.74560648034009</v>
      </c>
      <c r="U120" s="156"/>
      <c r="V120" s="156"/>
      <c r="W120" s="156"/>
      <c r="X120" s="156"/>
      <c r="Y120" s="156"/>
      <c r="Z120" s="156"/>
      <c r="AA120" s="156"/>
      <c r="AB120" s="156"/>
      <c r="AC120" s="156"/>
      <c r="AD120" s="156"/>
      <c r="AE120" s="156"/>
    </row>
    <row r="121" spans="1:31" x14ac:dyDescent="0.25">
      <c r="A121" s="159">
        <v>3</v>
      </c>
      <c r="B121" s="159"/>
      <c r="C121" s="159">
        <f>364.1-C119-C120</f>
        <v>115.90000000000003</v>
      </c>
      <c r="D121" s="159">
        <f>315.7-D119-D120</f>
        <v>100.99999999999999</v>
      </c>
      <c r="E121" s="159"/>
      <c r="F121" s="159"/>
      <c r="G121" s="159"/>
      <c r="H121" s="156"/>
      <c r="I121" s="164">
        <v>94.1</v>
      </c>
      <c r="J121" s="156">
        <v>3</v>
      </c>
      <c r="K121" s="156"/>
      <c r="L121" s="165">
        <v>13937</v>
      </c>
      <c r="M121" s="164">
        <v>180.19999999999993</v>
      </c>
      <c r="N121" s="164">
        <f t="shared" si="4"/>
        <v>357.82079797449512</v>
      </c>
      <c r="O121" s="165">
        <v>9139</v>
      </c>
      <c r="P121" s="164">
        <v>487.89999999999986</v>
      </c>
      <c r="Q121" s="164">
        <f t="shared" si="2"/>
        <v>968.81668885547265</v>
      </c>
      <c r="R121" s="165">
        <v>17436</v>
      </c>
      <c r="S121" s="164">
        <v>224.09999999999991</v>
      </c>
      <c r="T121" s="164">
        <f t="shared" si="3"/>
        <v>444.99245741445259</v>
      </c>
      <c r="U121" s="156"/>
      <c r="V121" s="159"/>
      <c r="W121" s="163" t="str">
        <f>+'Tab3'!C6</f>
        <v>2023</v>
      </c>
      <c r="X121" s="163" t="str">
        <f>+'Tab3'!D6</f>
        <v>2024</v>
      </c>
      <c r="Y121" s="163" t="str">
        <f>+'Tab3'!E6</f>
        <v>2025</v>
      </c>
      <c r="Z121" s="156"/>
      <c r="AA121" s="156"/>
      <c r="AB121" s="156"/>
      <c r="AC121" s="156"/>
      <c r="AD121" s="156"/>
      <c r="AE121" s="156"/>
    </row>
    <row r="122" spans="1:31" x14ac:dyDescent="0.25">
      <c r="A122" s="159">
        <v>4</v>
      </c>
      <c r="B122" s="159"/>
      <c r="C122" s="159">
        <f>482.9-C119-C120-C121</f>
        <v>118.79999999999995</v>
      </c>
      <c r="D122" s="159">
        <f>420.1-D119-D120-D121</f>
        <v>104.40000000000005</v>
      </c>
      <c r="E122" s="159"/>
      <c r="F122" s="159"/>
      <c r="G122" s="159"/>
      <c r="H122" s="156"/>
      <c r="I122" s="164">
        <v>94.6</v>
      </c>
      <c r="J122" s="156">
        <v>4</v>
      </c>
      <c r="K122" s="156"/>
      <c r="L122" s="165">
        <v>13920</v>
      </c>
      <c r="M122" s="164">
        <v>172.00000000000006</v>
      </c>
      <c r="N122" s="164">
        <f t="shared" si="4"/>
        <v>339.73299454545469</v>
      </c>
      <c r="O122" s="165">
        <v>7500</v>
      </c>
      <c r="P122" s="164">
        <v>369.89999999999986</v>
      </c>
      <c r="Q122" s="164">
        <f t="shared" si="2"/>
        <v>730.62345745560231</v>
      </c>
      <c r="R122" s="165">
        <v>15130</v>
      </c>
      <c r="S122" s="164">
        <v>206.30000000000018</v>
      </c>
      <c r="T122" s="164">
        <f t="shared" si="3"/>
        <v>407.48207427167057</v>
      </c>
      <c r="U122" s="156"/>
      <c r="V122" s="159" t="s">
        <v>10</v>
      </c>
      <c r="W122" s="163">
        <f>IF('Tab3'!C22="",'Tab3'!C29,'Tab3'!C30)</f>
        <v>175866.41322132733</v>
      </c>
      <c r="X122" s="163">
        <f>IF('Tab3'!D22="",'Tab3'!D29,'Tab3'!D30)</f>
        <v>191658.21794871794</v>
      </c>
      <c r="Y122" s="163">
        <f>IF('Tab3'!E22="",'Tab3'!E29,'Tab3'!E30)</f>
        <v>195071</v>
      </c>
      <c r="Z122" s="156"/>
      <c r="AA122" s="156"/>
      <c r="AB122" s="156"/>
      <c r="AC122" s="156"/>
      <c r="AD122" s="156"/>
      <c r="AE122" s="156"/>
    </row>
    <row r="123" spans="1:31" x14ac:dyDescent="0.25">
      <c r="A123" s="159">
        <v>1</v>
      </c>
      <c r="B123" s="159">
        <v>1996</v>
      </c>
      <c r="C123" s="159">
        <v>143.9</v>
      </c>
      <c r="D123" s="159">
        <v>126.9</v>
      </c>
      <c r="E123" s="159"/>
      <c r="F123" s="159"/>
      <c r="G123" s="159"/>
      <c r="H123" s="156"/>
      <c r="I123" s="164">
        <v>94.2</v>
      </c>
      <c r="J123" s="156">
        <v>1</v>
      </c>
      <c r="K123" s="156">
        <v>1996</v>
      </c>
      <c r="L123" s="165">
        <v>29850</v>
      </c>
      <c r="M123" s="164">
        <v>375.59999999999997</v>
      </c>
      <c r="N123" s="164">
        <f t="shared" si="4"/>
        <v>745.03229313375789</v>
      </c>
      <c r="O123" s="165">
        <v>7239</v>
      </c>
      <c r="P123" s="164">
        <v>479.9</v>
      </c>
      <c r="Q123" s="164">
        <f t="shared" si="2"/>
        <v>951.91958859129511</v>
      </c>
      <c r="R123" s="165">
        <v>11785</v>
      </c>
      <c r="S123" s="164">
        <v>198.60000000000002</v>
      </c>
      <c r="T123" s="164">
        <f t="shared" si="3"/>
        <v>393.9388003630574</v>
      </c>
      <c r="U123" s="156"/>
      <c r="V123" s="156" t="s">
        <v>112</v>
      </c>
      <c r="W123" s="163">
        <f>IF('Tab9'!C8="",'Tab9'!C7,'Tab9'!C8)</f>
        <v>68045.339656676413</v>
      </c>
      <c r="X123" s="163">
        <f>IF('Tab9'!D8="",'Tab9'!D7,'Tab9'!D8)</f>
        <v>82196.721585918829</v>
      </c>
      <c r="Y123" s="163">
        <f>IF('Tab9'!E8="",'Tab9'!E7,'Tab9'!E8)</f>
        <v>65643</v>
      </c>
      <c r="Z123" s="156"/>
      <c r="AA123" s="156"/>
      <c r="AB123" s="156"/>
      <c r="AC123" s="156"/>
      <c r="AD123" s="156"/>
      <c r="AE123" s="156"/>
    </row>
    <row r="124" spans="1:31" x14ac:dyDescent="0.25">
      <c r="A124" s="159">
        <v>2</v>
      </c>
      <c r="B124" s="159"/>
      <c r="C124" s="159">
        <f>275.5-C123</f>
        <v>131.6</v>
      </c>
      <c r="D124" s="159">
        <f>242.6-D123</f>
        <v>115.69999999999999</v>
      </c>
      <c r="E124" s="159"/>
      <c r="F124" s="159"/>
      <c r="G124" s="159"/>
      <c r="H124" s="156"/>
      <c r="I124" s="164">
        <v>95.1</v>
      </c>
      <c r="J124" s="156">
        <v>2</v>
      </c>
      <c r="K124" s="156"/>
      <c r="L124" s="165">
        <v>17799</v>
      </c>
      <c r="M124" s="164">
        <v>234.8</v>
      </c>
      <c r="N124" s="164">
        <f t="shared" si="4"/>
        <v>461.33668680967406</v>
      </c>
      <c r="O124" s="165">
        <v>6503</v>
      </c>
      <c r="P124" s="164">
        <v>585.30000000000007</v>
      </c>
      <c r="Q124" s="164">
        <f t="shared" si="2"/>
        <v>1150.0015451009465</v>
      </c>
      <c r="R124" s="165">
        <v>14642</v>
      </c>
      <c r="S124" s="164">
        <v>220.09999999999997</v>
      </c>
      <c r="T124" s="164">
        <f t="shared" si="3"/>
        <v>432.45402370872762</v>
      </c>
      <c r="U124" s="156"/>
      <c r="V124" s="156" t="s">
        <v>111</v>
      </c>
      <c r="W124" s="163">
        <f>IF('Tab8'!C8="",'Tab8'!C7,'Tab8'!C8)</f>
        <v>119152.60463492846</v>
      </c>
      <c r="X124" s="163">
        <f>IF('Tab8'!D8="",'Tab8'!D7,'Tab8'!D8)</f>
        <v>133839.25844538619</v>
      </c>
      <c r="Y124" s="163">
        <f>IF('Tab8'!E8="",'Tab8'!E7,'Tab8'!E8)</f>
        <v>119613</v>
      </c>
      <c r="Z124" s="156"/>
      <c r="AA124" s="156"/>
      <c r="AB124" s="156"/>
      <c r="AC124" s="156"/>
      <c r="AD124" s="156"/>
      <c r="AE124" s="156"/>
    </row>
    <row r="125" spans="1:31" x14ac:dyDescent="0.25">
      <c r="A125" s="159">
        <v>3</v>
      </c>
      <c r="B125" s="159"/>
      <c r="C125" s="159">
        <f>387.5-C123-C124</f>
        <v>112</v>
      </c>
      <c r="D125" s="159">
        <f>339.3-D123-D124</f>
        <v>96.700000000000017</v>
      </c>
      <c r="E125" s="159"/>
      <c r="F125" s="159"/>
      <c r="G125" s="159"/>
      <c r="H125" s="156"/>
      <c r="I125" s="164">
        <v>95.5</v>
      </c>
      <c r="J125" s="156">
        <v>3</v>
      </c>
      <c r="K125" s="156"/>
      <c r="L125" s="165">
        <v>16263</v>
      </c>
      <c r="M125" s="164">
        <v>240.00000000000011</v>
      </c>
      <c r="N125" s="164">
        <f t="shared" si="4"/>
        <v>469.57858931937199</v>
      </c>
      <c r="O125" s="165">
        <v>8934</v>
      </c>
      <c r="P125" s="164">
        <v>581.89999999999986</v>
      </c>
      <c r="Q125" s="164">
        <f t="shared" si="2"/>
        <v>1138.5324213539266</v>
      </c>
      <c r="R125" s="165">
        <v>17198</v>
      </c>
      <c r="S125" s="164">
        <v>233.2</v>
      </c>
      <c r="T125" s="164">
        <f t="shared" si="3"/>
        <v>456.27386262198957</v>
      </c>
      <c r="U125" s="156"/>
      <c r="V125" s="159" t="s">
        <v>169</v>
      </c>
      <c r="W125" s="163">
        <f>IF('Tab3'!C16="",'Tab3'!C15,'Tab3'!C16)</f>
        <v>25631.02574548325</v>
      </c>
      <c r="X125" s="163">
        <f>IF('Tab3'!D16="",'Tab3'!D15,'Tab3'!D16)</f>
        <v>32184.619290778788</v>
      </c>
      <c r="Y125" s="163">
        <f>IF('Tab3'!E16="",'Tab3'!E15,'Tab3'!E16)</f>
        <v>25067</v>
      </c>
      <c r="Z125" s="156"/>
      <c r="AA125" s="156"/>
      <c r="AB125" s="156"/>
      <c r="AC125" s="156"/>
      <c r="AD125" s="156"/>
      <c r="AE125" s="156"/>
    </row>
    <row r="126" spans="1:31" x14ac:dyDescent="0.25">
      <c r="A126" s="159">
        <v>4</v>
      </c>
      <c r="B126" s="159"/>
      <c r="C126" s="159">
        <f>520-C123-C124-C125</f>
        <v>132.50000000000003</v>
      </c>
      <c r="D126" s="159">
        <f>452.4-D123-D124-D125</f>
        <v>113.1</v>
      </c>
      <c r="E126" s="159"/>
      <c r="F126" s="159"/>
      <c r="G126" s="159"/>
      <c r="H126" s="156"/>
      <c r="I126" s="164">
        <v>96.3</v>
      </c>
      <c r="J126" s="156">
        <v>4</v>
      </c>
      <c r="K126" s="156"/>
      <c r="L126" s="165">
        <v>16638</v>
      </c>
      <c r="M126" s="164">
        <v>233.40000000000009</v>
      </c>
      <c r="N126" s="164">
        <f t="shared" si="4"/>
        <v>452.87149023676034</v>
      </c>
      <c r="O126" s="165">
        <v>7966</v>
      </c>
      <c r="P126" s="164">
        <v>665.80000000000018</v>
      </c>
      <c r="Q126" s="164">
        <f t="shared" si="2"/>
        <v>1291.8673444714439</v>
      </c>
      <c r="R126" s="165">
        <v>13841</v>
      </c>
      <c r="S126" s="164">
        <v>188.00000000000011</v>
      </c>
      <c r="T126" s="164">
        <f t="shared" si="3"/>
        <v>364.78080618899298</v>
      </c>
      <c r="U126" s="156"/>
      <c r="V126" s="156"/>
      <c r="W126" s="156"/>
      <c r="X126" s="156"/>
      <c r="Y126" s="156"/>
      <c r="Z126" s="156"/>
      <c r="AA126" s="156"/>
      <c r="AB126" s="156"/>
      <c r="AC126" s="156"/>
      <c r="AD126" s="156"/>
      <c r="AE126" s="156"/>
    </row>
    <row r="127" spans="1:31" x14ac:dyDescent="0.25">
      <c r="A127" s="159">
        <v>1</v>
      </c>
      <c r="B127" s="159">
        <v>1997</v>
      </c>
      <c r="C127" s="159">
        <v>142.6</v>
      </c>
      <c r="D127" s="159">
        <v>124.8</v>
      </c>
      <c r="E127" s="159"/>
      <c r="F127" s="159"/>
      <c r="G127" s="159"/>
      <c r="H127" s="156"/>
      <c r="I127" s="164">
        <v>97.3</v>
      </c>
      <c r="J127" s="156">
        <v>1</v>
      </c>
      <c r="K127" s="156">
        <v>1997</v>
      </c>
      <c r="L127" s="165">
        <v>17837</v>
      </c>
      <c r="M127" s="164">
        <v>255.29999999999998</v>
      </c>
      <c r="N127" s="164">
        <f t="shared" si="4"/>
        <v>490.27346792497434</v>
      </c>
      <c r="O127" s="165">
        <v>7574</v>
      </c>
      <c r="P127" s="164">
        <v>625.70000000000005</v>
      </c>
      <c r="Q127" s="164">
        <f t="shared" si="2"/>
        <v>1201.5828784984585</v>
      </c>
      <c r="R127" s="165">
        <v>10571</v>
      </c>
      <c r="S127" s="164">
        <v>187.8</v>
      </c>
      <c r="T127" s="164">
        <f t="shared" si="3"/>
        <v>360.64769790955808</v>
      </c>
      <c r="U127" s="156"/>
      <c r="V127" s="158" t="s">
        <v>181</v>
      </c>
      <c r="W127" s="156"/>
      <c r="X127" s="156"/>
      <c r="Y127" s="156"/>
      <c r="Z127" s="156"/>
      <c r="AA127" s="156"/>
      <c r="AB127" s="156"/>
      <c r="AC127" s="156"/>
      <c r="AD127" s="156"/>
      <c r="AE127" s="156"/>
    </row>
    <row r="128" spans="1:31" x14ac:dyDescent="0.25">
      <c r="A128" s="159">
        <v>2</v>
      </c>
      <c r="B128" s="159"/>
      <c r="C128" s="159">
        <f>284.4-C127</f>
        <v>141.79999999999998</v>
      </c>
      <c r="D128" s="159">
        <f>247.3-D127</f>
        <v>122.50000000000001</v>
      </c>
      <c r="E128" s="159"/>
      <c r="F128" s="159"/>
      <c r="G128" s="159"/>
      <c r="H128" s="156"/>
      <c r="I128" s="164">
        <v>97.7</v>
      </c>
      <c r="J128" s="156">
        <v>2</v>
      </c>
      <c r="K128" s="156"/>
      <c r="L128" s="165">
        <v>16872</v>
      </c>
      <c r="M128" s="164">
        <v>281.30000000000007</v>
      </c>
      <c r="N128" s="164">
        <f t="shared" si="4"/>
        <v>537.99171188434002</v>
      </c>
      <c r="O128" s="165">
        <v>7284</v>
      </c>
      <c r="P128" s="164">
        <v>664.39999999999986</v>
      </c>
      <c r="Q128" s="164">
        <f t="shared" si="2"/>
        <v>1270.6779003766628</v>
      </c>
      <c r="R128" s="165">
        <v>14837</v>
      </c>
      <c r="S128" s="164">
        <v>224.59999999999997</v>
      </c>
      <c r="T128" s="164">
        <f t="shared" si="3"/>
        <v>429.55186096417594</v>
      </c>
      <c r="U128" s="156"/>
      <c r="V128" s="156"/>
      <c r="W128" s="163" t="str">
        <f>+'Tab3'!C6</f>
        <v>2023</v>
      </c>
      <c r="X128" s="163" t="str">
        <f>+'Tab3'!D6</f>
        <v>2024</v>
      </c>
      <c r="Y128" s="163" t="str">
        <f>+'Tab3'!E6</f>
        <v>2025</v>
      </c>
      <c r="Z128" s="156"/>
      <c r="AA128" s="156"/>
      <c r="AB128" s="156"/>
      <c r="AC128" s="156"/>
      <c r="AD128" s="156"/>
      <c r="AE128" s="156"/>
    </row>
    <row r="129" spans="1:31" x14ac:dyDescent="0.25">
      <c r="A129" s="159">
        <v>3</v>
      </c>
      <c r="B129" s="159"/>
      <c r="C129" s="159">
        <f>419.8-C127-C128</f>
        <v>135.40000000000006</v>
      </c>
      <c r="D129" s="159">
        <f>364.6-D127-D128</f>
        <v>117.3</v>
      </c>
      <c r="E129" s="159"/>
      <c r="F129" s="159" t="s">
        <v>74</v>
      </c>
      <c r="G129" s="159"/>
      <c r="H129" s="156"/>
      <c r="I129" s="164">
        <v>97.7</v>
      </c>
      <c r="J129" s="156">
        <v>3</v>
      </c>
      <c r="K129" s="156"/>
      <c r="L129" s="165">
        <v>17873</v>
      </c>
      <c r="M129" s="164">
        <v>297.89999999999998</v>
      </c>
      <c r="N129" s="164">
        <f t="shared" si="4"/>
        <v>569.73953419959059</v>
      </c>
      <c r="O129" s="165">
        <v>14581</v>
      </c>
      <c r="P129" s="164">
        <v>720.30000000000018</v>
      </c>
      <c r="Q129" s="164">
        <f t="shared" si="2"/>
        <v>1377.5877357635623</v>
      </c>
      <c r="R129" s="165">
        <v>15670</v>
      </c>
      <c r="S129" s="164">
        <v>198.80000000000007</v>
      </c>
      <c r="T129" s="164">
        <f t="shared" si="3"/>
        <v>380.20886001637683</v>
      </c>
      <c r="U129" s="156"/>
      <c r="V129" s="159" t="s">
        <v>11</v>
      </c>
      <c r="W129" s="163">
        <f>IF('Tab3'!C30="",'Tab3'!C31,'Tab3'!C32)</f>
        <v>5306.42957857494</v>
      </c>
      <c r="X129" s="163">
        <f>IF('Tab3'!D30="",'Tab3'!D31,'Tab3'!D32)</f>
        <v>6171.3437629052369</v>
      </c>
      <c r="Y129" s="163">
        <f>IF('Tab3'!E30="",'Tab3'!E31,'Tab3'!E32)</f>
        <v>4740</v>
      </c>
      <c r="Z129" s="156"/>
      <c r="AA129" s="156"/>
      <c r="AB129" s="156"/>
      <c r="AC129" s="156"/>
      <c r="AD129" s="156"/>
      <c r="AE129" s="156"/>
    </row>
    <row r="130" spans="1:31" x14ac:dyDescent="0.25">
      <c r="A130" s="159">
        <v>4</v>
      </c>
      <c r="B130" s="159"/>
      <c r="C130" s="159">
        <f>550.4-C127-C128-C129</f>
        <v>130.59999999999994</v>
      </c>
      <c r="D130" s="159">
        <f>478.3-D127-D128-D129</f>
        <v>113.7</v>
      </c>
      <c r="E130" s="159"/>
      <c r="F130" s="159"/>
      <c r="G130" s="159"/>
      <c r="H130" s="156"/>
      <c r="I130" s="164">
        <v>98.4</v>
      </c>
      <c r="J130" s="156">
        <v>4</v>
      </c>
      <c r="K130" s="156"/>
      <c r="L130" s="165">
        <v>15493</v>
      </c>
      <c r="M130" s="164">
        <v>267.70000000000005</v>
      </c>
      <c r="N130" s="164">
        <f t="shared" si="4"/>
        <v>508.33930337296755</v>
      </c>
      <c r="O130" s="165">
        <v>9445</v>
      </c>
      <c r="P130" s="164">
        <v>564</v>
      </c>
      <c r="Q130" s="164">
        <f t="shared" si="2"/>
        <v>1070.9875498780489</v>
      </c>
      <c r="R130" s="165">
        <v>13087</v>
      </c>
      <c r="S130" s="164">
        <v>185.09999999999991</v>
      </c>
      <c r="T130" s="164">
        <f t="shared" si="3"/>
        <v>351.48899908231687</v>
      </c>
      <c r="U130" s="156"/>
      <c r="V130" s="159" t="s">
        <v>12</v>
      </c>
      <c r="W130" s="163">
        <f>IF('Tab3'!C32="",'Tab3'!C33,'Tab3'!C34)</f>
        <v>6953.5780216841604</v>
      </c>
      <c r="X130" s="163">
        <f>IF('Tab3'!D32="",'Tab3'!D33,'Tab3'!D34)</f>
        <v>7563.8460735600001</v>
      </c>
      <c r="Y130" s="163">
        <f>IF('Tab3'!E32="",'Tab3'!E33,'Tab3'!E34)</f>
        <v>7415</v>
      </c>
      <c r="Z130" s="156"/>
      <c r="AA130" s="156"/>
      <c r="AB130" s="156"/>
      <c r="AC130" s="156"/>
      <c r="AD130" s="156"/>
      <c r="AE130" s="156"/>
    </row>
    <row r="131" spans="1:31" x14ac:dyDescent="0.25">
      <c r="A131" s="159">
        <v>1</v>
      </c>
      <c r="B131" s="159">
        <v>1998</v>
      </c>
      <c r="C131" s="159">
        <v>150</v>
      </c>
      <c r="D131" s="159">
        <v>131.9</v>
      </c>
      <c r="E131" s="159"/>
      <c r="F131" s="159" t="s">
        <v>78</v>
      </c>
      <c r="G131" s="159"/>
      <c r="H131" s="156"/>
      <c r="I131" s="164">
        <v>99.3</v>
      </c>
      <c r="J131" s="156">
        <v>1</v>
      </c>
      <c r="K131" s="156">
        <v>1998</v>
      </c>
      <c r="L131" s="165">
        <v>17629</v>
      </c>
      <c r="M131" s="164">
        <v>285</v>
      </c>
      <c r="N131" s="164">
        <f t="shared" si="4"/>
        <v>536.28546722054375</v>
      </c>
      <c r="O131" s="165">
        <v>7614</v>
      </c>
      <c r="P131" s="164">
        <v>599.6</v>
      </c>
      <c r="Q131" s="164">
        <f t="shared" si="2"/>
        <v>1128.2693548962741</v>
      </c>
      <c r="R131" s="165">
        <v>11958</v>
      </c>
      <c r="S131" s="164">
        <v>185.4</v>
      </c>
      <c r="T131" s="164">
        <f t="shared" si="3"/>
        <v>348.86780920241699</v>
      </c>
      <c r="U131" s="156"/>
      <c r="V131" s="159" t="s">
        <v>7</v>
      </c>
      <c r="W131" s="163">
        <f>IF('Tab3'!C18="",'Tab3'!C17,'Tab3'!C18)</f>
        <v>5068.0363519274379</v>
      </c>
      <c r="X131" s="163">
        <f>IF('Tab3'!D18="",'Tab3'!D17,'Tab3'!D18)</f>
        <v>5375.3578399580401</v>
      </c>
      <c r="Y131" s="163">
        <f>IF('Tab3'!E18="",'Tab3'!E17,'Tab3'!E18)</f>
        <v>5319</v>
      </c>
      <c r="Z131" s="156"/>
      <c r="AA131" s="156"/>
      <c r="AB131" s="156"/>
      <c r="AC131" s="156"/>
      <c r="AD131" s="156"/>
      <c r="AE131" s="156"/>
    </row>
    <row r="132" spans="1:31" x14ac:dyDescent="0.25">
      <c r="A132" s="159">
        <v>2</v>
      </c>
      <c r="B132" s="159"/>
      <c r="C132" s="159">
        <f>289.8-C131</f>
        <v>139.80000000000001</v>
      </c>
      <c r="D132" s="159">
        <f>253.9-D131</f>
        <v>122</v>
      </c>
      <c r="E132" s="159"/>
      <c r="F132" s="159" t="s">
        <v>79</v>
      </c>
      <c r="G132" s="159" t="s">
        <v>80</v>
      </c>
      <c r="H132" s="156"/>
      <c r="I132" s="164">
        <v>99.7</v>
      </c>
      <c r="J132" s="156">
        <v>2</v>
      </c>
      <c r="K132" s="156"/>
      <c r="L132" s="165">
        <v>14484</v>
      </c>
      <c r="M132" s="164">
        <v>253.5</v>
      </c>
      <c r="N132" s="164">
        <f t="shared" si="4"/>
        <v>475.09802171013041</v>
      </c>
      <c r="O132" s="165">
        <v>6009</v>
      </c>
      <c r="P132" s="164">
        <v>576.9</v>
      </c>
      <c r="Q132" s="164">
        <f t="shared" si="2"/>
        <v>1081.1994032527582</v>
      </c>
      <c r="R132" s="165">
        <v>15060</v>
      </c>
      <c r="S132" s="164">
        <v>204.20000000000002</v>
      </c>
      <c r="T132" s="164">
        <f t="shared" si="3"/>
        <v>382.70223287261786</v>
      </c>
      <c r="U132" s="156"/>
      <c r="V132" s="156" t="s">
        <v>113</v>
      </c>
      <c r="W132" s="163">
        <f>IF('Tab10'!C8="",'Tab10'!C7,'Tab10'!C8)</f>
        <v>10719.996600606582</v>
      </c>
      <c r="X132" s="163">
        <f>IF('Tab10'!D8="",'Tab10'!D7,'Tab10'!D8)</f>
        <v>14804.434991890335</v>
      </c>
      <c r="Y132" s="163">
        <f>IF('Tab10'!E8="",'Tab10'!E7,'Tab10'!E8)</f>
        <v>10904</v>
      </c>
      <c r="Z132" s="156"/>
      <c r="AA132" s="156"/>
      <c r="AB132" s="156"/>
      <c r="AC132" s="156"/>
      <c r="AD132" s="156"/>
      <c r="AE132" s="156"/>
    </row>
    <row r="133" spans="1:31" x14ac:dyDescent="0.25">
      <c r="A133" s="159">
        <v>3</v>
      </c>
      <c r="B133" s="159"/>
      <c r="C133" s="159">
        <f>+E133-C131-C132</f>
        <v>128.09999999999997</v>
      </c>
      <c r="D133" s="159">
        <f>+G133-D131-D132</f>
        <v>112.1</v>
      </c>
      <c r="E133" s="159">
        <v>417.9</v>
      </c>
      <c r="F133" s="156"/>
      <c r="G133" s="159">
        <v>366</v>
      </c>
      <c r="H133" s="156"/>
      <c r="I133" s="168">
        <v>99.8</v>
      </c>
      <c r="J133" s="156">
        <v>3</v>
      </c>
      <c r="K133" s="156"/>
      <c r="L133" s="165">
        <v>15693</v>
      </c>
      <c r="M133" s="164">
        <v>257.89999999999998</v>
      </c>
      <c r="N133" s="164">
        <f t="shared" si="4"/>
        <v>482.85998608517031</v>
      </c>
      <c r="O133" s="165">
        <v>8328</v>
      </c>
      <c r="P133" s="164">
        <v>432.80000000000018</v>
      </c>
      <c r="Q133" s="164">
        <f t="shared" si="2"/>
        <v>810.32106234068181</v>
      </c>
      <c r="R133" s="165">
        <v>17098</v>
      </c>
      <c r="S133" s="164">
        <v>209.60000000000002</v>
      </c>
      <c r="T133" s="164">
        <f t="shared" si="3"/>
        <v>392.42905422044095</v>
      </c>
      <c r="U133" s="156"/>
      <c r="V133" s="159" t="s">
        <v>9</v>
      </c>
      <c r="W133" s="163">
        <f>IF('Tab3'!C22="",'Tab3'!C21,'Tab3'!C22)</f>
        <v>20298.701810584957</v>
      </c>
      <c r="X133" s="163">
        <f>IF('Tab3'!D22="",'Tab3'!D21,'Tab3'!D22)</f>
        <v>24272.166666666668</v>
      </c>
      <c r="Y133" s="163">
        <f>IF('Tab3'!E22="",'Tab3'!E21,'Tab3'!E22)</f>
        <v>25657</v>
      </c>
      <c r="Z133" s="156"/>
      <c r="AA133" s="156"/>
      <c r="AB133" s="156"/>
      <c r="AC133" s="156"/>
      <c r="AD133" s="156"/>
      <c r="AE133" s="156"/>
    </row>
    <row r="134" spans="1:31" x14ac:dyDescent="0.25">
      <c r="A134" s="159">
        <v>4</v>
      </c>
      <c r="B134" s="159"/>
      <c r="C134" s="159">
        <f>+E134-E133</f>
        <v>141.80000000000007</v>
      </c>
      <c r="D134" s="159">
        <f>+G134-G133</f>
        <v>125.60000000000002</v>
      </c>
      <c r="E134" s="159">
        <v>559.70000000000005</v>
      </c>
      <c r="F134" s="156"/>
      <c r="G134" s="159">
        <v>491.6</v>
      </c>
      <c r="H134" s="156"/>
      <c r="I134" s="168">
        <v>100.7</v>
      </c>
      <c r="J134" s="156">
        <v>4</v>
      </c>
      <c r="K134" s="156"/>
      <c r="L134" s="165">
        <v>16502</v>
      </c>
      <c r="M134" s="164">
        <v>299.10000000000002</v>
      </c>
      <c r="N134" s="164">
        <f t="shared" si="4"/>
        <v>554.99281298609731</v>
      </c>
      <c r="O134" s="165">
        <v>7526</v>
      </c>
      <c r="P134" s="164">
        <v>738.59999999999945</v>
      </c>
      <c r="Q134" s="164">
        <f t="shared" si="2"/>
        <v>1370.503817022839</v>
      </c>
      <c r="R134" s="165">
        <v>14647</v>
      </c>
      <c r="S134" s="164">
        <v>205.79999999999995</v>
      </c>
      <c r="T134" s="164">
        <f t="shared" si="3"/>
        <v>381.87068175372389</v>
      </c>
      <c r="U134" s="156"/>
      <c r="V134" s="156"/>
      <c r="W134" s="156"/>
      <c r="X134" s="156"/>
      <c r="Y134" s="156"/>
      <c r="Z134" s="156"/>
      <c r="AA134" s="156"/>
      <c r="AB134" s="156"/>
      <c r="AC134" s="156"/>
      <c r="AD134" s="156"/>
      <c r="AE134" s="156"/>
    </row>
    <row r="135" spans="1:31" x14ac:dyDescent="0.25">
      <c r="A135" s="159">
        <v>1</v>
      </c>
      <c r="B135" s="159">
        <v>1999</v>
      </c>
      <c r="C135" s="159">
        <f>+E135</f>
        <v>154.19999999999999</v>
      </c>
      <c r="D135" s="159">
        <f>+G135</f>
        <v>137.1</v>
      </c>
      <c r="E135" s="159">
        <v>154.19999999999999</v>
      </c>
      <c r="F135" s="156"/>
      <c r="G135" s="159">
        <v>137.1</v>
      </c>
      <c r="H135" s="156"/>
      <c r="I135" s="168">
        <v>101.4</v>
      </c>
      <c r="J135" s="156">
        <v>1</v>
      </c>
      <c r="K135" s="156">
        <v>1999</v>
      </c>
      <c r="L135" s="165">
        <v>18095</v>
      </c>
      <c r="M135" s="164">
        <v>328.50000000000006</v>
      </c>
      <c r="N135" s="164">
        <f t="shared" si="4"/>
        <v>605.33785788461546</v>
      </c>
      <c r="O135" s="165">
        <v>8863</v>
      </c>
      <c r="P135" s="164">
        <v>689.1</v>
      </c>
      <c r="Q135" s="164">
        <f t="shared" si="2"/>
        <v>1269.8274516538463</v>
      </c>
      <c r="R135" s="165">
        <v>11175</v>
      </c>
      <c r="S135" s="164">
        <v>162.80000000000001</v>
      </c>
      <c r="T135" s="164">
        <f t="shared" si="3"/>
        <v>299.99696579487181</v>
      </c>
      <c r="U135" s="156"/>
      <c r="V135" s="156"/>
      <c r="W135" s="156"/>
      <c r="X135" s="156"/>
      <c r="Y135" s="156"/>
      <c r="Z135" s="156"/>
      <c r="AA135" s="156"/>
      <c r="AB135" s="156"/>
      <c r="AC135" s="156"/>
      <c r="AD135" s="156"/>
      <c r="AE135" s="156"/>
    </row>
    <row r="136" spans="1:31" x14ac:dyDescent="0.25">
      <c r="A136" s="159">
        <v>2</v>
      </c>
      <c r="B136" s="159"/>
      <c r="C136" s="159">
        <f>+E136-E135</f>
        <v>159.30000000000001</v>
      </c>
      <c r="D136" s="159">
        <f>+G136-G135</f>
        <v>140.70000000000002</v>
      </c>
      <c r="E136" s="159">
        <v>313.5</v>
      </c>
      <c r="F136" s="156"/>
      <c r="G136" s="159">
        <v>277.8</v>
      </c>
      <c r="H136" s="156"/>
      <c r="I136" s="168">
        <v>102.2</v>
      </c>
      <c r="J136" s="156">
        <v>2</v>
      </c>
      <c r="K136" s="156"/>
      <c r="L136" s="165">
        <v>12899</v>
      </c>
      <c r="M136" s="164">
        <v>332.7</v>
      </c>
      <c r="N136" s="164">
        <f t="shared" si="4"/>
        <v>608.27829752348339</v>
      </c>
      <c r="O136" s="165">
        <v>5920</v>
      </c>
      <c r="P136" s="164">
        <v>874.6</v>
      </c>
      <c r="Q136" s="164">
        <f t="shared" si="2"/>
        <v>1599.0387707064581</v>
      </c>
      <c r="R136" s="165">
        <v>12451</v>
      </c>
      <c r="S136" s="164">
        <v>199.09999999999997</v>
      </c>
      <c r="T136" s="164">
        <f t="shared" si="3"/>
        <v>364.01625800097844</v>
      </c>
      <c r="U136" s="156"/>
      <c r="V136" s="156"/>
      <c r="W136" s="156"/>
      <c r="X136" s="156"/>
      <c r="Y136" s="156"/>
      <c r="Z136" s="156"/>
      <c r="AA136" s="156"/>
      <c r="AB136" s="156"/>
      <c r="AC136" s="156"/>
      <c r="AD136" s="156"/>
      <c r="AE136" s="156"/>
    </row>
    <row r="137" spans="1:31" x14ac:dyDescent="0.25">
      <c r="A137" s="159">
        <v>3</v>
      </c>
      <c r="B137" s="159"/>
      <c r="C137" s="159">
        <f>+E137-E136</f>
        <v>146.30000000000001</v>
      </c>
      <c r="D137" s="159">
        <f>+G137-G136</f>
        <v>128.69999999999999</v>
      </c>
      <c r="E137" s="159">
        <v>459.8</v>
      </c>
      <c r="F137" s="156"/>
      <c r="G137" s="159">
        <v>406.5</v>
      </c>
      <c r="H137" s="156"/>
      <c r="I137" s="168">
        <v>101.7</v>
      </c>
      <c r="J137" s="156">
        <v>3</v>
      </c>
      <c r="K137" s="156"/>
      <c r="L137" s="165">
        <v>23305</v>
      </c>
      <c r="M137" s="164">
        <v>445.5</v>
      </c>
      <c r="N137" s="164">
        <f t="shared" si="4"/>
        <v>818.51599792035393</v>
      </c>
      <c r="O137" s="165">
        <v>11181</v>
      </c>
      <c r="P137" s="164">
        <v>566.99999999999977</v>
      </c>
      <c r="Q137" s="164">
        <f t="shared" si="2"/>
        <v>1041.7476337168137</v>
      </c>
      <c r="R137" s="165">
        <v>18817</v>
      </c>
      <c r="S137" s="164">
        <v>227.70000000000005</v>
      </c>
      <c r="T137" s="164">
        <f t="shared" si="3"/>
        <v>418.35262115929214</v>
      </c>
      <c r="U137" s="156"/>
      <c r="V137" s="156"/>
      <c r="W137" s="156"/>
      <c r="X137" s="156"/>
      <c r="Y137" s="156"/>
      <c r="Z137" s="156"/>
      <c r="AA137" s="156"/>
      <c r="AB137" s="156"/>
      <c r="AC137" s="156"/>
      <c r="AD137" s="156"/>
      <c r="AE137" s="156"/>
    </row>
    <row r="138" spans="1:31" x14ac:dyDescent="0.25">
      <c r="A138" s="159">
        <v>4</v>
      </c>
      <c r="B138" s="159"/>
      <c r="C138" s="159">
        <f>+E138-E137</f>
        <v>141.90000000000003</v>
      </c>
      <c r="D138" s="159">
        <f>+G138-G137</f>
        <v>126.39999999999998</v>
      </c>
      <c r="E138" s="159">
        <v>601.70000000000005</v>
      </c>
      <c r="F138" s="156"/>
      <c r="G138" s="159">
        <v>532.9</v>
      </c>
      <c r="H138" s="156"/>
      <c r="I138" s="164">
        <v>103.5</v>
      </c>
      <c r="J138" s="156">
        <v>4</v>
      </c>
      <c r="K138" s="156"/>
      <c r="L138" s="165">
        <v>18359</v>
      </c>
      <c r="M138" s="164">
        <v>410.59999999999968</v>
      </c>
      <c r="N138" s="164">
        <f t="shared" si="4"/>
        <v>741.27441698743905</v>
      </c>
      <c r="O138" s="165">
        <v>9544</v>
      </c>
      <c r="P138" s="164">
        <v>935.5</v>
      </c>
      <c r="Q138" s="164">
        <f t="shared" si="2"/>
        <v>1688.8997006618358</v>
      </c>
      <c r="R138" s="165">
        <v>13692</v>
      </c>
      <c r="S138" s="164">
        <v>192.19999999999993</v>
      </c>
      <c r="T138" s="164">
        <f t="shared" si="3"/>
        <v>346.98719665120763</v>
      </c>
      <c r="U138" s="156"/>
      <c r="V138" s="156"/>
      <c r="W138" s="156"/>
      <c r="X138" s="156"/>
      <c r="Y138" s="156"/>
      <c r="Z138" s="156"/>
      <c r="AA138" s="156"/>
      <c r="AB138" s="156"/>
      <c r="AC138" s="156"/>
      <c r="AD138" s="156"/>
      <c r="AE138" s="156"/>
    </row>
    <row r="139" spans="1:31" x14ac:dyDescent="0.25">
      <c r="A139" s="159">
        <v>1</v>
      </c>
      <c r="B139" s="159">
        <v>2000</v>
      </c>
      <c r="C139" s="159">
        <f>+E139</f>
        <v>169.1</v>
      </c>
      <c r="D139" s="159">
        <f>+G139</f>
        <v>150.9</v>
      </c>
      <c r="E139" s="159">
        <v>169.1</v>
      </c>
      <c r="F139" s="156"/>
      <c r="G139" s="159">
        <v>150.9</v>
      </c>
      <c r="H139" s="156"/>
      <c r="I139" s="164">
        <v>104.6</v>
      </c>
      <c r="J139" s="156">
        <v>1</v>
      </c>
      <c r="K139" s="156">
        <v>2000</v>
      </c>
      <c r="L139" s="165">
        <v>17570</v>
      </c>
      <c r="M139" s="164">
        <v>345.9</v>
      </c>
      <c r="N139" s="164">
        <f t="shared" si="4"/>
        <v>617.90156354971316</v>
      </c>
      <c r="O139" s="165">
        <v>9154</v>
      </c>
      <c r="P139" s="164">
        <v>819.9</v>
      </c>
      <c r="Q139" s="164">
        <f t="shared" si="2"/>
        <v>1464.6357096108989</v>
      </c>
      <c r="R139" s="165">
        <v>12421</v>
      </c>
      <c r="S139" s="164">
        <v>198</v>
      </c>
      <c r="T139" s="164">
        <f t="shared" si="3"/>
        <v>353.69907367112813</v>
      </c>
      <c r="U139" s="156"/>
      <c r="V139" s="156"/>
      <c r="W139" s="156"/>
      <c r="X139" s="156"/>
      <c r="Y139" s="156"/>
      <c r="Z139" s="156"/>
      <c r="AA139" s="156"/>
      <c r="AB139" s="156"/>
      <c r="AC139" s="156"/>
      <c r="AD139" s="156"/>
      <c r="AE139" s="156"/>
    </row>
    <row r="140" spans="1:31" x14ac:dyDescent="0.25">
      <c r="A140" s="159">
        <v>2</v>
      </c>
      <c r="B140" s="159"/>
      <c r="C140" s="159">
        <f>+E140-E139</f>
        <v>151.50000000000003</v>
      </c>
      <c r="D140" s="159">
        <f>+G140-G139</f>
        <v>133.4</v>
      </c>
      <c r="E140" s="159">
        <v>320.60000000000002</v>
      </c>
      <c r="F140" s="156"/>
      <c r="G140" s="159">
        <v>284.3</v>
      </c>
      <c r="H140" s="156"/>
      <c r="I140" s="164">
        <v>105.1</v>
      </c>
      <c r="J140" s="156">
        <v>2</v>
      </c>
      <c r="K140" s="156"/>
      <c r="L140" s="165">
        <v>14069</v>
      </c>
      <c r="M140" s="164">
        <v>252.39999999999998</v>
      </c>
      <c r="N140" s="164">
        <f t="shared" si="4"/>
        <v>448.73201049286394</v>
      </c>
      <c r="O140" s="165">
        <v>10238</v>
      </c>
      <c r="P140" s="164">
        <v>674.19999999999993</v>
      </c>
      <c r="Q140" s="164">
        <f t="shared" si="2"/>
        <v>1198.6336033054233</v>
      </c>
      <c r="R140" s="165">
        <v>13950</v>
      </c>
      <c r="S140" s="164">
        <v>184.5</v>
      </c>
      <c r="T140" s="164">
        <f t="shared" si="3"/>
        <v>328.01527708372981</v>
      </c>
      <c r="U140" s="156"/>
      <c r="V140" s="156"/>
      <c r="W140" s="156"/>
      <c r="X140" s="156"/>
      <c r="Y140" s="156"/>
      <c r="Z140" s="156"/>
      <c r="AA140" s="156"/>
      <c r="AB140" s="156"/>
      <c r="AC140" s="156"/>
      <c r="AD140" s="156"/>
      <c r="AE140" s="156"/>
    </row>
    <row r="141" spans="1:31" x14ac:dyDescent="0.25">
      <c r="A141" s="159">
        <v>3</v>
      </c>
      <c r="B141" s="159"/>
      <c r="C141" s="159">
        <f>+E141-E140</f>
        <v>139</v>
      </c>
      <c r="D141" s="159">
        <f>+G141-G140</f>
        <v>123.5</v>
      </c>
      <c r="E141" s="159">
        <v>459.6</v>
      </c>
      <c r="F141" s="156"/>
      <c r="G141" s="159">
        <v>407.8</v>
      </c>
      <c r="H141" s="156"/>
      <c r="I141" s="164">
        <v>105.3</v>
      </c>
      <c r="J141" s="156">
        <v>3</v>
      </c>
      <c r="K141" s="156"/>
      <c r="L141" s="165">
        <v>16329</v>
      </c>
      <c r="M141" s="164">
        <v>313.5</v>
      </c>
      <c r="N141" s="164">
        <f t="shared" si="4"/>
        <v>556.30067981481477</v>
      </c>
      <c r="O141" s="165">
        <v>13877</v>
      </c>
      <c r="P141" s="164">
        <v>706.20000000000027</v>
      </c>
      <c r="Q141" s="164">
        <f t="shared" si="2"/>
        <v>1253.1404787407412</v>
      </c>
      <c r="R141" s="165">
        <v>14850</v>
      </c>
      <c r="S141" s="164">
        <v>193.89999999999998</v>
      </c>
      <c r="T141" s="164">
        <f t="shared" si="3"/>
        <v>344.07241408641971</v>
      </c>
      <c r="U141" s="156"/>
      <c r="V141" s="156"/>
      <c r="W141" s="156"/>
      <c r="X141" s="156"/>
      <c r="Y141" s="156"/>
      <c r="Z141" s="156"/>
      <c r="AA141" s="156"/>
      <c r="AB141" s="156"/>
      <c r="AC141" s="156"/>
      <c r="AD141" s="156"/>
      <c r="AE141" s="156"/>
    </row>
    <row r="142" spans="1:31" x14ac:dyDescent="0.25">
      <c r="A142" s="159">
        <v>4</v>
      </c>
      <c r="B142" s="159"/>
      <c r="C142" s="159">
        <f>+E142-E141</f>
        <v>135.10000000000002</v>
      </c>
      <c r="D142" s="159">
        <f>+G142-G141</f>
        <v>121.40000000000003</v>
      </c>
      <c r="E142" s="159">
        <v>594.70000000000005</v>
      </c>
      <c r="F142" s="156"/>
      <c r="G142" s="159">
        <v>529.20000000000005</v>
      </c>
      <c r="H142" s="156"/>
      <c r="I142" s="164">
        <v>106.8</v>
      </c>
      <c r="J142" s="156">
        <v>4</v>
      </c>
      <c r="K142" s="156"/>
      <c r="L142" s="165">
        <v>21735</v>
      </c>
      <c r="M142" s="164">
        <v>484.79999999999995</v>
      </c>
      <c r="N142" s="164">
        <f t="shared" si="4"/>
        <v>848.18731896629208</v>
      </c>
      <c r="O142" s="165">
        <v>9978</v>
      </c>
      <c r="P142" s="164">
        <v>739.19999999999982</v>
      </c>
      <c r="Q142" s="164">
        <f t="shared" si="2"/>
        <v>1293.2757140674155</v>
      </c>
      <c r="R142" s="165">
        <v>13212</v>
      </c>
      <c r="S142" s="164">
        <v>215</v>
      </c>
      <c r="T142" s="164">
        <f t="shared" si="3"/>
        <v>376.1556798220974</v>
      </c>
      <c r="U142" s="156"/>
      <c r="V142" s="156"/>
      <c r="W142" s="156"/>
      <c r="X142" s="156"/>
      <c r="Y142" s="156"/>
      <c r="Z142" s="156"/>
      <c r="AA142" s="156"/>
      <c r="AB142" s="156"/>
      <c r="AC142" s="156"/>
      <c r="AD142" s="156"/>
      <c r="AE142" s="156"/>
    </row>
    <row r="143" spans="1:31" x14ac:dyDescent="0.25">
      <c r="A143" s="159">
        <v>1</v>
      </c>
      <c r="B143" s="159">
        <v>2001</v>
      </c>
      <c r="C143" s="159">
        <f>+E143</f>
        <v>158.5</v>
      </c>
      <c r="D143" s="159">
        <f>+G143</f>
        <v>143.1</v>
      </c>
      <c r="E143" s="159">
        <v>158.5</v>
      </c>
      <c r="F143" s="156"/>
      <c r="G143" s="159">
        <v>143.1</v>
      </c>
      <c r="H143" s="156"/>
      <c r="I143" s="164">
        <v>108.4</v>
      </c>
      <c r="J143" s="156">
        <v>1</v>
      </c>
      <c r="K143" s="156">
        <v>2001</v>
      </c>
      <c r="L143" s="165">
        <v>27280</v>
      </c>
      <c r="M143" s="164">
        <v>675.3</v>
      </c>
      <c r="N143" s="164">
        <f t="shared" si="4"/>
        <v>1164.0399462094094</v>
      </c>
      <c r="O143" s="165">
        <v>7776</v>
      </c>
      <c r="P143" s="164">
        <v>877</v>
      </c>
      <c r="Q143" s="164">
        <f t="shared" si="2"/>
        <v>1511.7178036808116</v>
      </c>
      <c r="R143" s="165">
        <v>10538</v>
      </c>
      <c r="S143" s="164">
        <v>164.1</v>
      </c>
      <c r="T143" s="164">
        <f t="shared" si="3"/>
        <v>282.86532677767525</v>
      </c>
      <c r="U143" s="156"/>
      <c r="V143" s="156"/>
      <c r="W143" s="156"/>
      <c r="X143" s="156"/>
      <c r="Y143" s="156"/>
      <c r="Z143" s="156"/>
      <c r="AA143" s="156"/>
      <c r="AB143" s="156"/>
      <c r="AC143" s="156"/>
      <c r="AD143" s="156"/>
      <c r="AE143" s="156"/>
    </row>
    <row r="144" spans="1:31" x14ac:dyDescent="0.25">
      <c r="A144" s="159">
        <v>2</v>
      </c>
      <c r="B144" s="159"/>
      <c r="C144" s="159">
        <f>+E144-E143</f>
        <v>140.45999999999998</v>
      </c>
      <c r="D144" s="159">
        <f>+G144-G143</f>
        <v>125.70000000000002</v>
      </c>
      <c r="E144" s="159">
        <v>298.95999999999998</v>
      </c>
      <c r="F144" s="156"/>
      <c r="G144" s="159">
        <v>268.8</v>
      </c>
      <c r="H144" s="156"/>
      <c r="I144" s="164">
        <v>109.6</v>
      </c>
      <c r="J144" s="156">
        <v>2</v>
      </c>
      <c r="K144" s="156"/>
      <c r="L144" s="165">
        <v>17111</v>
      </c>
      <c r="M144" s="164">
        <v>452</v>
      </c>
      <c r="N144" s="164">
        <f t="shared" si="4"/>
        <v>770.59874492700737</v>
      </c>
      <c r="O144" s="165">
        <v>5711</v>
      </c>
      <c r="P144" s="164">
        <v>923</v>
      </c>
      <c r="Q144" s="164">
        <f t="shared" si="2"/>
        <v>1573.5899149726276</v>
      </c>
      <c r="R144" s="165">
        <v>11841</v>
      </c>
      <c r="S144" s="164">
        <v>190.29999999999998</v>
      </c>
      <c r="T144" s="164">
        <f t="shared" si="3"/>
        <v>324.43571053010947</v>
      </c>
      <c r="U144" s="156"/>
      <c r="V144" s="156"/>
      <c r="W144" s="156"/>
      <c r="X144" s="156"/>
      <c r="Y144" s="156"/>
      <c r="Z144" s="156"/>
      <c r="AA144" s="156"/>
      <c r="AB144" s="156"/>
      <c r="AC144" s="156"/>
      <c r="AD144" s="156"/>
      <c r="AE144" s="156"/>
    </row>
    <row r="145" spans="1:31" x14ac:dyDescent="0.25">
      <c r="A145" s="159">
        <v>3</v>
      </c>
      <c r="B145" s="156"/>
      <c r="C145" s="159">
        <f>+E145-E144</f>
        <v>134.24</v>
      </c>
      <c r="D145" s="159">
        <f>+G145-G144</f>
        <v>119.19999999999999</v>
      </c>
      <c r="E145" s="159">
        <v>433.2</v>
      </c>
      <c r="F145" s="156"/>
      <c r="G145" s="159">
        <v>388</v>
      </c>
      <c r="H145" s="156"/>
      <c r="I145" s="164">
        <v>108.1</v>
      </c>
      <c r="J145" s="156">
        <v>3</v>
      </c>
      <c r="K145" s="156"/>
      <c r="L145" s="165">
        <v>16407</v>
      </c>
      <c r="M145" s="164">
        <v>400.40000000000009</v>
      </c>
      <c r="N145" s="164">
        <f t="shared" si="4"/>
        <v>692.09990803700293</v>
      </c>
      <c r="O145" s="165">
        <v>15359</v>
      </c>
      <c r="P145" s="164">
        <v>1172.1999999999998</v>
      </c>
      <c r="Q145" s="164">
        <f t="shared" si="2"/>
        <v>2026.1726078945421</v>
      </c>
      <c r="R145" s="165">
        <v>13534</v>
      </c>
      <c r="S145" s="164">
        <v>158.5</v>
      </c>
      <c r="T145" s="164">
        <f t="shared" si="3"/>
        <v>273.97061794172066</v>
      </c>
      <c r="U145" s="156"/>
      <c r="V145" s="156"/>
      <c r="W145" s="156"/>
      <c r="X145" s="156"/>
      <c r="Y145" s="156"/>
      <c r="Z145" s="156"/>
      <c r="AA145" s="156"/>
      <c r="AB145" s="156"/>
      <c r="AC145" s="156"/>
      <c r="AD145" s="156"/>
      <c r="AE145" s="156"/>
    </row>
    <row r="146" spans="1:31" x14ac:dyDescent="0.25">
      <c r="A146" s="159">
        <v>4</v>
      </c>
      <c r="B146" s="156"/>
      <c r="C146" s="159">
        <f>+E146-E145</f>
        <v>137.49520000000001</v>
      </c>
      <c r="D146" s="159">
        <f>+G146-G145</f>
        <v>124.07220000000007</v>
      </c>
      <c r="E146" s="167">
        <v>570.6952</v>
      </c>
      <c r="F146" s="172"/>
      <c r="G146" s="167">
        <v>512.07220000000007</v>
      </c>
      <c r="H146" s="156"/>
      <c r="I146" s="164">
        <v>108.7</v>
      </c>
      <c r="J146" s="156">
        <v>4</v>
      </c>
      <c r="K146" s="156"/>
      <c r="L146" s="165">
        <v>16945</v>
      </c>
      <c r="M146" s="164">
        <v>509.39999999999986</v>
      </c>
      <c r="N146" s="164">
        <f t="shared" si="4"/>
        <v>875.6485104121432</v>
      </c>
      <c r="O146" s="165">
        <v>9601</v>
      </c>
      <c r="P146" s="164">
        <v>803.30000000000018</v>
      </c>
      <c r="Q146" s="164">
        <f t="shared" si="2"/>
        <v>1380.8567891913528</v>
      </c>
      <c r="R146" s="165">
        <v>12341</v>
      </c>
      <c r="S146" s="164">
        <v>258.5</v>
      </c>
      <c r="T146" s="164">
        <f t="shared" si="3"/>
        <v>444.35637994020237</v>
      </c>
      <c r="U146" s="156"/>
      <c r="V146" s="156"/>
      <c r="W146" s="156"/>
      <c r="X146" s="156"/>
      <c r="Y146" s="156"/>
      <c r="Z146" s="156"/>
      <c r="AA146" s="156"/>
      <c r="AB146" s="156"/>
      <c r="AC146" s="156"/>
      <c r="AD146" s="156"/>
      <c r="AE146" s="156"/>
    </row>
    <row r="147" spans="1:31" x14ac:dyDescent="0.25">
      <c r="A147" s="159">
        <v>1</v>
      </c>
      <c r="B147" s="159">
        <v>2002</v>
      </c>
      <c r="C147" s="159">
        <f>+E147</f>
        <v>155.81399999999999</v>
      </c>
      <c r="D147" s="159">
        <f>+G147</f>
        <v>141.72399999999999</v>
      </c>
      <c r="E147" s="167">
        <v>155.81399999999999</v>
      </c>
      <c r="F147" s="172"/>
      <c r="G147" s="167">
        <v>141.72399999999999</v>
      </c>
      <c r="H147" s="156"/>
      <c r="I147" s="164">
        <v>109.3</v>
      </c>
      <c r="J147" s="156">
        <v>1</v>
      </c>
      <c r="K147" s="156">
        <v>2002</v>
      </c>
      <c r="L147" s="165">
        <v>17523</v>
      </c>
      <c r="M147" s="164">
        <v>466.5</v>
      </c>
      <c r="N147" s="164">
        <f t="shared" si="4"/>
        <v>797.50222392955175</v>
      </c>
      <c r="O147" s="165">
        <v>6856</v>
      </c>
      <c r="P147" s="164">
        <v>820.40000000000009</v>
      </c>
      <c r="Q147" s="164">
        <f t="shared" si="2"/>
        <v>1402.5098060274477</v>
      </c>
      <c r="R147" s="165">
        <v>9371</v>
      </c>
      <c r="S147" s="164">
        <v>197.9</v>
      </c>
      <c r="T147" s="164">
        <f t="shared" si="3"/>
        <v>338.31873551052149</v>
      </c>
      <c r="U147" s="156"/>
      <c r="V147" s="156"/>
      <c r="W147" s="156"/>
      <c r="X147" s="156"/>
      <c r="Y147" s="156"/>
      <c r="Z147" s="156"/>
      <c r="AA147" s="156"/>
      <c r="AB147" s="156"/>
      <c r="AC147" s="156"/>
      <c r="AD147" s="156"/>
      <c r="AE147" s="156"/>
    </row>
    <row r="148" spans="1:31" x14ac:dyDescent="0.25">
      <c r="A148" s="159">
        <v>2</v>
      </c>
      <c r="B148" s="159"/>
      <c r="C148" s="159">
        <f>+E148-E147</f>
        <v>146.54300000000003</v>
      </c>
      <c r="D148" s="159">
        <f>+G148-G147</f>
        <v>133.19</v>
      </c>
      <c r="E148" s="159">
        <v>302.35700000000003</v>
      </c>
      <c r="F148" s="156"/>
      <c r="G148" s="159">
        <v>274.91399999999999</v>
      </c>
      <c r="H148" s="156"/>
      <c r="I148" s="164">
        <v>110</v>
      </c>
      <c r="J148" s="156">
        <v>2</v>
      </c>
      <c r="K148" s="156"/>
      <c r="L148" s="165">
        <v>17469</v>
      </c>
      <c r="M148" s="164">
        <v>408.5</v>
      </c>
      <c r="N148" s="164">
        <f t="shared" si="4"/>
        <v>693.90464135909099</v>
      </c>
      <c r="O148" s="165">
        <v>9323</v>
      </c>
      <c r="P148" s="164">
        <v>689.09999999999991</v>
      </c>
      <c r="Q148" s="164">
        <f t="shared" si="2"/>
        <v>1170.5500327063635</v>
      </c>
      <c r="R148" s="165">
        <v>14749</v>
      </c>
      <c r="S148" s="164">
        <v>233.49999999999997</v>
      </c>
      <c r="T148" s="164">
        <f t="shared" si="3"/>
        <v>396.63827113181816</v>
      </c>
      <c r="U148" s="156"/>
      <c r="V148" s="156"/>
      <c r="W148" s="156"/>
      <c r="X148" s="156"/>
      <c r="Y148" s="156"/>
      <c r="Z148" s="156"/>
      <c r="AA148" s="156"/>
      <c r="AB148" s="156"/>
      <c r="AC148" s="156"/>
      <c r="AD148" s="156"/>
      <c r="AE148" s="156"/>
    </row>
    <row r="149" spans="1:31" x14ac:dyDescent="0.25">
      <c r="A149" s="159">
        <v>3</v>
      </c>
      <c r="B149" s="156"/>
      <c r="C149" s="159">
        <f>+E149-E148</f>
        <v>146.23099999999999</v>
      </c>
      <c r="D149" s="159">
        <f>+G149-G148</f>
        <v>127.14100000000002</v>
      </c>
      <c r="E149" s="159">
        <v>448.58800000000002</v>
      </c>
      <c r="F149" s="156"/>
      <c r="G149" s="159">
        <v>402.05500000000001</v>
      </c>
      <c r="H149" s="156"/>
      <c r="I149" s="164">
        <v>109.6</v>
      </c>
      <c r="J149" s="156">
        <v>3</v>
      </c>
      <c r="K149" s="156"/>
      <c r="L149" s="165">
        <v>19641</v>
      </c>
      <c r="M149" s="164">
        <v>503</v>
      </c>
      <c r="N149" s="164">
        <f t="shared" si="4"/>
        <v>857.54683340328472</v>
      </c>
      <c r="O149" s="165">
        <v>17422</v>
      </c>
      <c r="P149" s="164">
        <v>895.90000000000009</v>
      </c>
      <c r="Q149" s="164">
        <f t="shared" si="2"/>
        <v>1527.3880875666061</v>
      </c>
      <c r="R149" s="165">
        <v>14722</v>
      </c>
      <c r="S149" s="164">
        <v>184.5</v>
      </c>
      <c r="T149" s="164">
        <f t="shared" si="3"/>
        <v>314.5474965465329</v>
      </c>
      <c r="U149" s="156"/>
      <c r="V149" s="156"/>
      <c r="W149" s="156"/>
      <c r="X149" s="156"/>
      <c r="Y149" s="156"/>
      <c r="Z149" s="156"/>
      <c r="AA149" s="156"/>
      <c r="AB149" s="156"/>
      <c r="AC149" s="156"/>
      <c r="AD149" s="156"/>
      <c r="AE149" s="156"/>
    </row>
    <row r="150" spans="1:31" x14ac:dyDescent="0.25">
      <c r="A150" s="159">
        <v>4</v>
      </c>
      <c r="B150" s="156"/>
      <c r="C150" s="159">
        <f>+E150-E149</f>
        <v>137.96699999999993</v>
      </c>
      <c r="D150" s="159">
        <f>+G150-G149</f>
        <v>124.64100000000002</v>
      </c>
      <c r="E150" s="167">
        <v>586.55499999999995</v>
      </c>
      <c r="F150" s="172"/>
      <c r="G150" s="167">
        <v>526.69600000000003</v>
      </c>
      <c r="H150" s="156"/>
      <c r="I150" s="164">
        <v>111</v>
      </c>
      <c r="J150" s="156">
        <v>4</v>
      </c>
      <c r="K150" s="156"/>
      <c r="L150" s="165">
        <v>17442</v>
      </c>
      <c r="M150" s="164">
        <v>464.20000000000005</v>
      </c>
      <c r="N150" s="164">
        <f t="shared" si="4"/>
        <v>781.4164940306307</v>
      </c>
      <c r="O150" s="165">
        <v>8123</v>
      </c>
      <c r="P150" s="164">
        <v>938.5</v>
      </c>
      <c r="Q150" s="164">
        <f t="shared" si="2"/>
        <v>1579.8349410765766</v>
      </c>
      <c r="R150" s="165">
        <v>14689</v>
      </c>
      <c r="S150" s="164">
        <v>194.00000000000011</v>
      </c>
      <c r="T150" s="164">
        <f t="shared" si="3"/>
        <v>326.57216682882904</v>
      </c>
      <c r="U150" s="156"/>
      <c r="V150" s="156"/>
      <c r="W150" s="156"/>
      <c r="X150" s="156"/>
      <c r="Y150" s="156"/>
      <c r="Z150" s="156"/>
      <c r="AA150" s="156"/>
      <c r="AB150" s="156"/>
      <c r="AC150" s="156"/>
      <c r="AD150" s="156"/>
      <c r="AE150" s="156"/>
    </row>
    <row r="151" spans="1:31" x14ac:dyDescent="0.25">
      <c r="A151" s="159">
        <v>1</v>
      </c>
      <c r="B151" s="159">
        <v>2003</v>
      </c>
      <c r="C151" s="167">
        <f>+E151</f>
        <v>165.679</v>
      </c>
      <c r="D151" s="159">
        <f>+G151</f>
        <v>150.81100000000001</v>
      </c>
      <c r="E151" s="167">
        <v>165.679</v>
      </c>
      <c r="F151" s="172"/>
      <c r="G151" s="167">
        <v>150.81100000000001</v>
      </c>
      <c r="H151" s="156"/>
      <c r="I151" s="164">
        <v>114.6</v>
      </c>
      <c r="J151" s="156">
        <v>1</v>
      </c>
      <c r="K151" s="156">
        <v>2003</v>
      </c>
      <c r="L151" s="165">
        <v>22781</v>
      </c>
      <c r="M151" s="164">
        <v>626.79999999999995</v>
      </c>
      <c r="N151" s="164">
        <f t="shared" si="4"/>
        <v>1021.9856242547993</v>
      </c>
      <c r="O151" s="165">
        <v>6823</v>
      </c>
      <c r="P151" s="164">
        <v>1087.2</v>
      </c>
      <c r="Q151" s="164">
        <f t="shared" si="2"/>
        <v>1772.6591746806284</v>
      </c>
      <c r="R151" s="165">
        <v>10626</v>
      </c>
      <c r="S151" s="164">
        <v>183</v>
      </c>
      <c r="T151" s="164">
        <f t="shared" si="3"/>
        <v>298.37806196335083</v>
      </c>
      <c r="U151" s="156"/>
      <c r="V151" s="156"/>
      <c r="W151" s="156"/>
      <c r="X151" s="156"/>
      <c r="Y151" s="156"/>
      <c r="Z151" s="156"/>
      <c r="AA151" s="156"/>
      <c r="AB151" s="156"/>
      <c r="AC151" s="156"/>
      <c r="AD151" s="156"/>
      <c r="AE151" s="156"/>
    </row>
    <row r="152" spans="1:31" x14ac:dyDescent="0.25">
      <c r="A152" s="159">
        <v>2</v>
      </c>
      <c r="B152" s="159"/>
      <c r="C152" s="167">
        <f>+E152-E151</f>
        <v>135.02099999999999</v>
      </c>
      <c r="D152" s="159">
        <f>+G152-G151</f>
        <v>121.10099999999997</v>
      </c>
      <c r="E152" s="159">
        <v>300.7</v>
      </c>
      <c r="F152" s="156"/>
      <c r="G152" s="159">
        <v>271.91199999999998</v>
      </c>
      <c r="H152" s="156"/>
      <c r="I152" s="164">
        <v>112.3</v>
      </c>
      <c r="J152" s="156">
        <v>2</v>
      </c>
      <c r="K152" s="156"/>
      <c r="L152" s="165">
        <v>15417</v>
      </c>
      <c r="M152" s="164">
        <v>406.10000000000014</v>
      </c>
      <c r="N152" s="164">
        <f t="shared" si="4"/>
        <v>675.69958144879809</v>
      </c>
      <c r="O152" s="165">
        <v>5618</v>
      </c>
      <c r="P152" s="164">
        <v>817.8</v>
      </c>
      <c r="Q152" s="164">
        <f t="shared" si="2"/>
        <v>1360.716862124666</v>
      </c>
      <c r="R152" s="165">
        <v>12719</v>
      </c>
      <c r="S152" s="164">
        <v>203.2</v>
      </c>
      <c r="T152" s="164">
        <f t="shared" si="3"/>
        <v>338.09937195369548</v>
      </c>
      <c r="U152" s="156"/>
      <c r="V152" s="156"/>
      <c r="W152" s="156"/>
      <c r="X152" s="156"/>
      <c r="Y152" s="156"/>
      <c r="Z152" s="156"/>
      <c r="AA152" s="156"/>
      <c r="AB152" s="156"/>
      <c r="AC152" s="156"/>
      <c r="AD152" s="156"/>
      <c r="AE152" s="156"/>
    </row>
    <row r="153" spans="1:31" x14ac:dyDescent="0.25">
      <c r="A153" s="159">
        <v>3</v>
      </c>
      <c r="B153" s="159"/>
      <c r="C153" s="167">
        <f>+E153-E152</f>
        <v>134.11099999999999</v>
      </c>
      <c r="D153" s="159">
        <f>+G153-G152</f>
        <v>119.49100000000004</v>
      </c>
      <c r="E153" s="159">
        <v>434.81099999999998</v>
      </c>
      <c r="F153" s="156"/>
      <c r="G153" s="159">
        <v>391.40300000000002</v>
      </c>
      <c r="H153" s="156"/>
      <c r="I153" s="164">
        <v>111.9</v>
      </c>
      <c r="J153" s="156">
        <v>3</v>
      </c>
      <c r="K153" s="156"/>
      <c r="L153" s="165">
        <v>18848</v>
      </c>
      <c r="M153" s="164">
        <v>430.5</v>
      </c>
      <c r="N153" s="164">
        <f t="shared" si="4"/>
        <v>718.85862183646111</v>
      </c>
      <c r="O153" s="165">
        <v>16056</v>
      </c>
      <c r="P153" s="164">
        <v>860.19999999999982</v>
      </c>
      <c r="Q153" s="164">
        <f t="shared" si="2"/>
        <v>1436.3813856067916</v>
      </c>
      <c r="R153" s="165">
        <v>13690</v>
      </c>
      <c r="S153" s="164">
        <v>188.8</v>
      </c>
      <c r="T153" s="164">
        <f t="shared" si="3"/>
        <v>315.26250360679177</v>
      </c>
      <c r="U153" s="156"/>
      <c r="V153" s="156"/>
      <c r="W153" s="156"/>
      <c r="X153" s="156"/>
      <c r="Y153" s="156"/>
      <c r="Z153" s="156"/>
      <c r="AA153" s="156"/>
      <c r="AB153" s="156"/>
      <c r="AC153" s="156"/>
      <c r="AD153" s="156"/>
      <c r="AE153" s="156"/>
    </row>
    <row r="154" spans="1:31" x14ac:dyDescent="0.25">
      <c r="A154" s="159">
        <v>4</v>
      </c>
      <c r="B154" s="159"/>
      <c r="C154" s="167">
        <f>+E154-E153</f>
        <v>142.01299999999998</v>
      </c>
      <c r="D154" s="159">
        <f>+G154-G153</f>
        <v>125.95899999999995</v>
      </c>
      <c r="E154" s="159">
        <v>576.82399999999996</v>
      </c>
      <c r="F154" s="156"/>
      <c r="G154" s="159">
        <v>517.36199999999997</v>
      </c>
      <c r="H154" s="156"/>
      <c r="I154" s="164">
        <v>112.6</v>
      </c>
      <c r="J154" s="156">
        <v>4</v>
      </c>
      <c r="K154" s="156"/>
      <c r="L154" s="165">
        <v>16096</v>
      </c>
      <c r="M154" s="164">
        <v>471.89999999999986</v>
      </c>
      <c r="N154" s="164">
        <f t="shared" si="4"/>
        <v>783.09058676110112</v>
      </c>
      <c r="O154" s="165">
        <v>7652</v>
      </c>
      <c r="P154" s="164">
        <v>762.30000000000018</v>
      </c>
      <c r="Q154" s="164">
        <f t="shared" si="2"/>
        <v>1264.9924863063948</v>
      </c>
      <c r="R154" s="165">
        <v>11607</v>
      </c>
      <c r="S154" s="164">
        <v>220.90000000000009</v>
      </c>
      <c r="T154" s="164">
        <f t="shared" si="3"/>
        <v>366.57069424777995</v>
      </c>
      <c r="U154" s="156"/>
      <c r="V154" s="156"/>
      <c r="W154" s="156"/>
      <c r="X154" s="156"/>
      <c r="Y154" s="156"/>
      <c r="Z154" s="156"/>
      <c r="AA154" s="156"/>
      <c r="AB154" s="156"/>
      <c r="AC154" s="156"/>
      <c r="AD154" s="156"/>
      <c r="AE154" s="156"/>
    </row>
    <row r="155" spans="1:31" x14ac:dyDescent="0.25">
      <c r="A155" s="159">
        <v>1</v>
      </c>
      <c r="B155" s="159">
        <v>2004</v>
      </c>
      <c r="C155" s="167">
        <f>+E155</f>
        <v>168.309</v>
      </c>
      <c r="D155" s="159">
        <f>+G155</f>
        <v>153.04300000000001</v>
      </c>
      <c r="E155" s="159">
        <v>168.309</v>
      </c>
      <c r="F155" s="156"/>
      <c r="G155" s="159">
        <v>153.04300000000001</v>
      </c>
      <c r="H155" s="156"/>
      <c r="I155" s="164">
        <v>112.6</v>
      </c>
      <c r="J155" s="156">
        <v>1</v>
      </c>
      <c r="K155" s="156">
        <v>2004</v>
      </c>
      <c r="L155" s="165">
        <v>17805</v>
      </c>
      <c r="M155" s="164">
        <v>517.69999999999993</v>
      </c>
      <c r="N155" s="164">
        <f t="shared" si="4"/>
        <v>859.09302133126107</v>
      </c>
      <c r="O155" s="165">
        <v>7033</v>
      </c>
      <c r="P155" s="164">
        <v>735.2</v>
      </c>
      <c r="Q155" s="164">
        <f t="shared" si="2"/>
        <v>1220.0216134493785</v>
      </c>
      <c r="R155" s="165">
        <v>8913</v>
      </c>
      <c r="S155" s="164">
        <v>178.89999999999998</v>
      </c>
      <c r="T155" s="164">
        <f t="shared" si="3"/>
        <v>296.87413852841917</v>
      </c>
      <c r="U155" s="156"/>
      <c r="V155" s="156"/>
      <c r="W155" s="156"/>
      <c r="X155" s="156"/>
      <c r="Y155" s="156"/>
      <c r="Z155" s="156"/>
      <c r="AA155" s="156"/>
      <c r="AB155" s="156"/>
      <c r="AC155" s="156"/>
      <c r="AD155" s="156"/>
      <c r="AE155" s="156"/>
    </row>
    <row r="156" spans="1:31" x14ac:dyDescent="0.25">
      <c r="A156" s="159">
        <v>2</v>
      </c>
      <c r="B156" s="159"/>
      <c r="C156" s="167">
        <f>+E156-E155</f>
        <v>140.26700000000002</v>
      </c>
      <c r="D156" s="159">
        <f>+G156-G155</f>
        <v>125.56799999999998</v>
      </c>
      <c r="E156" s="159">
        <v>308.57600000000002</v>
      </c>
      <c r="F156" s="156"/>
      <c r="G156" s="159">
        <v>278.61099999999999</v>
      </c>
      <c r="H156" s="156"/>
      <c r="I156" s="164">
        <v>113.4</v>
      </c>
      <c r="J156" s="156">
        <v>2</v>
      </c>
      <c r="K156" s="156"/>
      <c r="L156" s="165">
        <v>13855</v>
      </c>
      <c r="M156" s="164">
        <v>344.69999999999993</v>
      </c>
      <c r="N156" s="164">
        <f t="shared" si="4"/>
        <v>567.97424842063481</v>
      </c>
      <c r="O156" s="165">
        <v>6436</v>
      </c>
      <c r="P156" s="164">
        <v>708.3</v>
      </c>
      <c r="Q156" s="164">
        <f t="shared" si="2"/>
        <v>1167.0906880079365</v>
      </c>
      <c r="R156" s="165">
        <v>10802</v>
      </c>
      <c r="S156" s="164">
        <v>228.40000000000003</v>
      </c>
      <c r="T156" s="164">
        <f t="shared" si="3"/>
        <v>376.34266997178133</v>
      </c>
      <c r="U156" s="156"/>
      <c r="V156" s="156"/>
      <c r="W156" s="156"/>
      <c r="X156" s="156"/>
      <c r="Y156" s="156"/>
      <c r="Z156" s="156"/>
      <c r="AA156" s="156"/>
      <c r="AB156" s="156"/>
      <c r="AC156" s="156"/>
      <c r="AD156" s="156"/>
      <c r="AE156" s="156"/>
    </row>
    <row r="157" spans="1:31" x14ac:dyDescent="0.25">
      <c r="A157" s="159">
        <v>3</v>
      </c>
      <c r="B157" s="159"/>
      <c r="C157" s="167">
        <f>+E157-E156</f>
        <v>137.76999999999998</v>
      </c>
      <c r="D157" s="159">
        <f>+G157-G156</f>
        <v>123.12100000000004</v>
      </c>
      <c r="E157" s="159">
        <v>446.346</v>
      </c>
      <c r="F157" s="156"/>
      <c r="G157" s="159">
        <v>401.73200000000003</v>
      </c>
      <c r="H157" s="156"/>
      <c r="I157" s="164">
        <v>113</v>
      </c>
      <c r="J157" s="156">
        <v>3</v>
      </c>
      <c r="K157" s="156"/>
      <c r="L157" s="165">
        <v>17630</v>
      </c>
      <c r="M157" s="164">
        <v>454.09999999999991</v>
      </c>
      <c r="N157" s="164">
        <f t="shared" si="4"/>
        <v>750.88508011238923</v>
      </c>
      <c r="O157" s="165">
        <v>11805</v>
      </c>
      <c r="P157" s="164">
        <v>652.69999999999982</v>
      </c>
      <c r="Q157" s="164">
        <f t="shared" si="2"/>
        <v>1079.2836198840707</v>
      </c>
      <c r="R157" s="165">
        <v>11365</v>
      </c>
      <c r="S157" s="164">
        <v>160.7999999999999</v>
      </c>
      <c r="T157" s="164">
        <f t="shared" si="3"/>
        <v>265.89368174867241</v>
      </c>
      <c r="U157" s="156"/>
      <c r="V157" s="156"/>
      <c r="W157" s="156"/>
      <c r="X157" s="156"/>
      <c r="Y157" s="156"/>
      <c r="Z157" s="156"/>
      <c r="AA157" s="156"/>
      <c r="AB157" s="156"/>
      <c r="AC157" s="156"/>
      <c r="AD157" s="156"/>
      <c r="AE157" s="156"/>
    </row>
    <row r="158" spans="1:31" x14ac:dyDescent="0.25">
      <c r="A158" s="159">
        <v>4</v>
      </c>
      <c r="B158" s="159"/>
      <c r="C158" s="167">
        <f>+E158-E157</f>
        <v>137.68499999999995</v>
      </c>
      <c r="D158" s="159">
        <f>+G158-G157</f>
        <v>124.50600000000003</v>
      </c>
      <c r="E158" s="159">
        <v>584.03099999999995</v>
      </c>
      <c r="F158" s="156"/>
      <c r="G158" s="159">
        <v>526.23800000000006</v>
      </c>
      <c r="H158" s="156"/>
      <c r="I158" s="164">
        <v>114</v>
      </c>
      <c r="J158" s="156">
        <v>4</v>
      </c>
      <c r="K158" s="156"/>
      <c r="L158" s="165">
        <v>16674</v>
      </c>
      <c r="M158" s="164">
        <v>428.20000000000027</v>
      </c>
      <c r="N158" s="164">
        <f t="shared" si="4"/>
        <v>701.84664513508824</v>
      </c>
      <c r="O158" s="165">
        <v>10088</v>
      </c>
      <c r="P158" s="164">
        <v>709.40000000000055</v>
      </c>
      <c r="Q158" s="164">
        <f t="shared" si="2"/>
        <v>1162.7510744017554</v>
      </c>
      <c r="R158" s="165">
        <v>9276</v>
      </c>
      <c r="S158" s="164">
        <v>162.90000000000009</v>
      </c>
      <c r="T158" s="164">
        <f t="shared" si="3"/>
        <v>267.00331268684226</v>
      </c>
      <c r="U158" s="156"/>
      <c r="V158" s="156"/>
      <c r="W158" s="156"/>
      <c r="X158" s="156"/>
      <c r="Y158" s="156"/>
      <c r="Z158" s="156"/>
      <c r="AA158" s="156"/>
      <c r="AB158" s="156"/>
      <c r="AC158" s="156"/>
      <c r="AD158" s="156"/>
      <c r="AE158" s="156"/>
    </row>
    <row r="159" spans="1:31" x14ac:dyDescent="0.25">
      <c r="A159" s="159">
        <v>1</v>
      </c>
      <c r="B159" s="159">
        <v>2005</v>
      </c>
      <c r="C159" s="167">
        <f>+E159</f>
        <v>147.31100000000001</v>
      </c>
      <c r="D159" s="159">
        <f>+G159</f>
        <v>133.756</v>
      </c>
      <c r="E159" s="159">
        <v>147.31100000000001</v>
      </c>
      <c r="F159" s="156"/>
      <c r="G159" s="159">
        <v>133.756</v>
      </c>
      <c r="H159" s="156"/>
      <c r="I159" s="164">
        <v>113.7</v>
      </c>
      <c r="J159" s="156">
        <v>1</v>
      </c>
      <c r="K159" s="156">
        <v>2005</v>
      </c>
      <c r="L159" s="165">
        <v>15151</v>
      </c>
      <c r="M159" s="164">
        <v>418</v>
      </c>
      <c r="N159" s="164">
        <f t="shared" si="4"/>
        <v>686.93593180299035</v>
      </c>
      <c r="O159" s="165">
        <v>7287</v>
      </c>
      <c r="P159" s="164">
        <v>715.2</v>
      </c>
      <c r="Q159" s="164">
        <f t="shared" si="2"/>
        <v>1175.3506660897099</v>
      </c>
      <c r="R159" s="165">
        <v>7498</v>
      </c>
      <c r="S159" s="164">
        <v>159.69999999999999</v>
      </c>
      <c r="T159" s="164">
        <f t="shared" si="3"/>
        <v>262.4489672462621</v>
      </c>
      <c r="U159" s="156"/>
      <c r="V159" s="156"/>
      <c r="W159" s="156"/>
      <c r="X159" s="156"/>
      <c r="Y159" s="156"/>
      <c r="Z159" s="156"/>
      <c r="AA159" s="156"/>
      <c r="AB159" s="156"/>
      <c r="AC159" s="156"/>
      <c r="AD159" s="156"/>
      <c r="AE159" s="156"/>
    </row>
    <row r="160" spans="1:31" x14ac:dyDescent="0.25">
      <c r="A160" s="159">
        <v>2</v>
      </c>
      <c r="B160" s="159"/>
      <c r="C160" s="167">
        <f>+E160-E159</f>
        <v>143.51699999999997</v>
      </c>
      <c r="D160" s="159">
        <f>+G160-G159</f>
        <v>128.79</v>
      </c>
      <c r="E160" s="159">
        <v>290.82799999999997</v>
      </c>
      <c r="F160" s="156"/>
      <c r="G160" s="159">
        <v>262.54599999999999</v>
      </c>
      <c r="H160" s="156"/>
      <c r="I160" s="164">
        <v>115.2</v>
      </c>
      <c r="J160" s="156">
        <v>2</v>
      </c>
      <c r="K160" s="156"/>
      <c r="L160" s="165">
        <v>14855</v>
      </c>
      <c r="M160" s="164">
        <v>323.20000000000005</v>
      </c>
      <c r="N160" s="164">
        <f t="shared" si="4"/>
        <v>524.22688463888892</v>
      </c>
      <c r="O160" s="165">
        <v>6172</v>
      </c>
      <c r="P160" s="164">
        <v>745.5</v>
      </c>
      <c r="Q160" s="164">
        <f t="shared" si="2"/>
        <v>1209.192891393229</v>
      </c>
      <c r="R160" s="165">
        <v>11610</v>
      </c>
      <c r="S160" s="164">
        <v>152.50000000000006</v>
      </c>
      <c r="T160" s="164">
        <f t="shared" si="3"/>
        <v>247.35334129774316</v>
      </c>
      <c r="U160" s="156"/>
      <c r="V160" s="156"/>
      <c r="W160" s="156"/>
      <c r="X160" s="156"/>
      <c r="Y160" s="156"/>
      <c r="Z160" s="156"/>
      <c r="AA160" s="156"/>
      <c r="AB160" s="156"/>
      <c r="AC160" s="156"/>
      <c r="AD160" s="156"/>
      <c r="AE160" s="156"/>
    </row>
    <row r="161" spans="1:31" x14ac:dyDescent="0.25">
      <c r="A161" s="159">
        <v>3</v>
      </c>
      <c r="B161" s="159"/>
      <c r="C161" s="167">
        <f>+E161-E160</f>
        <v>134.78300000000002</v>
      </c>
      <c r="D161" s="159">
        <f>+G161-G160</f>
        <v>120.57100000000003</v>
      </c>
      <c r="E161" s="159">
        <v>425.61099999999999</v>
      </c>
      <c r="F161" s="156"/>
      <c r="G161" s="159">
        <v>383.11700000000002</v>
      </c>
      <c r="H161" s="156"/>
      <c r="I161" s="164">
        <v>115.1</v>
      </c>
      <c r="J161" s="156">
        <v>3</v>
      </c>
      <c r="K161" s="156"/>
      <c r="L161" s="165">
        <v>13014</v>
      </c>
      <c r="M161" s="164">
        <v>448.29999999999995</v>
      </c>
      <c r="N161" s="164">
        <f t="shared" si="4"/>
        <v>727.76946828931364</v>
      </c>
      <c r="O161" s="165">
        <v>6734</v>
      </c>
      <c r="P161" s="164">
        <v>832.10000000000014</v>
      </c>
      <c r="Q161" s="164">
        <f t="shared" si="2"/>
        <v>1350.8297447324071</v>
      </c>
      <c r="R161" s="165">
        <v>8742</v>
      </c>
      <c r="S161" s="164">
        <v>152.99999999999994</v>
      </c>
      <c r="T161" s="164">
        <f t="shared" si="3"/>
        <v>248.37994344917453</v>
      </c>
      <c r="U161" s="156"/>
      <c r="V161" s="156"/>
      <c r="W161" s="156"/>
      <c r="X161" s="156"/>
      <c r="Y161" s="156"/>
      <c r="Z161" s="156"/>
      <c r="AA161" s="156"/>
      <c r="AB161" s="156"/>
      <c r="AC161" s="156"/>
      <c r="AD161" s="156"/>
      <c r="AE161" s="156"/>
    </row>
    <row r="162" spans="1:31" x14ac:dyDescent="0.25">
      <c r="A162" s="159">
        <v>4</v>
      </c>
      <c r="B162" s="159"/>
      <c r="C162" s="167">
        <f>+E162-E161</f>
        <v>137.37</v>
      </c>
      <c r="D162" s="159">
        <f>+G162-G161</f>
        <v>124.38200000000001</v>
      </c>
      <c r="E162" s="159">
        <v>562.98099999999999</v>
      </c>
      <c r="F162" s="156"/>
      <c r="G162" s="159">
        <v>507.49900000000002</v>
      </c>
      <c r="H162" s="156"/>
      <c r="I162" s="164">
        <v>116</v>
      </c>
      <c r="J162" s="156">
        <v>4</v>
      </c>
      <c r="K162" s="156"/>
      <c r="L162" s="165">
        <v>22745</v>
      </c>
      <c r="M162" s="164">
        <v>478.79999999999995</v>
      </c>
      <c r="N162" s="164">
        <f t="shared" si="4"/>
        <v>771.2524722724138</v>
      </c>
      <c r="O162" s="165">
        <v>8144</v>
      </c>
      <c r="P162" s="164">
        <v>795.79999999999973</v>
      </c>
      <c r="Q162" s="164">
        <f t="shared" si="2"/>
        <v>1281.8770205396547</v>
      </c>
      <c r="R162" s="165">
        <v>11407</v>
      </c>
      <c r="S162" s="164">
        <v>142.00000000000006</v>
      </c>
      <c r="T162" s="164">
        <f t="shared" si="3"/>
        <v>228.7340247758622</v>
      </c>
      <c r="U162" s="156"/>
      <c r="V162" s="156"/>
      <c r="W162" s="156"/>
      <c r="X162" s="156"/>
      <c r="Y162" s="156"/>
      <c r="Z162" s="156"/>
      <c r="AA162" s="156"/>
      <c r="AB162" s="156"/>
      <c r="AC162" s="156"/>
      <c r="AD162" s="156"/>
      <c r="AE162" s="156"/>
    </row>
    <row r="163" spans="1:31" x14ac:dyDescent="0.25">
      <c r="A163" s="159">
        <v>1</v>
      </c>
      <c r="B163" s="159">
        <v>2006</v>
      </c>
      <c r="C163" s="167">
        <f>+E163</f>
        <v>155.21299999999999</v>
      </c>
      <c r="D163" s="159">
        <f>+G163</f>
        <v>139.72800000000001</v>
      </c>
      <c r="E163" s="159">
        <v>155.21299999999999</v>
      </c>
      <c r="F163" s="156"/>
      <c r="G163" s="159">
        <v>139.72800000000001</v>
      </c>
      <c r="H163" s="156"/>
      <c r="I163" s="164">
        <v>116.6</v>
      </c>
      <c r="J163" s="156">
        <v>1</v>
      </c>
      <c r="K163" s="156">
        <v>2006</v>
      </c>
      <c r="L163" s="165">
        <v>18196</v>
      </c>
      <c r="M163" s="164">
        <v>585</v>
      </c>
      <c r="N163" s="164">
        <f t="shared" si="4"/>
        <v>937.47076325042894</v>
      </c>
      <c r="O163" s="165">
        <v>6106</v>
      </c>
      <c r="P163" s="164">
        <v>947.2</v>
      </c>
      <c r="Q163" s="164">
        <f t="shared" si="2"/>
        <v>1517.9013794030877</v>
      </c>
      <c r="R163" s="165">
        <v>7106</v>
      </c>
      <c r="S163" s="164">
        <v>150.6</v>
      </c>
      <c r="T163" s="164">
        <f t="shared" si="3"/>
        <v>241.33862725728989</v>
      </c>
      <c r="U163" s="156"/>
      <c r="V163" s="156"/>
      <c r="W163" s="156"/>
      <c r="X163" s="156"/>
      <c r="Y163" s="156"/>
      <c r="Z163" s="156"/>
      <c r="AA163" s="156"/>
      <c r="AB163" s="156"/>
      <c r="AC163" s="156"/>
      <c r="AD163" s="156"/>
      <c r="AE163" s="156"/>
    </row>
    <row r="164" spans="1:31" x14ac:dyDescent="0.25">
      <c r="A164" s="159">
        <v>2</v>
      </c>
      <c r="B164" s="159"/>
      <c r="C164" s="167">
        <f>+E164-E163</f>
        <v>147.44399999999999</v>
      </c>
      <c r="D164" s="159">
        <f>+G164-G163</f>
        <v>129.572</v>
      </c>
      <c r="E164" s="159">
        <v>302.65699999999998</v>
      </c>
      <c r="F164" s="156"/>
      <c r="G164" s="159">
        <v>269.3</v>
      </c>
      <c r="H164" s="156"/>
      <c r="I164" s="164">
        <v>117.9</v>
      </c>
      <c r="J164" s="156">
        <v>2</v>
      </c>
      <c r="K164" s="156"/>
      <c r="L164" s="165">
        <v>13943</v>
      </c>
      <c r="M164" s="164">
        <v>433.79999999999995</v>
      </c>
      <c r="N164" s="164">
        <f t="shared" si="4"/>
        <v>687.50547216793882</v>
      </c>
      <c r="O164" s="165">
        <v>5246</v>
      </c>
      <c r="P164" s="164">
        <v>811.2</v>
      </c>
      <c r="Q164" s="164">
        <f t="shared" si="2"/>
        <v>1285.6257238880407</v>
      </c>
      <c r="R164" s="165">
        <v>9193</v>
      </c>
      <c r="S164" s="164">
        <v>176.1</v>
      </c>
      <c r="T164" s="164">
        <f t="shared" si="3"/>
        <v>279.09108724936385</v>
      </c>
      <c r="U164" s="156"/>
      <c r="V164" s="156"/>
      <c r="W164" s="156"/>
      <c r="X164" s="156"/>
      <c r="Y164" s="156"/>
      <c r="Z164" s="156"/>
      <c r="AA164" s="156"/>
      <c r="AB164" s="156"/>
      <c r="AC164" s="156"/>
      <c r="AD164" s="156"/>
      <c r="AE164" s="156"/>
    </row>
    <row r="165" spans="1:31" x14ac:dyDescent="0.25">
      <c r="A165" s="159">
        <v>3</v>
      </c>
      <c r="B165" s="159"/>
      <c r="C165" s="167">
        <f>+E165-E164</f>
        <v>143.45100000000002</v>
      </c>
      <c r="D165" s="159">
        <f>+G165-G164</f>
        <v>126.00599999999997</v>
      </c>
      <c r="E165" s="159">
        <v>446.108</v>
      </c>
      <c r="F165" s="156"/>
      <c r="G165" s="159">
        <v>395.30599999999998</v>
      </c>
      <c r="H165" s="156"/>
      <c r="I165" s="168">
        <v>117.3</v>
      </c>
      <c r="J165" s="156">
        <v>3</v>
      </c>
      <c r="K165" s="156"/>
      <c r="L165" s="165">
        <v>13690</v>
      </c>
      <c r="M165" s="164">
        <v>496.59999999999991</v>
      </c>
      <c r="N165" s="164">
        <f t="shared" si="4"/>
        <v>791.05944416197769</v>
      </c>
      <c r="O165" s="165">
        <v>9450</v>
      </c>
      <c r="P165" s="164">
        <v>855.90000000000009</v>
      </c>
      <c r="Q165" s="164">
        <f t="shared" si="2"/>
        <v>1363.4067222276217</v>
      </c>
      <c r="R165" s="165">
        <v>10840</v>
      </c>
      <c r="S165" s="164">
        <v>167.10000000000002</v>
      </c>
      <c r="T165" s="164">
        <f t="shared" si="3"/>
        <v>266.18210454987218</v>
      </c>
      <c r="U165" s="156"/>
      <c r="V165" s="156"/>
      <c r="W165" s="156"/>
      <c r="X165" s="156"/>
      <c r="Y165" s="156"/>
      <c r="Z165" s="156"/>
      <c r="AA165" s="156"/>
      <c r="AB165" s="156"/>
      <c r="AC165" s="156"/>
      <c r="AD165" s="156"/>
      <c r="AE165" s="156"/>
    </row>
    <row r="166" spans="1:31" x14ac:dyDescent="0.25">
      <c r="A166" s="159">
        <v>4</v>
      </c>
      <c r="B166" s="159"/>
      <c r="C166" s="167">
        <f>+E166-E165</f>
        <v>148.56090999999998</v>
      </c>
      <c r="D166" s="159">
        <f>+G166-G165</f>
        <v>131.19532799999996</v>
      </c>
      <c r="E166" s="159">
        <v>594.66890999999998</v>
      </c>
      <c r="F166" s="156"/>
      <c r="G166" s="159">
        <v>526.50132799999994</v>
      </c>
      <c r="H166" s="156"/>
      <c r="I166" s="168">
        <v>119</v>
      </c>
      <c r="J166" s="156">
        <v>4</v>
      </c>
      <c r="K166" s="156"/>
      <c r="L166" s="165">
        <v>16682</v>
      </c>
      <c r="M166" s="164">
        <v>525.60000000000014</v>
      </c>
      <c r="N166" s="164">
        <f t="shared" si="4"/>
        <v>825.29423582521031</v>
      </c>
      <c r="O166" s="165">
        <v>10233</v>
      </c>
      <c r="P166" s="164">
        <v>826</v>
      </c>
      <c r="Q166" s="164">
        <f t="shared" si="2"/>
        <v>1296.9806674117649</v>
      </c>
      <c r="R166" s="165">
        <v>9520</v>
      </c>
      <c r="S166" s="164">
        <v>144.09999999999997</v>
      </c>
      <c r="T166" s="164">
        <f t="shared" si="3"/>
        <v>226.26502926638651</v>
      </c>
      <c r="U166" s="156"/>
      <c r="V166" s="156"/>
      <c r="W166" s="156"/>
      <c r="X166" s="156"/>
      <c r="Y166" s="156"/>
      <c r="Z166" s="156"/>
      <c r="AA166" s="156"/>
      <c r="AB166" s="156"/>
      <c r="AC166" s="156"/>
      <c r="AD166" s="156"/>
      <c r="AE166" s="156"/>
    </row>
    <row r="167" spans="1:31" x14ac:dyDescent="0.25">
      <c r="A167" s="159">
        <v>1</v>
      </c>
      <c r="B167" s="159">
        <v>2007</v>
      </c>
      <c r="C167" s="167">
        <f>+E167</f>
        <v>158.09976</v>
      </c>
      <c r="D167" s="159">
        <f>+G167</f>
        <v>141.08400800000001</v>
      </c>
      <c r="E167" s="159">
        <v>158.09976</v>
      </c>
      <c r="F167" s="156"/>
      <c r="G167" s="159">
        <v>141.08400800000001</v>
      </c>
      <c r="H167" s="156"/>
      <c r="I167" s="168">
        <v>117.5</v>
      </c>
      <c r="J167" s="156">
        <v>1</v>
      </c>
      <c r="K167" s="156">
        <v>2007</v>
      </c>
      <c r="L167" s="165">
        <v>18623</v>
      </c>
      <c r="M167" s="164">
        <v>649.6</v>
      </c>
      <c r="N167" s="164">
        <f t="shared" si="4"/>
        <v>1033.0196109889362</v>
      </c>
      <c r="O167" s="165">
        <v>7737</v>
      </c>
      <c r="P167" s="164">
        <v>1092.1999999999998</v>
      </c>
      <c r="Q167" s="164">
        <f t="shared" si="2"/>
        <v>1736.859635348085</v>
      </c>
      <c r="R167" s="165">
        <v>8112</v>
      </c>
      <c r="S167" s="164">
        <v>167.4</v>
      </c>
      <c r="T167" s="164">
        <f t="shared" si="3"/>
        <v>266.20610049191492</v>
      </c>
      <c r="U167" s="156"/>
      <c r="V167" s="156"/>
      <c r="W167" s="156"/>
      <c r="X167" s="156"/>
      <c r="Y167" s="156"/>
      <c r="Z167" s="156"/>
      <c r="AA167" s="156"/>
      <c r="AB167" s="156"/>
      <c r="AC167" s="156"/>
      <c r="AD167" s="156"/>
      <c r="AE167" s="156"/>
    </row>
    <row r="168" spans="1:31" x14ac:dyDescent="0.25">
      <c r="A168" s="159">
        <v>2</v>
      </c>
      <c r="B168" s="159"/>
      <c r="C168" s="167">
        <f>+E168-E167</f>
        <v>161.61276000000004</v>
      </c>
      <c r="D168" s="159">
        <f>+G168-G167</f>
        <v>142.897008</v>
      </c>
      <c r="E168" s="159">
        <v>319.71252000000004</v>
      </c>
      <c r="F168" s="156"/>
      <c r="G168" s="159">
        <v>283.98101600000001</v>
      </c>
      <c r="H168" s="156"/>
      <c r="I168" s="168">
        <v>118.3</v>
      </c>
      <c r="J168" s="156">
        <v>2</v>
      </c>
      <c r="K168" s="156"/>
      <c r="L168" s="165">
        <v>15831</v>
      </c>
      <c r="M168" s="164">
        <v>514.19999999999993</v>
      </c>
      <c r="N168" s="164">
        <f t="shared" si="4"/>
        <v>812.17149778021985</v>
      </c>
      <c r="O168" s="165">
        <v>5067</v>
      </c>
      <c r="P168" s="164">
        <v>1041.6999999999998</v>
      </c>
      <c r="Q168" s="164">
        <f t="shared" ref="Q168:Q189" si="5">P168/I168*$I$69</f>
        <v>1645.3501540989009</v>
      </c>
      <c r="R168" s="165">
        <v>10608</v>
      </c>
      <c r="S168" s="164">
        <v>160.99999999999997</v>
      </c>
      <c r="T168" s="164">
        <f t="shared" ref="T168:T189" si="6">S168/I168*$I$69</f>
        <v>254.29718230769228</v>
      </c>
      <c r="U168" s="156"/>
      <c r="V168" s="156"/>
      <c r="W168" s="156"/>
      <c r="X168" s="156"/>
      <c r="Y168" s="156"/>
      <c r="Z168" s="156"/>
      <c r="AA168" s="156"/>
      <c r="AB168" s="156"/>
      <c r="AC168" s="156"/>
      <c r="AD168" s="156"/>
      <c r="AE168" s="156"/>
    </row>
    <row r="169" spans="1:31" x14ac:dyDescent="0.25">
      <c r="A169" s="159">
        <v>3</v>
      </c>
      <c r="B169" s="159"/>
      <c r="C169" s="167">
        <f>+E169-E168</f>
        <v>135.82058024999998</v>
      </c>
      <c r="D169" s="159">
        <f>+G169-G168</f>
        <v>119.75308425000003</v>
      </c>
      <c r="E169" s="159">
        <v>455.53310025000002</v>
      </c>
      <c r="F169" s="156"/>
      <c r="G169" s="159">
        <v>403.73410025000004</v>
      </c>
      <c r="H169" s="156"/>
      <c r="I169" s="168">
        <v>117.8</v>
      </c>
      <c r="J169" s="156">
        <v>3</v>
      </c>
      <c r="K169" s="156"/>
      <c r="L169" s="165">
        <v>18428</v>
      </c>
      <c r="M169" s="164">
        <v>654.20000000000027</v>
      </c>
      <c r="N169" s="164">
        <f t="shared" si="4"/>
        <v>1037.6853036281839</v>
      </c>
      <c r="O169" s="165">
        <v>6417</v>
      </c>
      <c r="P169" s="164">
        <v>679.60000000000036</v>
      </c>
      <c r="Q169" s="164">
        <f t="shared" si="5"/>
        <v>1077.9745220814948</v>
      </c>
      <c r="R169" s="165">
        <v>10319</v>
      </c>
      <c r="S169" s="164">
        <v>152.89999999999998</v>
      </c>
      <c r="T169" s="164">
        <f t="shared" si="6"/>
        <v>242.52840557130727</v>
      </c>
      <c r="U169" s="156"/>
      <c r="V169" s="156"/>
      <c r="W169" s="156"/>
      <c r="X169" s="156"/>
      <c r="Y169" s="156"/>
      <c r="Z169" s="156"/>
      <c r="AA169" s="156"/>
      <c r="AB169" s="156"/>
      <c r="AC169" s="156"/>
      <c r="AD169" s="156"/>
      <c r="AE169" s="156"/>
    </row>
    <row r="170" spans="1:31" x14ac:dyDescent="0.25">
      <c r="A170" s="159">
        <v>4</v>
      </c>
      <c r="B170" s="159"/>
      <c r="C170" s="167">
        <f>+E170-E169</f>
        <v>149.79139924999998</v>
      </c>
      <c r="D170" s="159">
        <f>+G170-G169</f>
        <v>133.49839924999998</v>
      </c>
      <c r="E170" s="159">
        <v>605.3244995</v>
      </c>
      <c r="F170" s="156"/>
      <c r="G170" s="159">
        <v>537.23249950000002</v>
      </c>
      <c r="H170" s="156"/>
      <c r="I170" s="168">
        <v>120.8</v>
      </c>
      <c r="J170" s="156">
        <v>4</v>
      </c>
      <c r="K170" s="156"/>
      <c r="L170" s="165">
        <v>15870</v>
      </c>
      <c r="M170" s="164">
        <v>567.19999999999959</v>
      </c>
      <c r="N170" s="164">
        <f t="shared" si="4"/>
        <v>877.34358425827759</v>
      </c>
      <c r="O170" s="165">
        <v>5114</v>
      </c>
      <c r="P170" s="164">
        <v>911.69999999999982</v>
      </c>
      <c r="Q170" s="164">
        <f t="shared" si="5"/>
        <v>1410.2153486746686</v>
      </c>
      <c r="R170" s="165">
        <v>8645</v>
      </c>
      <c r="S170" s="164">
        <v>142.80000000000007</v>
      </c>
      <c r="T170" s="164">
        <f t="shared" si="6"/>
        <v>220.88269363907295</v>
      </c>
      <c r="U170" s="156"/>
      <c r="V170" s="156"/>
      <c r="W170" s="156"/>
      <c r="X170" s="156"/>
      <c r="Y170" s="156"/>
      <c r="Z170" s="156"/>
      <c r="AA170" s="156"/>
      <c r="AB170" s="156"/>
      <c r="AC170" s="156"/>
      <c r="AD170" s="156"/>
      <c r="AE170" s="156"/>
    </row>
    <row r="171" spans="1:31" x14ac:dyDescent="0.25">
      <c r="A171" s="159">
        <v>1</v>
      </c>
      <c r="B171" s="159">
        <v>2008</v>
      </c>
      <c r="C171" s="167">
        <f>+E171</f>
        <v>164.64169099999998</v>
      </c>
      <c r="D171" s="159">
        <f>+G171</f>
        <v>148.61369099999999</v>
      </c>
      <c r="E171" s="159">
        <v>164.64169099999998</v>
      </c>
      <c r="F171" s="156"/>
      <c r="G171" s="159">
        <v>148.61369099999999</v>
      </c>
      <c r="H171" s="156"/>
      <c r="I171" s="168">
        <v>121.9</v>
      </c>
      <c r="J171" s="156">
        <v>1</v>
      </c>
      <c r="K171" s="156">
        <v>2008</v>
      </c>
      <c r="L171" s="165">
        <v>17004</v>
      </c>
      <c r="M171" s="164">
        <v>591.9</v>
      </c>
      <c r="N171" s="164">
        <f t="shared" si="4"/>
        <v>907.28775807465126</v>
      </c>
      <c r="O171" s="165">
        <v>6274</v>
      </c>
      <c r="P171" s="164">
        <v>963.6</v>
      </c>
      <c r="Q171" s="164">
        <f t="shared" si="5"/>
        <v>1477.0442366628386</v>
      </c>
      <c r="R171" s="165">
        <v>7939</v>
      </c>
      <c r="S171" s="164">
        <v>160.1</v>
      </c>
      <c r="T171" s="164">
        <f t="shared" si="6"/>
        <v>245.4076196447908</v>
      </c>
      <c r="U171" s="156"/>
      <c r="V171" s="156"/>
      <c r="W171" s="156"/>
      <c r="X171" s="156"/>
      <c r="Y171" s="156"/>
      <c r="Z171" s="156"/>
      <c r="AA171" s="156"/>
      <c r="AB171" s="156"/>
      <c r="AC171" s="156"/>
      <c r="AD171" s="156"/>
      <c r="AE171" s="156"/>
    </row>
    <row r="172" spans="1:31" x14ac:dyDescent="0.25">
      <c r="A172" s="159">
        <v>2</v>
      </c>
      <c r="B172" s="159"/>
      <c r="C172" s="167">
        <f>+E172-E171</f>
        <v>197.28657850000002</v>
      </c>
      <c r="D172" s="159">
        <f>+G172-G171</f>
        <v>175.71357850000001</v>
      </c>
      <c r="E172" s="159">
        <v>361.9282695</v>
      </c>
      <c r="F172" s="156"/>
      <c r="G172" s="159">
        <v>324.3272695</v>
      </c>
      <c r="H172" s="156"/>
      <c r="I172" s="168">
        <v>122</v>
      </c>
      <c r="J172" s="156">
        <v>2</v>
      </c>
      <c r="K172" s="156"/>
      <c r="L172" s="165">
        <v>14987</v>
      </c>
      <c r="M172" s="164">
        <v>548.4</v>
      </c>
      <c r="N172" s="164">
        <f t="shared" ref="N172:N181" si="7">M172/I172*$I$69</f>
        <v>839.9202115967214</v>
      </c>
      <c r="O172" s="165">
        <v>5831</v>
      </c>
      <c r="P172" s="164">
        <v>1153.8000000000002</v>
      </c>
      <c r="Q172" s="164">
        <f t="shared" si="5"/>
        <v>1767.1406640049186</v>
      </c>
      <c r="R172" s="165">
        <v>10207</v>
      </c>
      <c r="S172" s="164">
        <v>188.4</v>
      </c>
      <c r="T172" s="164">
        <f t="shared" si="6"/>
        <v>288.55026962950825</v>
      </c>
      <c r="U172" s="156"/>
      <c r="V172" s="156"/>
      <c r="W172" s="156"/>
      <c r="X172" s="156"/>
      <c r="Y172" s="156"/>
      <c r="Z172" s="156"/>
      <c r="AA172" s="156"/>
      <c r="AB172" s="156"/>
      <c r="AC172" s="156"/>
      <c r="AD172" s="156"/>
      <c r="AE172" s="156"/>
    </row>
    <row r="173" spans="1:31" x14ac:dyDescent="0.25">
      <c r="A173" s="159">
        <v>3</v>
      </c>
      <c r="B173" s="159"/>
      <c r="C173" s="167">
        <f>+E173-E172</f>
        <v>159.71767174999997</v>
      </c>
      <c r="D173" s="159">
        <f>+G173-G172</f>
        <v>141.40667174999999</v>
      </c>
      <c r="E173" s="159">
        <v>521.64594124999996</v>
      </c>
      <c r="F173" s="156"/>
      <c r="G173" s="159">
        <v>465.73394124999999</v>
      </c>
      <c r="H173" s="156"/>
      <c r="I173" s="168">
        <v>123.1</v>
      </c>
      <c r="J173" s="156">
        <v>3</v>
      </c>
      <c r="K173" s="156"/>
      <c r="L173" s="165">
        <v>19290</v>
      </c>
      <c r="M173" s="164">
        <v>722.70000000000027</v>
      </c>
      <c r="N173" s="164">
        <f t="shared" si="7"/>
        <v>1096.9843163030062</v>
      </c>
      <c r="O173" s="165">
        <v>12252</v>
      </c>
      <c r="P173" s="164">
        <v>1486.4999999999995</v>
      </c>
      <c r="Q173" s="164">
        <f t="shared" si="5"/>
        <v>2256.3542080869206</v>
      </c>
      <c r="R173" s="165">
        <v>11007</v>
      </c>
      <c r="S173" s="164">
        <v>186.29999999999995</v>
      </c>
      <c r="T173" s="164">
        <f t="shared" si="6"/>
        <v>282.78425090251824</v>
      </c>
      <c r="U173" s="156"/>
      <c r="V173" s="156"/>
      <c r="W173" s="156"/>
      <c r="X173" s="156"/>
      <c r="Y173" s="156"/>
      <c r="Z173" s="156"/>
      <c r="AA173" s="156"/>
      <c r="AB173" s="156"/>
      <c r="AC173" s="156"/>
      <c r="AD173" s="156"/>
      <c r="AE173" s="156"/>
    </row>
    <row r="174" spans="1:31" x14ac:dyDescent="0.25">
      <c r="A174" s="159">
        <v>4</v>
      </c>
      <c r="B174" s="159"/>
      <c r="C174" s="167">
        <f>+E174-E173</f>
        <v>170.05706974999998</v>
      </c>
      <c r="D174" s="159">
        <f>+G174-G173</f>
        <v>152.54014889999991</v>
      </c>
      <c r="E174" s="159">
        <v>691.70301099999995</v>
      </c>
      <c r="F174" s="156"/>
      <c r="G174" s="159">
        <v>618.27409014999989</v>
      </c>
      <c r="H174" s="156"/>
      <c r="I174" s="164">
        <v>124.7</v>
      </c>
      <c r="J174" s="156">
        <v>4</v>
      </c>
      <c r="K174" s="156"/>
      <c r="L174" s="165">
        <v>16976</v>
      </c>
      <c r="M174" s="164">
        <v>703.10000000000014</v>
      </c>
      <c r="N174" s="164">
        <f t="shared" si="7"/>
        <v>1053.5400774314357</v>
      </c>
      <c r="O174" s="165">
        <v>7247</v>
      </c>
      <c r="P174" s="164">
        <v>1160</v>
      </c>
      <c r="Q174" s="164">
        <f t="shared" si="5"/>
        <v>1738.1688093023258</v>
      </c>
      <c r="R174" s="165">
        <v>10145</v>
      </c>
      <c r="S174" s="164">
        <v>269.60000000000014</v>
      </c>
      <c r="T174" s="164">
        <f t="shared" si="6"/>
        <v>403.974406024058</v>
      </c>
      <c r="U174" s="156"/>
      <c r="V174" s="156"/>
      <c r="W174" s="156"/>
      <c r="X174" s="156"/>
      <c r="Y174" s="156"/>
      <c r="Z174" s="156"/>
      <c r="AA174" s="156"/>
      <c r="AB174" s="156"/>
      <c r="AC174" s="156"/>
      <c r="AD174" s="156"/>
      <c r="AE174" s="156"/>
    </row>
    <row r="175" spans="1:31" x14ac:dyDescent="0.25">
      <c r="A175" s="159">
        <v>1</v>
      </c>
      <c r="B175" s="159">
        <v>2009</v>
      </c>
      <c r="C175" s="167">
        <f>+E175</f>
        <v>191.37959499999999</v>
      </c>
      <c r="D175" s="159">
        <f>+G175</f>
        <v>172.55938714999999</v>
      </c>
      <c r="E175" s="159">
        <v>191.37959499999999</v>
      </c>
      <c r="F175" s="156"/>
      <c r="G175" s="159">
        <v>172.55938714999999</v>
      </c>
      <c r="H175" s="156"/>
      <c r="I175" s="164">
        <v>125</v>
      </c>
      <c r="J175" s="156">
        <v>1</v>
      </c>
      <c r="K175" s="156">
        <v>2009</v>
      </c>
      <c r="L175" s="165">
        <v>18865</v>
      </c>
      <c r="M175" s="164">
        <v>739.59999999999991</v>
      </c>
      <c r="N175" s="164">
        <f t="shared" si="7"/>
        <v>1105.5727001696</v>
      </c>
      <c r="O175" s="165">
        <v>6194</v>
      </c>
      <c r="P175" s="164">
        <v>1049.9000000000001</v>
      </c>
      <c r="Q175" s="164">
        <f t="shared" si="5"/>
        <v>1569.4169522824002</v>
      </c>
      <c r="R175" s="165">
        <v>8619</v>
      </c>
      <c r="S175" s="164">
        <v>213.2</v>
      </c>
      <c r="T175" s="164">
        <f t="shared" si="6"/>
        <v>318.69672752320002</v>
      </c>
      <c r="U175" s="156"/>
      <c r="V175" s="156"/>
      <c r="W175" s="156"/>
      <c r="X175" s="156"/>
      <c r="Y175" s="156"/>
      <c r="Z175" s="156"/>
      <c r="AA175" s="156"/>
      <c r="AB175" s="156"/>
      <c r="AC175" s="156"/>
      <c r="AD175" s="156"/>
      <c r="AE175" s="156"/>
    </row>
    <row r="176" spans="1:31" x14ac:dyDescent="0.25">
      <c r="A176" s="159">
        <v>2</v>
      </c>
      <c r="B176" s="159"/>
      <c r="C176" s="167">
        <f>+E176-E175</f>
        <v>178.90604250000001</v>
      </c>
      <c r="D176" s="159">
        <f>+G176-G175</f>
        <v>160.765232725</v>
      </c>
      <c r="E176" s="159">
        <v>370.28563750000001</v>
      </c>
      <c r="F176" s="156"/>
      <c r="G176" s="159">
        <v>333.324619875</v>
      </c>
      <c r="H176" s="156"/>
      <c r="I176" s="164">
        <v>125.7</v>
      </c>
      <c r="J176" s="156">
        <v>2</v>
      </c>
      <c r="K176" s="156"/>
      <c r="L176" s="165">
        <v>14610</v>
      </c>
      <c r="M176" s="164">
        <v>603.80000000000018</v>
      </c>
      <c r="N176" s="164">
        <f t="shared" si="7"/>
        <v>897.54916593953874</v>
      </c>
      <c r="O176" s="165">
        <v>5486</v>
      </c>
      <c r="P176" s="164">
        <v>1077.9000000000001</v>
      </c>
      <c r="Q176" s="164">
        <f t="shared" si="5"/>
        <v>1602.2991817923628</v>
      </c>
      <c r="R176" s="165">
        <v>11296</v>
      </c>
      <c r="S176" s="164">
        <v>235.3</v>
      </c>
      <c r="T176" s="164">
        <f t="shared" si="6"/>
        <v>349.7736315759746</v>
      </c>
      <c r="U176" s="156"/>
      <c r="V176" s="156"/>
      <c r="W176" s="156"/>
      <c r="X176" s="156"/>
      <c r="Y176" s="156"/>
      <c r="Z176" s="156"/>
      <c r="AA176" s="156"/>
      <c r="AB176" s="156"/>
      <c r="AC176" s="156"/>
      <c r="AD176" s="156"/>
      <c r="AE176" s="156"/>
    </row>
    <row r="177" spans="1:31" x14ac:dyDescent="0.25">
      <c r="A177" s="159">
        <v>3</v>
      </c>
      <c r="B177" s="159"/>
      <c r="C177" s="167">
        <f>+E177-E176</f>
        <v>160.23377500000004</v>
      </c>
      <c r="D177" s="159">
        <f>+G177-G176</f>
        <v>142.31202375000004</v>
      </c>
      <c r="E177" s="159">
        <v>530.51941250000004</v>
      </c>
      <c r="F177" s="156"/>
      <c r="G177" s="159">
        <v>475.63664362500003</v>
      </c>
      <c r="H177" s="156"/>
      <c r="I177" s="164">
        <v>125.4</v>
      </c>
      <c r="J177" s="156">
        <v>3</v>
      </c>
      <c r="K177" s="156"/>
      <c r="L177" s="165">
        <v>19220</v>
      </c>
      <c r="M177" s="164">
        <v>795.69999999999982</v>
      </c>
      <c r="N177" s="164">
        <f t="shared" si="7"/>
        <v>1185.6383498237637</v>
      </c>
      <c r="O177" s="165">
        <v>13278</v>
      </c>
      <c r="P177" s="164">
        <v>1278.0999999999999</v>
      </c>
      <c r="Q177" s="164">
        <f t="shared" si="5"/>
        <v>1904.4418435462517</v>
      </c>
      <c r="R177" s="165">
        <v>11383</v>
      </c>
      <c r="S177" s="164">
        <v>231.79999999999995</v>
      </c>
      <c r="T177" s="164">
        <f t="shared" si="6"/>
        <v>345.39521112121201</v>
      </c>
      <c r="U177" s="156"/>
      <c r="V177" s="156"/>
      <c r="W177" s="156"/>
      <c r="X177" s="156"/>
      <c r="Y177" s="156"/>
      <c r="Z177" s="156"/>
      <c r="AA177" s="156"/>
      <c r="AB177" s="156"/>
      <c r="AC177" s="156"/>
      <c r="AD177" s="156"/>
      <c r="AE177" s="156"/>
    </row>
    <row r="178" spans="1:31" x14ac:dyDescent="0.25">
      <c r="A178" s="159">
        <v>4</v>
      </c>
      <c r="B178" s="159"/>
      <c r="C178" s="167">
        <f>+E178-E177</f>
        <v>179.8571388695641</v>
      </c>
      <c r="D178" s="159">
        <f>+G178-G177</f>
        <v>163.53199924456408</v>
      </c>
      <c r="E178" s="159">
        <v>710.37655136956414</v>
      </c>
      <c r="F178" s="156"/>
      <c r="G178" s="159">
        <v>639.16864286956411</v>
      </c>
      <c r="H178" s="156"/>
      <c r="I178" s="164">
        <v>126.6</v>
      </c>
      <c r="J178" s="156">
        <v>4</v>
      </c>
      <c r="K178" s="156"/>
      <c r="L178" s="165">
        <v>16838</v>
      </c>
      <c r="M178" s="164">
        <v>759.30000000000018</v>
      </c>
      <c r="N178" s="164">
        <f t="shared" si="7"/>
        <v>1120.6761020308061</v>
      </c>
      <c r="O178" s="165">
        <v>6227</v>
      </c>
      <c r="P178" s="164">
        <v>1192.2000000000003</v>
      </c>
      <c r="Q178" s="164">
        <f t="shared" si="5"/>
        <v>1759.6075975781998</v>
      </c>
      <c r="R178" s="165">
        <v>10409</v>
      </c>
      <c r="S178" s="164">
        <v>276.40000000000009</v>
      </c>
      <c r="T178" s="164">
        <f t="shared" si="6"/>
        <v>407.94794495102701</v>
      </c>
      <c r="U178" s="156"/>
      <c r="V178" s="156"/>
      <c r="W178" s="156"/>
      <c r="X178" s="156"/>
      <c r="Y178" s="156"/>
      <c r="Z178" s="156"/>
      <c r="AA178" s="156"/>
      <c r="AB178" s="156"/>
      <c r="AC178" s="156"/>
      <c r="AD178" s="156"/>
      <c r="AE178" s="156"/>
    </row>
    <row r="179" spans="1:31" x14ac:dyDescent="0.25">
      <c r="A179" s="159">
        <v>1</v>
      </c>
      <c r="B179" s="159">
        <v>2010</v>
      </c>
      <c r="C179" s="167">
        <f>+E179</f>
        <v>204.63648875000001</v>
      </c>
      <c r="D179" s="159">
        <f>+G179</f>
        <v>186.506571025</v>
      </c>
      <c r="E179" s="159">
        <v>204.63648875000001</v>
      </c>
      <c r="F179" s="156"/>
      <c r="G179" s="159">
        <v>186.506571025</v>
      </c>
      <c r="H179" s="156"/>
      <c r="I179" s="164">
        <v>128.69999999999999</v>
      </c>
      <c r="J179" s="156">
        <v>1</v>
      </c>
      <c r="K179" s="156">
        <v>2010</v>
      </c>
      <c r="L179" s="165">
        <v>40484.70904761905</v>
      </c>
      <c r="M179" s="164">
        <v>1693.2251146266974</v>
      </c>
      <c r="N179" s="164">
        <f t="shared" si="7"/>
        <v>2458.3095668021301</v>
      </c>
      <c r="O179" s="165">
        <v>6690</v>
      </c>
      <c r="P179" s="164">
        <v>1648.5</v>
      </c>
      <c r="Q179" s="164">
        <f t="shared" si="5"/>
        <v>2393.3753910606065</v>
      </c>
      <c r="R179" s="165">
        <v>7227</v>
      </c>
      <c r="S179" s="164">
        <v>243.10000000000002</v>
      </c>
      <c r="T179" s="164">
        <f t="shared" si="6"/>
        <v>352.94483322222231</v>
      </c>
      <c r="U179" s="156"/>
      <c r="V179" s="156"/>
      <c r="W179" s="156"/>
      <c r="X179" s="156"/>
      <c r="Y179" s="156"/>
      <c r="Z179" s="156"/>
      <c r="AA179" s="156"/>
      <c r="AB179" s="156"/>
      <c r="AC179" s="156"/>
      <c r="AD179" s="156"/>
      <c r="AE179" s="156"/>
    </row>
    <row r="180" spans="1:31" x14ac:dyDescent="0.25">
      <c r="A180" s="159">
        <v>2</v>
      </c>
      <c r="B180" s="159"/>
      <c r="C180" s="167">
        <f>+E180-E179</f>
        <v>188.95691625000001</v>
      </c>
      <c r="D180" s="159">
        <f>+G180-G179</f>
        <v>170.46253197500002</v>
      </c>
      <c r="E180" s="159">
        <v>393.59340500000002</v>
      </c>
      <c r="F180" s="156"/>
      <c r="G180" s="159">
        <v>356.96910300000002</v>
      </c>
      <c r="H180" s="156"/>
      <c r="I180" s="164">
        <v>128.9</v>
      </c>
      <c r="J180" s="156">
        <v>2</v>
      </c>
      <c r="K180" s="156"/>
      <c r="L180" s="165">
        <v>20633.79583333333</v>
      </c>
      <c r="M180" s="164">
        <v>864.97098885712671</v>
      </c>
      <c r="N180" s="164">
        <f t="shared" si="7"/>
        <v>1253.859979299116</v>
      </c>
      <c r="O180" s="165">
        <v>5716</v>
      </c>
      <c r="P180" s="164">
        <v>1381.6999999999998</v>
      </c>
      <c r="Q180" s="164">
        <f t="shared" si="5"/>
        <v>2002.9091792854922</v>
      </c>
      <c r="R180" s="165">
        <v>10696</v>
      </c>
      <c r="S180" s="164">
        <v>201.60000000000002</v>
      </c>
      <c r="T180" s="164">
        <f t="shared" si="6"/>
        <v>292.23890174709078</v>
      </c>
      <c r="U180" s="156"/>
      <c r="V180" s="156"/>
      <c r="W180" s="156"/>
      <c r="X180" s="156"/>
      <c r="Y180" s="156"/>
      <c r="Z180" s="156"/>
      <c r="AA180" s="156"/>
      <c r="AB180" s="156"/>
      <c r="AC180" s="156"/>
      <c r="AD180" s="156"/>
      <c r="AE180" s="156"/>
    </row>
    <row r="181" spans="1:31" x14ac:dyDescent="0.25">
      <c r="A181" s="159">
        <v>3</v>
      </c>
      <c r="B181" s="159"/>
      <c r="C181" s="167">
        <f>+E181-E180</f>
        <v>172.07737875000004</v>
      </c>
      <c r="D181" s="159">
        <f>+G181-G180</f>
        <v>154.15607493749997</v>
      </c>
      <c r="E181" s="159">
        <v>565.67078375000006</v>
      </c>
      <c r="F181" s="156"/>
      <c r="G181" s="159">
        <v>511.12517793749998</v>
      </c>
      <c r="H181" s="156"/>
      <c r="I181" s="164">
        <v>127.8</v>
      </c>
      <c r="J181" s="156">
        <v>3</v>
      </c>
      <c r="K181" s="156"/>
      <c r="L181" s="165">
        <v>19149.335833333338</v>
      </c>
      <c r="M181" s="164">
        <v>861.71516601647909</v>
      </c>
      <c r="N181" s="164">
        <f t="shared" si="7"/>
        <v>1259.8919451315069</v>
      </c>
      <c r="O181" s="165">
        <v>9089</v>
      </c>
      <c r="P181" s="164">
        <v>1286.1999999999998</v>
      </c>
      <c r="Q181" s="164">
        <f t="shared" si="5"/>
        <v>1880.5204825618152</v>
      </c>
      <c r="R181" s="165">
        <v>11532</v>
      </c>
      <c r="S181" s="164">
        <v>200.69999999999993</v>
      </c>
      <c r="T181" s="164">
        <f t="shared" si="6"/>
        <v>293.43839282394356</v>
      </c>
      <c r="U181" s="156"/>
      <c r="V181" s="156"/>
      <c r="W181" s="156"/>
      <c r="X181" s="156"/>
      <c r="Y181" s="156"/>
      <c r="Z181" s="156"/>
      <c r="AA181" s="156"/>
      <c r="AB181" s="156"/>
      <c r="AC181" s="156"/>
      <c r="AD181" s="156"/>
      <c r="AE181" s="156"/>
    </row>
    <row r="182" spans="1:31" x14ac:dyDescent="0.25">
      <c r="A182" s="159">
        <v>4</v>
      </c>
      <c r="B182" s="159"/>
      <c r="C182" s="167">
        <f>+E182-E181</f>
        <v>192.96143124999992</v>
      </c>
      <c r="D182" s="159">
        <f>+G182-G181</f>
        <v>174.39946771249993</v>
      </c>
      <c r="E182" s="159">
        <v>758.63221499999997</v>
      </c>
      <c r="F182" s="156"/>
      <c r="G182" s="159">
        <v>685.52464564999991</v>
      </c>
      <c r="H182" s="156"/>
      <c r="I182" s="164">
        <v>129</v>
      </c>
      <c r="J182" s="156">
        <v>4</v>
      </c>
      <c r="K182" s="156"/>
      <c r="L182" s="165">
        <v>22322.361666666664</v>
      </c>
      <c r="M182" s="164">
        <v>889.84894905372039</v>
      </c>
      <c r="N182" s="164">
        <f t="shared" ref="N182" si="8">M182/I182*$I$69</f>
        <v>1288.9230735296926</v>
      </c>
      <c r="O182" s="165">
        <v>5858</v>
      </c>
      <c r="P182" s="164">
        <v>1310.8000000000011</v>
      </c>
      <c r="Q182" s="164">
        <f t="shared" si="5"/>
        <v>1898.6597293612419</v>
      </c>
      <c r="R182" s="165">
        <v>9548</v>
      </c>
      <c r="S182" s="164">
        <v>205</v>
      </c>
      <c r="T182" s="164">
        <f t="shared" si="6"/>
        <v>296.93717158914728</v>
      </c>
      <c r="U182" s="156"/>
      <c r="V182" s="156"/>
      <c r="W182" s="156"/>
      <c r="X182" s="156"/>
      <c r="Y182" s="156"/>
      <c r="Z182" s="156"/>
      <c r="AA182" s="156"/>
      <c r="AB182" s="156"/>
      <c r="AC182" s="156"/>
      <c r="AD182" s="156"/>
      <c r="AE182" s="156"/>
    </row>
    <row r="183" spans="1:31" x14ac:dyDescent="0.25">
      <c r="A183" s="159">
        <v>1</v>
      </c>
      <c r="B183" s="159">
        <v>2011</v>
      </c>
      <c r="C183" s="167">
        <f>+E183</f>
        <v>204.00503875000001</v>
      </c>
      <c r="D183" s="159">
        <f>+G183</f>
        <v>184.8599929625</v>
      </c>
      <c r="E183" s="159">
        <v>204.00503875000001</v>
      </c>
      <c r="F183" s="156"/>
      <c r="G183" s="159">
        <v>184.8599929625</v>
      </c>
      <c r="H183" s="156"/>
      <c r="I183" s="164">
        <v>130.19999999999999</v>
      </c>
      <c r="J183" s="156">
        <v>1</v>
      </c>
      <c r="K183" s="156">
        <v>2011</v>
      </c>
      <c r="L183" s="165">
        <v>26141.662648809524</v>
      </c>
      <c r="M183" s="164">
        <v>1061.4209517567813</v>
      </c>
      <c r="N183" s="164">
        <f t="shared" ref="N183:N186" si="9">M183/I183*$I$69</f>
        <v>1523.2706999039153</v>
      </c>
      <c r="O183" s="165">
        <v>5959</v>
      </c>
      <c r="P183" s="164">
        <v>1698.7</v>
      </c>
      <c r="Q183" s="164">
        <f t="shared" si="5"/>
        <v>2437.8451675030724</v>
      </c>
      <c r="R183" s="165">
        <v>6732</v>
      </c>
      <c r="S183" s="164">
        <v>156.5</v>
      </c>
      <c r="T183" s="164">
        <f t="shared" si="6"/>
        <v>224.59690864439327</v>
      </c>
      <c r="U183" s="156"/>
      <c r="V183" s="156"/>
      <c r="W183" s="156"/>
      <c r="X183" s="156"/>
      <c r="Y183" s="156"/>
      <c r="Z183" s="156"/>
      <c r="AA183" s="156"/>
      <c r="AB183" s="156"/>
      <c r="AC183" s="156"/>
      <c r="AD183" s="156"/>
      <c r="AE183" s="156"/>
    </row>
    <row r="184" spans="1:31" x14ac:dyDescent="0.25">
      <c r="A184" s="159">
        <v>2</v>
      </c>
      <c r="B184" s="159"/>
      <c r="C184" s="167">
        <f>+E184-E183</f>
        <v>188.74104374999999</v>
      </c>
      <c r="D184" s="159">
        <f>+G184-G183</f>
        <v>171.33320521249996</v>
      </c>
      <c r="E184" s="156">
        <v>392.7460825</v>
      </c>
      <c r="F184" s="156"/>
      <c r="G184" s="156">
        <v>356.19319817499996</v>
      </c>
      <c r="H184" s="156"/>
      <c r="I184" s="164">
        <v>131</v>
      </c>
      <c r="J184" s="156">
        <v>2</v>
      </c>
      <c r="K184" s="156"/>
      <c r="L184" s="165">
        <v>18851.951101190472</v>
      </c>
      <c r="M184" s="164">
        <v>776.58308820124375</v>
      </c>
      <c r="N184" s="164">
        <f t="shared" si="9"/>
        <v>1107.686976621229</v>
      </c>
      <c r="O184" s="165">
        <v>7524</v>
      </c>
      <c r="P184" s="164">
        <v>1533.4000000000003</v>
      </c>
      <c r="Q184" s="164">
        <f t="shared" si="5"/>
        <v>2187.1802718305348</v>
      </c>
      <c r="R184" s="165">
        <v>10017</v>
      </c>
      <c r="S184" s="164">
        <v>197.79999999999995</v>
      </c>
      <c r="T184" s="164">
        <f t="shared" si="6"/>
        <v>282.13398837099231</v>
      </c>
      <c r="U184" s="156"/>
      <c r="V184" s="156"/>
      <c r="W184" s="156"/>
      <c r="X184" s="156"/>
      <c r="Y184" s="156"/>
      <c r="Z184" s="156"/>
      <c r="AA184" s="156"/>
      <c r="AB184" s="156"/>
      <c r="AC184" s="156"/>
      <c r="AD184" s="156"/>
      <c r="AE184" s="156"/>
    </row>
    <row r="185" spans="1:31" x14ac:dyDescent="0.25">
      <c r="A185" s="159">
        <v>3</v>
      </c>
      <c r="B185" s="156"/>
      <c r="C185" s="167">
        <f>+E185-E184</f>
        <v>169.93391749999995</v>
      </c>
      <c r="D185" s="159">
        <f>+G185-G184</f>
        <v>151.69380182500004</v>
      </c>
      <c r="E185" s="156">
        <v>562.67999999999995</v>
      </c>
      <c r="F185" s="156"/>
      <c r="G185" s="156">
        <v>507.887</v>
      </c>
      <c r="H185" s="156"/>
      <c r="I185" s="164">
        <v>129.4</v>
      </c>
      <c r="J185" s="156">
        <v>3</v>
      </c>
      <c r="K185" s="156"/>
      <c r="L185" s="165">
        <v>24107.386250000007</v>
      </c>
      <c r="M185" s="164">
        <v>914.64669811090494</v>
      </c>
      <c r="N185" s="164">
        <f t="shared" si="9"/>
        <v>1320.7466301018665</v>
      </c>
      <c r="O185" s="165">
        <v>10171</v>
      </c>
      <c r="P185" s="164">
        <v>1285.3999999999996</v>
      </c>
      <c r="Q185" s="164">
        <f t="shared" si="5"/>
        <v>1856.1131001066456</v>
      </c>
      <c r="R185" s="165">
        <v>10339</v>
      </c>
      <c r="S185" s="164">
        <v>167.29999999999995</v>
      </c>
      <c r="T185" s="164">
        <f t="shared" si="6"/>
        <v>241.58061432071088</v>
      </c>
      <c r="U185" s="156"/>
      <c r="V185" s="156"/>
      <c r="W185" s="156"/>
      <c r="X185" s="156"/>
      <c r="Y185" s="156"/>
      <c r="Z185" s="156"/>
      <c r="AA185" s="156"/>
      <c r="AB185" s="156"/>
      <c r="AC185" s="156"/>
      <c r="AD185" s="156"/>
      <c r="AE185" s="156"/>
    </row>
    <row r="186" spans="1:31" x14ac:dyDescent="0.25">
      <c r="A186" s="156">
        <v>4</v>
      </c>
      <c r="B186" s="156"/>
      <c r="C186" s="167">
        <f>+E186-E185</f>
        <v>202.17554500000006</v>
      </c>
      <c r="D186" s="159">
        <f>+G186-G185</f>
        <v>178.91908595000001</v>
      </c>
      <c r="E186" s="156">
        <v>764.85554500000001</v>
      </c>
      <c r="F186" s="156"/>
      <c r="G186" s="156">
        <v>686.80608595000001</v>
      </c>
      <c r="H186" s="156"/>
      <c r="I186" s="156">
        <v>130.5</v>
      </c>
      <c r="J186" s="156">
        <v>4</v>
      </c>
      <c r="K186" s="156"/>
      <c r="L186" s="165">
        <v>18022.572976190484</v>
      </c>
      <c r="M186" s="164">
        <v>777.38419736292576</v>
      </c>
      <c r="N186" s="164">
        <f t="shared" si="9"/>
        <v>1113.0780360561823</v>
      </c>
      <c r="O186" s="165">
        <v>8775.7956028314002</v>
      </c>
      <c r="P186" s="164">
        <v>1286.8626975018997</v>
      </c>
      <c r="Q186" s="164">
        <f t="shared" si="5"/>
        <v>1842.5620290048967</v>
      </c>
      <c r="R186" s="165">
        <v>9645.4866500746648</v>
      </c>
      <c r="S186" s="164">
        <v>181.103452008619</v>
      </c>
      <c r="T186" s="164">
        <f t="shared" si="6"/>
        <v>259.30842866186924</v>
      </c>
      <c r="U186" s="156"/>
      <c r="V186" s="156"/>
      <c r="W186" s="156"/>
      <c r="X186" s="156"/>
      <c r="Y186" s="156"/>
      <c r="Z186" s="156"/>
      <c r="AA186" s="156"/>
      <c r="AB186" s="156"/>
      <c r="AC186" s="156"/>
      <c r="AD186" s="156"/>
      <c r="AE186" s="156"/>
    </row>
    <row r="187" spans="1:31" x14ac:dyDescent="0.25">
      <c r="A187" s="156">
        <v>1</v>
      </c>
      <c r="B187" s="156">
        <v>2012</v>
      </c>
      <c r="C187" s="167">
        <f>+E187</f>
        <v>195.82938625</v>
      </c>
      <c r="D187" s="159">
        <f>+G187</f>
        <v>177.0717714875</v>
      </c>
      <c r="E187" s="156">
        <v>195.82938625</v>
      </c>
      <c r="F187" s="156"/>
      <c r="G187" s="156">
        <v>177.0717714875</v>
      </c>
      <c r="H187" s="156"/>
      <c r="I187" s="156">
        <v>131.69999999999999</v>
      </c>
      <c r="J187" s="156">
        <v>1</v>
      </c>
      <c r="K187" s="156">
        <v>2012</v>
      </c>
      <c r="L187" s="165">
        <v>18517.39324404762</v>
      </c>
      <c r="M187" s="164">
        <v>869.15461769403078</v>
      </c>
      <c r="N187" s="164">
        <f t="shared" ref="N187:N193" si="10">M187/I187*$I$69</f>
        <v>1233.1380071808014</v>
      </c>
      <c r="O187" s="165">
        <v>6822.44890070785</v>
      </c>
      <c r="P187" s="164">
        <v>1150.314057295883</v>
      </c>
      <c r="Q187" s="164">
        <f t="shared" si="5"/>
        <v>1632.0410147613825</v>
      </c>
      <c r="R187" s="165">
        <v>7564.3716625186662</v>
      </c>
      <c r="S187" s="164">
        <v>175.73767321176348</v>
      </c>
      <c r="T187" s="164">
        <f t="shared" si="6"/>
        <v>249.33285714560066</v>
      </c>
      <c r="U187" s="156"/>
      <c r="V187" s="156"/>
      <c r="W187" s="156"/>
      <c r="X187" s="156"/>
      <c r="Y187" s="156"/>
      <c r="Z187" s="156"/>
      <c r="AA187" s="156"/>
      <c r="AB187" s="156"/>
      <c r="AC187" s="156"/>
      <c r="AD187" s="156"/>
      <c r="AE187" s="156"/>
    </row>
    <row r="188" spans="1:31" x14ac:dyDescent="0.25">
      <c r="A188" s="156">
        <v>2</v>
      </c>
      <c r="B188" s="156"/>
      <c r="C188" s="167">
        <f>+E188-E187</f>
        <v>182.75061374999999</v>
      </c>
      <c r="D188" s="159">
        <f>+G188-G187</f>
        <v>165.12822851249999</v>
      </c>
      <c r="E188" s="173">
        <v>378.58</v>
      </c>
      <c r="F188" s="156"/>
      <c r="G188" s="173">
        <v>342.2</v>
      </c>
      <c r="H188" s="156"/>
      <c r="I188" s="156">
        <v>131.69999999999999</v>
      </c>
      <c r="J188" s="156">
        <v>2</v>
      </c>
      <c r="K188" s="156"/>
      <c r="L188" s="165">
        <v>14087.60675595238</v>
      </c>
      <c r="M188" s="164">
        <v>635.43152402028181</v>
      </c>
      <c r="N188" s="164">
        <f t="shared" si="10"/>
        <v>901.53667400300503</v>
      </c>
      <c r="O188" s="165">
        <v>4838.55109929215</v>
      </c>
      <c r="P188" s="164">
        <v>1037.7970664905204</v>
      </c>
      <c r="Q188" s="164">
        <f t="shared" si="5"/>
        <v>1472.4043114739711</v>
      </c>
      <c r="R188" s="165">
        <v>10002.628337481334</v>
      </c>
      <c r="S188" s="164">
        <v>184.20744441885319</v>
      </c>
      <c r="T188" s="164">
        <f t="shared" si="6"/>
        <v>261.34958762710943</v>
      </c>
      <c r="U188" s="156"/>
      <c r="V188" s="156"/>
      <c r="W188" s="156"/>
      <c r="X188" s="156"/>
      <c r="Y188" s="156"/>
      <c r="Z188" s="156"/>
      <c r="AA188" s="156"/>
      <c r="AB188" s="156"/>
      <c r="AC188" s="156"/>
      <c r="AD188" s="156"/>
      <c r="AE188" s="156"/>
    </row>
    <row r="189" spans="1:31" x14ac:dyDescent="0.25">
      <c r="A189" s="159">
        <v>3</v>
      </c>
      <c r="B189" s="156"/>
      <c r="C189" s="167">
        <f>+E189-E188</f>
        <v>165.72960875000007</v>
      </c>
      <c r="D189" s="159">
        <f>+G189-G188</f>
        <v>148.24155396250001</v>
      </c>
      <c r="E189" s="156">
        <v>544.30960875000005</v>
      </c>
      <c r="F189" s="156"/>
      <c r="G189" s="156">
        <v>490.4415539625</v>
      </c>
      <c r="H189" s="156"/>
      <c r="I189" s="156">
        <v>130</v>
      </c>
      <c r="J189" s="156">
        <v>3</v>
      </c>
      <c r="K189" s="156"/>
      <c r="L189" s="174">
        <v>20999.460714285713</v>
      </c>
      <c r="M189" s="175">
        <v>864.77367174435972</v>
      </c>
      <c r="N189" s="164">
        <f t="shared" si="10"/>
        <v>1242.9667846782968</v>
      </c>
      <c r="O189" s="174">
        <v>6828.0536397386386</v>
      </c>
      <c r="P189" s="175">
        <v>1132.0609213635664</v>
      </c>
      <c r="Q189" s="164">
        <f t="shared" si="5"/>
        <v>1627.1472750192456</v>
      </c>
      <c r="R189" s="174">
        <v>10877.781177428844</v>
      </c>
      <c r="S189" s="175">
        <v>190.02859425457928</v>
      </c>
      <c r="T189" s="164">
        <f t="shared" si="6"/>
        <v>273.13416043426349</v>
      </c>
      <c r="U189" s="156"/>
      <c r="V189" s="156"/>
      <c r="W189" s="156"/>
      <c r="X189" s="156"/>
      <c r="Y189" s="156"/>
      <c r="Z189" s="156"/>
      <c r="AA189" s="156"/>
      <c r="AB189" s="156"/>
      <c r="AC189" s="156"/>
      <c r="AD189" s="156"/>
      <c r="AE189" s="156"/>
    </row>
    <row r="190" spans="1:31" x14ac:dyDescent="0.25">
      <c r="A190" s="159">
        <v>4</v>
      </c>
      <c r="B190" s="156"/>
      <c r="C190" s="167">
        <f>+E190-E189</f>
        <v>166.80539124999996</v>
      </c>
      <c r="D190" s="159">
        <f>+G190-G189</f>
        <v>151.72844603749996</v>
      </c>
      <c r="E190" s="156">
        <v>711.11500000000001</v>
      </c>
      <c r="F190" s="156"/>
      <c r="G190" s="156">
        <v>642.16999999999996</v>
      </c>
      <c r="H190" s="156"/>
      <c r="I190" s="156">
        <v>132</v>
      </c>
      <c r="J190" s="156">
        <v>4</v>
      </c>
      <c r="K190" s="156"/>
      <c r="L190" s="174">
        <v>17946.539285714287</v>
      </c>
      <c r="M190" s="175">
        <v>826.79347775776318</v>
      </c>
      <c r="N190" s="164">
        <f t="shared" si="10"/>
        <v>1170.3709336220647</v>
      </c>
      <c r="O190" s="174">
        <v>5621.9463602613596</v>
      </c>
      <c r="P190" s="175">
        <v>1071.0118577206574</v>
      </c>
      <c r="Q190" s="164">
        <f t="shared" ref="Q190:Q239" si="11">P190/I190*$I$69</f>
        <v>1516.0752734047051</v>
      </c>
      <c r="R190" s="174">
        <v>8525.2188225711561</v>
      </c>
      <c r="S190" s="175">
        <v>190.41732478586363</v>
      </c>
      <c r="T190" s="164">
        <f t="shared" ref="T190:T239" si="12">S190/I190*$I$69</f>
        <v>269.54603317848273</v>
      </c>
      <c r="U190" s="156"/>
      <c r="V190" s="156"/>
      <c r="W190" s="156"/>
      <c r="X190" s="156"/>
      <c r="Y190" s="156"/>
      <c r="Z190" s="156"/>
      <c r="AA190" s="156"/>
      <c r="AB190" s="156"/>
      <c r="AC190" s="156"/>
      <c r="AD190" s="156"/>
      <c r="AE190" s="156"/>
    </row>
    <row r="191" spans="1:31" x14ac:dyDescent="0.25">
      <c r="A191" s="156">
        <v>1</v>
      </c>
      <c r="B191" s="156">
        <v>2013</v>
      </c>
      <c r="C191" s="167">
        <f>+E191</f>
        <v>199.180995</v>
      </c>
      <c r="D191" s="159">
        <f>+G191</f>
        <v>183.65288545000001</v>
      </c>
      <c r="E191" s="156">
        <v>199.180995</v>
      </c>
      <c r="F191" s="156"/>
      <c r="G191" s="156">
        <v>183.65288545000001</v>
      </c>
      <c r="H191" s="156"/>
      <c r="I191" s="156">
        <v>133</v>
      </c>
      <c r="J191" s="156">
        <v>1</v>
      </c>
      <c r="K191" s="156">
        <f>B191</f>
        <v>2013</v>
      </c>
      <c r="L191" s="174">
        <v>21974.571815476189</v>
      </c>
      <c r="M191" s="175">
        <v>1023.0812127444322</v>
      </c>
      <c r="N191" s="164">
        <f t="shared" si="10"/>
        <v>1437.3379266005538</v>
      </c>
      <c r="O191" s="174">
        <v>5520.4451678348678</v>
      </c>
      <c r="P191" s="175">
        <v>1148.1840804128565</v>
      </c>
      <c r="Q191" s="164">
        <f t="shared" si="11"/>
        <v>1613.0963064694986</v>
      </c>
      <c r="R191" s="174">
        <v>5958.3970505452735</v>
      </c>
      <c r="S191" s="175">
        <v>167.84779905693762</v>
      </c>
      <c r="T191" s="164">
        <f t="shared" si="12"/>
        <v>235.81119902866487</v>
      </c>
      <c r="U191" s="156"/>
      <c r="V191" s="156"/>
      <c r="W191" s="156"/>
      <c r="X191" s="156"/>
      <c r="Y191" s="156"/>
      <c r="Z191" s="156"/>
      <c r="AA191" s="156"/>
      <c r="AB191" s="156"/>
      <c r="AC191" s="156"/>
      <c r="AD191" s="156"/>
      <c r="AE191" s="156"/>
    </row>
    <row r="192" spans="1:31" x14ac:dyDescent="0.25">
      <c r="A192" s="156">
        <v>2</v>
      </c>
      <c r="B192" s="156"/>
      <c r="C192" s="167">
        <f>+E192-E191</f>
        <v>205.01500500000003</v>
      </c>
      <c r="D192" s="159">
        <f>+G192-G191</f>
        <v>185.63411454999996</v>
      </c>
      <c r="E192" s="156">
        <v>404.19600000000003</v>
      </c>
      <c r="F192" s="156"/>
      <c r="G192" s="156">
        <v>369.28699999999998</v>
      </c>
      <c r="H192" s="156"/>
      <c r="I192" s="156">
        <v>134.30000000000001</v>
      </c>
      <c r="J192" s="156">
        <v>2</v>
      </c>
      <c r="K192" s="156"/>
      <c r="L192" s="174">
        <v>23960.428184523811</v>
      </c>
      <c r="M192" s="175">
        <v>1011.581560458749</v>
      </c>
      <c r="N192" s="164">
        <f t="shared" si="10"/>
        <v>1407.4251527839763</v>
      </c>
      <c r="O192" s="174">
        <v>6388.5548321651322</v>
      </c>
      <c r="P192" s="175">
        <v>1133.7065185307133</v>
      </c>
      <c r="Q192" s="164">
        <f t="shared" si="11"/>
        <v>1577.3390227987907</v>
      </c>
      <c r="R192" s="174">
        <v>10154.602949454726</v>
      </c>
      <c r="S192" s="175">
        <v>176.1673175310234</v>
      </c>
      <c r="T192" s="164">
        <f t="shared" si="12"/>
        <v>245.10363126746083</v>
      </c>
      <c r="U192" s="156"/>
      <c r="V192" s="156"/>
      <c r="W192" s="156"/>
      <c r="X192" s="156"/>
      <c r="Y192" s="156"/>
      <c r="Z192" s="156"/>
      <c r="AA192" s="156"/>
      <c r="AB192" s="156"/>
      <c r="AC192" s="156"/>
      <c r="AD192" s="156"/>
      <c r="AE192" s="156"/>
    </row>
    <row r="193" spans="1:31" x14ac:dyDescent="0.25">
      <c r="A193" s="156">
        <v>3</v>
      </c>
      <c r="B193" s="156"/>
      <c r="C193" s="167">
        <f>+E193-E192</f>
        <v>172.04383408071794</v>
      </c>
      <c r="D193" s="159">
        <f>+G193-G192</f>
        <v>153.21019910313902</v>
      </c>
      <c r="E193" s="156">
        <v>576.23983408071797</v>
      </c>
      <c r="F193" s="156"/>
      <c r="G193" s="156">
        <v>522.497199103139</v>
      </c>
      <c r="H193" s="156"/>
      <c r="I193" s="156">
        <v>134.19999999999999</v>
      </c>
      <c r="J193" s="156">
        <v>3</v>
      </c>
      <c r="K193" s="156"/>
      <c r="L193" s="174">
        <v>18388.581422924897</v>
      </c>
      <c r="M193" s="175">
        <v>735.52528494140915</v>
      </c>
      <c r="N193" s="164">
        <f t="shared" si="10"/>
        <v>1024.1074082665725</v>
      </c>
      <c r="O193" s="174">
        <v>11492.955434782609</v>
      </c>
      <c r="P193" s="175">
        <v>1323.3889549928699</v>
      </c>
      <c r="Q193" s="164">
        <f t="shared" si="11"/>
        <v>1842.6184124102765</v>
      </c>
      <c r="R193" s="174">
        <v>11786.02326086957</v>
      </c>
      <c r="S193" s="175">
        <v>172.41802435151402</v>
      </c>
      <c r="T193" s="164">
        <f t="shared" si="12"/>
        <v>240.06594969897941</v>
      </c>
      <c r="U193" s="156"/>
      <c r="V193" s="156"/>
      <c r="W193" s="156"/>
      <c r="X193" s="156"/>
      <c r="Y193" s="156"/>
      <c r="Z193" s="156"/>
      <c r="AA193" s="156"/>
      <c r="AB193" s="156"/>
      <c r="AC193" s="156"/>
      <c r="AD193" s="156"/>
      <c r="AE193" s="156"/>
    </row>
    <row r="194" spans="1:31" x14ac:dyDescent="0.25">
      <c r="A194" s="159">
        <v>4</v>
      </c>
      <c r="B194" s="156"/>
      <c r="C194" s="167">
        <f>+E194-E193</f>
        <v>204.099832585949</v>
      </c>
      <c r="D194" s="159">
        <f>+G194-G193</f>
        <v>188.07946756352794</v>
      </c>
      <c r="E194" s="156">
        <v>780.33966666666697</v>
      </c>
      <c r="F194" s="156"/>
      <c r="G194" s="156">
        <v>710.57666666666694</v>
      </c>
      <c r="H194" s="156"/>
      <c r="I194" s="156">
        <v>135.30000000000001</v>
      </c>
      <c r="J194" s="156">
        <v>4</v>
      </c>
      <c r="K194" s="156"/>
      <c r="L194" s="174">
        <v>18420.418577075106</v>
      </c>
      <c r="M194" s="174">
        <v>895.71090498583999</v>
      </c>
      <c r="N194" s="164">
        <f>M194/I194*$I$69</f>
        <v>1237.0022276335712</v>
      </c>
      <c r="O194" s="174">
        <v>7745.0445652173912</v>
      </c>
      <c r="P194" s="174">
        <v>1212.6630411771803</v>
      </c>
      <c r="Q194" s="164">
        <f t="shared" si="11"/>
        <v>1674.7221396492735</v>
      </c>
      <c r="R194" s="174">
        <v>11621.97673913043</v>
      </c>
      <c r="S194" s="174">
        <v>180.100371437175</v>
      </c>
      <c r="T194" s="164">
        <f t="shared" si="12"/>
        <v>248.72373376869962</v>
      </c>
      <c r="U194" s="156"/>
      <c r="V194" s="156"/>
      <c r="W194" s="156"/>
      <c r="X194" s="156"/>
      <c r="Y194" s="156"/>
      <c r="Z194" s="156"/>
      <c r="AA194" s="156"/>
      <c r="AB194" s="156"/>
      <c r="AC194" s="156"/>
      <c r="AD194" s="156"/>
      <c r="AE194" s="156"/>
    </row>
    <row r="195" spans="1:31" x14ac:dyDescent="0.25">
      <c r="A195" s="159">
        <v>1</v>
      </c>
      <c r="B195" s="156">
        <v>2014</v>
      </c>
      <c r="C195" s="167">
        <f>E195</f>
        <v>196.17699999999999</v>
      </c>
      <c r="D195" s="159">
        <f>G195</f>
        <v>179.55199999999999</v>
      </c>
      <c r="E195" s="156">
        <v>196.17699999999999</v>
      </c>
      <c r="F195" s="156"/>
      <c r="G195" s="156">
        <v>179.55199999999999</v>
      </c>
      <c r="H195" s="156"/>
      <c r="I195" s="156">
        <v>135.80000000000001</v>
      </c>
      <c r="J195" s="156">
        <f>A195</f>
        <v>1</v>
      </c>
      <c r="K195" s="156">
        <f>B195</f>
        <v>2014</v>
      </c>
      <c r="L195" s="174">
        <v>19713</v>
      </c>
      <c r="M195" s="174">
        <v>886.67647724495987</v>
      </c>
      <c r="N195" s="164">
        <f>M195/I195*$I$69</f>
        <v>1220.0168640949532</v>
      </c>
      <c r="O195" s="174">
        <v>7032</v>
      </c>
      <c r="P195" s="174">
        <v>1484.9150299297401</v>
      </c>
      <c r="Q195" s="164">
        <f t="shared" ref="Q195" si="13">P195/I195*$I$69</f>
        <v>2043.1593988952218</v>
      </c>
      <c r="R195" s="174">
        <v>8004</v>
      </c>
      <c r="S195" s="174">
        <v>165.16263465729782</v>
      </c>
      <c r="T195" s="164">
        <f t="shared" ref="T195" si="14">S195/I195*$I$69</f>
        <v>227.25447755911162</v>
      </c>
      <c r="U195" s="156"/>
      <c r="V195" s="156"/>
      <c r="W195" s="156"/>
      <c r="X195" s="156"/>
      <c r="Y195" s="156"/>
      <c r="Z195" s="156"/>
      <c r="AA195" s="156"/>
      <c r="AB195" s="156"/>
      <c r="AC195" s="156"/>
      <c r="AD195" s="156"/>
      <c r="AE195" s="156"/>
    </row>
    <row r="196" spans="1:31" x14ac:dyDescent="0.25">
      <c r="A196" s="156">
        <v>2</v>
      </c>
      <c r="B196" s="156"/>
      <c r="C196" s="167">
        <f>+E196-E195</f>
        <v>197.965</v>
      </c>
      <c r="D196" s="159">
        <f>+G196-G195</f>
        <v>179.76700000000002</v>
      </c>
      <c r="E196" s="156">
        <v>394.142</v>
      </c>
      <c r="F196" s="156"/>
      <c r="G196" s="156">
        <v>359.31900000000002</v>
      </c>
      <c r="H196" s="156"/>
      <c r="I196" s="156">
        <v>136.69999999999999</v>
      </c>
      <c r="J196" s="156">
        <v>2</v>
      </c>
      <c r="K196" s="156"/>
      <c r="L196" s="174">
        <v>16691</v>
      </c>
      <c r="M196" s="174">
        <v>732.96206934555016</v>
      </c>
      <c r="N196" s="164">
        <f t="shared" ref="N196:N239" si="15">M196/I196*$I$69</f>
        <v>1001.8746838979392</v>
      </c>
      <c r="O196" s="174">
        <v>6228</v>
      </c>
      <c r="P196" s="174">
        <v>1158.7677611998799</v>
      </c>
      <c r="Q196" s="164">
        <f t="shared" si="11"/>
        <v>1583.9019957742655</v>
      </c>
      <c r="R196" s="174">
        <v>11579</v>
      </c>
      <c r="S196" s="174">
        <v>167.32102845142202</v>
      </c>
      <c r="T196" s="164">
        <f t="shared" si="12"/>
        <v>228.70856419476769</v>
      </c>
      <c r="U196" s="156"/>
      <c r="V196" s="156"/>
      <c r="W196" s="156"/>
      <c r="X196" s="156"/>
      <c r="Y196" s="156"/>
      <c r="Z196" s="156"/>
      <c r="AA196" s="156"/>
      <c r="AB196" s="156"/>
      <c r="AC196" s="156"/>
      <c r="AD196" s="156"/>
      <c r="AE196" s="156"/>
    </row>
    <row r="197" spans="1:31" x14ac:dyDescent="0.25">
      <c r="A197" s="156">
        <v>3</v>
      </c>
      <c r="B197" s="156"/>
      <c r="C197" s="167">
        <f>+E197-E196</f>
        <v>192.10452006852</v>
      </c>
      <c r="D197" s="159">
        <f>+G197-G196</f>
        <v>173.47352006851992</v>
      </c>
      <c r="E197" s="156">
        <v>586.24652006852</v>
      </c>
      <c r="F197" s="156"/>
      <c r="G197" s="156">
        <v>532.79252006851993</v>
      </c>
      <c r="H197" s="156"/>
      <c r="I197" s="156">
        <v>137</v>
      </c>
      <c r="J197" s="156">
        <v>3</v>
      </c>
      <c r="K197" s="156"/>
      <c r="L197" s="174">
        <v>21817</v>
      </c>
      <c r="M197" s="174">
        <v>1080.59231996894</v>
      </c>
      <c r="N197" s="164">
        <f t="shared" si="15"/>
        <v>1473.8107708775722</v>
      </c>
      <c r="O197" s="174">
        <v>20407</v>
      </c>
      <c r="P197" s="174">
        <v>1259.8740491119995</v>
      </c>
      <c r="Q197" s="164">
        <f t="shared" si="11"/>
        <v>1718.3316124102896</v>
      </c>
      <c r="R197" s="174">
        <v>11684</v>
      </c>
      <c r="S197" s="174">
        <v>177.03184293206914</v>
      </c>
      <c r="T197" s="164">
        <f t="shared" si="12"/>
        <v>241.45224066472136</v>
      </c>
      <c r="U197" s="156"/>
      <c r="V197" s="156"/>
      <c r="W197" s="156"/>
      <c r="X197" s="156"/>
      <c r="Y197" s="156"/>
      <c r="Z197" s="156"/>
      <c r="AA197" s="156"/>
      <c r="AB197" s="156"/>
      <c r="AC197" s="156"/>
      <c r="AD197" s="156"/>
      <c r="AE197" s="156"/>
    </row>
    <row r="198" spans="1:31" x14ac:dyDescent="0.25">
      <c r="A198" s="156">
        <v>4</v>
      </c>
      <c r="B198" s="156"/>
      <c r="C198" s="167">
        <f>+E198-E197</f>
        <v>196.808833167682</v>
      </c>
      <c r="D198" s="159">
        <f>+G198-G197</f>
        <v>184.73883316768206</v>
      </c>
      <c r="E198" s="156">
        <v>783.055353236202</v>
      </c>
      <c r="F198" s="156"/>
      <c r="G198" s="156">
        <v>717.53135323620199</v>
      </c>
      <c r="H198" s="156"/>
      <c r="I198" s="156">
        <v>137.9</v>
      </c>
      <c r="J198" s="156">
        <v>4</v>
      </c>
      <c r="K198" s="156"/>
      <c r="L198" s="174">
        <v>20183</v>
      </c>
      <c r="M198" s="174">
        <v>869.67426416194962</v>
      </c>
      <c r="N198" s="164">
        <f t="shared" si="15"/>
        <v>1178.4000951672922</v>
      </c>
      <c r="O198" s="174">
        <v>12863</v>
      </c>
      <c r="P198" s="174">
        <v>1106.850761909501</v>
      </c>
      <c r="Q198" s="164">
        <f t="shared" si="11"/>
        <v>1499.7719225680783</v>
      </c>
      <c r="R198" s="174">
        <v>9690</v>
      </c>
      <c r="S198" s="174">
        <v>175.42101671448501</v>
      </c>
      <c r="T198" s="164">
        <f t="shared" si="12"/>
        <v>237.69375651226341</v>
      </c>
      <c r="U198" s="156"/>
      <c r="V198" s="156"/>
      <c r="W198" s="156"/>
      <c r="X198" s="156"/>
      <c r="Y198" s="156"/>
      <c r="Z198" s="156"/>
      <c r="AA198" s="156"/>
      <c r="AB198" s="156"/>
      <c r="AC198" s="156"/>
      <c r="AD198" s="156"/>
      <c r="AE198" s="156"/>
    </row>
    <row r="199" spans="1:31" x14ac:dyDescent="0.25">
      <c r="A199" s="156">
        <v>1</v>
      </c>
      <c r="B199" s="156">
        <v>2015</v>
      </c>
      <c r="C199" s="167">
        <f>E199</f>
        <v>219.418599054541</v>
      </c>
      <c r="D199" s="159">
        <f>G199</f>
        <v>202.59159905454101</v>
      </c>
      <c r="E199" s="156">
        <v>219.418599054541</v>
      </c>
      <c r="F199" s="156"/>
      <c r="G199" s="156">
        <v>202.59159905454101</v>
      </c>
      <c r="H199" s="156"/>
      <c r="I199" s="156">
        <v>138.4</v>
      </c>
      <c r="J199" s="156">
        <v>1</v>
      </c>
      <c r="K199" s="156">
        <v>2015</v>
      </c>
      <c r="L199" s="174">
        <v>19630</v>
      </c>
      <c r="M199" s="174">
        <v>957.60520650282388</v>
      </c>
      <c r="N199" s="164">
        <f t="shared" si="15"/>
        <v>1292.8579943543173</v>
      </c>
      <c r="O199" s="174">
        <v>9848</v>
      </c>
      <c r="P199" s="174">
        <v>1279.8360091262539</v>
      </c>
      <c r="Q199" s="164">
        <f t="shared" si="11"/>
        <v>1727.9001874939397</v>
      </c>
      <c r="R199" s="174">
        <v>7135</v>
      </c>
      <c r="S199" s="174">
        <v>155.36971992416409</v>
      </c>
      <c r="T199" s="164">
        <f t="shared" si="12"/>
        <v>209.76388089840074</v>
      </c>
      <c r="U199" s="156"/>
      <c r="V199" s="156"/>
      <c r="W199" s="156"/>
      <c r="X199" s="156"/>
      <c r="Y199" s="156"/>
      <c r="Z199" s="156"/>
      <c r="AA199" s="156"/>
      <c r="AB199" s="156"/>
      <c r="AC199" s="156"/>
      <c r="AD199" s="156"/>
      <c r="AE199" s="156"/>
    </row>
    <row r="200" spans="1:31" x14ac:dyDescent="0.25">
      <c r="A200" s="156">
        <v>2</v>
      </c>
      <c r="B200" s="156"/>
      <c r="C200" s="167">
        <f>+E200-E199</f>
        <v>188.69592411436798</v>
      </c>
      <c r="D200" s="159">
        <f>+G200-G199</f>
        <v>171.45081948058601</v>
      </c>
      <c r="E200" s="156">
        <v>408.11452316890899</v>
      </c>
      <c r="F200" s="156"/>
      <c r="G200" s="156">
        <v>374.04241853512701</v>
      </c>
      <c r="H200" s="156"/>
      <c r="I200" s="156">
        <v>139.6</v>
      </c>
      <c r="J200" s="156">
        <v>2</v>
      </c>
      <c r="K200" s="156"/>
      <c r="L200" s="174">
        <v>15703.949675889351</v>
      </c>
      <c r="M200" s="174">
        <v>739.71582874915612</v>
      </c>
      <c r="N200" s="164">
        <f t="shared" si="15"/>
        <v>990.10193758949072</v>
      </c>
      <c r="O200" s="174">
        <v>5422.7168724637304</v>
      </c>
      <c r="P200" s="174">
        <v>1206.7408437095464</v>
      </c>
      <c r="Q200" s="164">
        <f t="shared" si="11"/>
        <v>1615.2100591730941</v>
      </c>
      <c r="R200" s="174">
        <v>9988.3050621118018</v>
      </c>
      <c r="S200" s="174">
        <v>168.85276765034422</v>
      </c>
      <c r="T200" s="164">
        <f t="shared" si="12"/>
        <v>226.00767202812762</v>
      </c>
      <c r="U200" s="156"/>
      <c r="V200" s="156"/>
      <c r="W200" s="156"/>
      <c r="X200" s="156"/>
      <c r="Y200" s="156"/>
      <c r="Z200" s="156"/>
      <c r="AA200" s="156"/>
      <c r="AB200" s="156"/>
      <c r="AC200" s="156"/>
      <c r="AD200" s="156"/>
      <c r="AE200" s="156"/>
    </row>
    <row r="201" spans="1:31" x14ac:dyDescent="0.25">
      <c r="A201" s="156">
        <v>3</v>
      </c>
      <c r="B201" s="156"/>
      <c r="C201" s="167">
        <f>+E201-E200</f>
        <v>180.38826158445403</v>
      </c>
      <c r="D201" s="159">
        <f>+G201-G200</f>
        <v>162.29720926756397</v>
      </c>
      <c r="E201" s="156">
        <v>588.50278475336302</v>
      </c>
      <c r="F201" s="156"/>
      <c r="G201" s="156">
        <v>536.33962780269098</v>
      </c>
      <c r="H201" s="156"/>
      <c r="I201" s="156">
        <v>139.69999999999999</v>
      </c>
      <c r="J201" s="156">
        <v>3</v>
      </c>
      <c r="K201" s="156"/>
      <c r="L201" s="174">
        <v>22728.974837944646</v>
      </c>
      <c r="M201" s="174">
        <v>979.87465749478997</v>
      </c>
      <c r="N201" s="164">
        <f t="shared" si="15"/>
        <v>1310.6131955508138</v>
      </c>
      <c r="O201" s="174">
        <v>8619.8584362319707</v>
      </c>
      <c r="P201" s="174">
        <v>1341.1049733657396</v>
      </c>
      <c r="Q201" s="164">
        <f t="shared" si="11"/>
        <v>1793.7701126037198</v>
      </c>
      <c r="R201" s="174">
        <v>10649.652531055901</v>
      </c>
      <c r="S201" s="174">
        <v>131.16322330640469</v>
      </c>
      <c r="T201" s="164">
        <f t="shared" si="12"/>
        <v>175.43493948078356</v>
      </c>
      <c r="U201" s="156"/>
      <c r="V201" s="156"/>
      <c r="W201" s="156"/>
      <c r="X201" s="156"/>
      <c r="Y201" s="156"/>
      <c r="Z201" s="156"/>
      <c r="AA201" s="156"/>
      <c r="AB201" s="156"/>
      <c r="AC201" s="156"/>
      <c r="AD201" s="156"/>
      <c r="AE201" s="156"/>
    </row>
    <row r="202" spans="1:31" x14ac:dyDescent="0.25">
      <c r="A202" s="156">
        <v>4</v>
      </c>
      <c r="B202" s="156"/>
      <c r="C202" s="167">
        <f>+E202-E201</f>
        <v>195.22963867497901</v>
      </c>
      <c r="D202" s="159">
        <f>+G202-G201</f>
        <v>179.89113138755602</v>
      </c>
      <c r="E202" s="156">
        <v>783.73242342834203</v>
      </c>
      <c r="F202" s="156"/>
      <c r="G202" s="156">
        <v>716.230759190247</v>
      </c>
      <c r="H202" s="156"/>
      <c r="I202" s="156">
        <v>141.69999999999999</v>
      </c>
      <c r="J202" s="156">
        <v>4</v>
      </c>
      <c r="K202" s="156"/>
      <c r="L202" s="174">
        <v>17661.404213438705</v>
      </c>
      <c r="M202" s="174">
        <v>882.4718984768997</v>
      </c>
      <c r="N202" s="164">
        <f t="shared" si="15"/>
        <v>1163.6743215912013</v>
      </c>
      <c r="O202" s="174">
        <v>7193.856491304301</v>
      </c>
      <c r="P202" s="174">
        <v>1425.3376484527203</v>
      </c>
      <c r="Q202" s="164">
        <f t="shared" si="11"/>
        <v>1879.5259361395238</v>
      </c>
      <c r="R202" s="174">
        <v>9159.825978260902</v>
      </c>
      <c r="S202" s="174">
        <v>158.55842389179503</v>
      </c>
      <c r="T202" s="164">
        <f t="shared" si="12"/>
        <v>209.08356025082492</v>
      </c>
      <c r="U202" s="156"/>
      <c r="V202" s="156"/>
      <c r="W202" s="156"/>
      <c r="X202" s="156"/>
      <c r="Y202" s="156"/>
      <c r="Z202" s="156"/>
      <c r="AA202" s="156"/>
      <c r="AB202" s="156"/>
      <c r="AC202" s="156"/>
      <c r="AD202" s="156"/>
      <c r="AE202" s="156"/>
    </row>
    <row r="203" spans="1:31" x14ac:dyDescent="0.25">
      <c r="A203" s="156">
        <v>1</v>
      </c>
      <c r="B203" s="156">
        <v>2016</v>
      </c>
      <c r="C203" s="167">
        <f>E203</f>
        <v>217.297581707322</v>
      </c>
      <c r="D203" s="159">
        <f>G203</f>
        <v>201.19677375494101</v>
      </c>
      <c r="E203" s="156">
        <v>217.297581707322</v>
      </c>
      <c r="F203" s="156"/>
      <c r="G203" s="156">
        <v>201.19677375494101</v>
      </c>
      <c r="H203" s="156"/>
      <c r="I203" s="156">
        <v>142.69999999999999</v>
      </c>
      <c r="J203" s="156">
        <v>1</v>
      </c>
      <c r="K203" s="156">
        <v>2016</v>
      </c>
      <c r="L203" s="174">
        <v>20668.165818181998</v>
      </c>
      <c r="M203" s="174">
        <v>1021.6300324660001</v>
      </c>
      <c r="N203" s="164">
        <f t="shared" si="15"/>
        <v>1337.7350149683555</v>
      </c>
      <c r="O203" s="174">
        <v>6682.5362000000005</v>
      </c>
      <c r="P203" s="174">
        <v>1267.176908724</v>
      </c>
      <c r="Q203" s="164">
        <f t="shared" si="11"/>
        <v>1659.257135254458</v>
      </c>
      <c r="R203" s="174">
        <v>6340.7358571430004</v>
      </c>
      <c r="S203" s="174">
        <v>128.592957756</v>
      </c>
      <c r="T203" s="164">
        <f t="shared" si="12"/>
        <v>168.38121120355055</v>
      </c>
      <c r="U203" s="156"/>
      <c r="V203" s="156"/>
      <c r="W203" s="156"/>
      <c r="X203" s="156"/>
      <c r="Y203" s="156"/>
      <c r="Z203" s="156"/>
      <c r="AA203" s="156"/>
      <c r="AB203" s="156"/>
      <c r="AC203" s="156"/>
      <c r="AD203" s="156"/>
      <c r="AE203" s="156"/>
    </row>
    <row r="204" spans="1:31" x14ac:dyDescent="0.25">
      <c r="A204" s="156">
        <v>2</v>
      </c>
      <c r="B204" s="156"/>
      <c r="C204" s="167">
        <f>+E204-E203</f>
        <v>210.94903078835901</v>
      </c>
      <c r="D204" s="159">
        <f>+G204-G203</f>
        <v>192.89311593057502</v>
      </c>
      <c r="E204" s="156">
        <v>428.24661249568101</v>
      </c>
      <c r="F204" s="156"/>
      <c r="G204" s="156">
        <v>394.08988968551603</v>
      </c>
      <c r="H204" s="156"/>
      <c r="I204" s="156">
        <v>144.30000000000001</v>
      </c>
      <c r="J204" s="156">
        <v>2</v>
      </c>
      <c r="K204" s="156"/>
      <c r="L204" s="174">
        <v>19039.287573122998</v>
      </c>
      <c r="M204" s="174">
        <v>795.20392340999979</v>
      </c>
      <c r="N204" s="164">
        <f t="shared" si="15"/>
        <v>1029.7044739840985</v>
      </c>
      <c r="O204" s="174">
        <v>5385.3991579709982</v>
      </c>
      <c r="P204" s="174">
        <v>991.5183596400002</v>
      </c>
      <c r="Q204" s="164">
        <f t="shared" si="11"/>
        <v>1283.9107817533736</v>
      </c>
      <c r="R204" s="174">
        <v>10107.700518632999</v>
      </c>
      <c r="S204" s="174">
        <v>152.61472035099999</v>
      </c>
      <c r="T204" s="164">
        <f t="shared" si="12"/>
        <v>197.61982519826259</v>
      </c>
      <c r="U204" s="156"/>
      <c r="V204" s="156"/>
      <c r="W204" s="156"/>
      <c r="X204" s="156"/>
      <c r="Y204" s="156"/>
      <c r="Z204" s="156"/>
      <c r="AA204" s="156"/>
      <c r="AB204" s="156"/>
      <c r="AC204" s="156"/>
      <c r="AD204" s="156"/>
      <c r="AE204" s="156"/>
    </row>
    <row r="205" spans="1:31" x14ac:dyDescent="0.25">
      <c r="A205" s="156">
        <v>3</v>
      </c>
      <c r="B205" s="156"/>
      <c r="C205" s="167">
        <f>+E205-E204</f>
        <v>193.64755294266695</v>
      </c>
      <c r="D205" s="159">
        <f>+G205-G204</f>
        <v>175.641874720337</v>
      </c>
      <c r="E205" s="156">
        <v>621.89416543834795</v>
      </c>
      <c r="F205" s="156"/>
      <c r="G205" s="156">
        <v>569.73176440585303</v>
      </c>
      <c r="H205" s="156"/>
      <c r="I205" s="156">
        <v>145.30000000000001</v>
      </c>
      <c r="J205" s="156">
        <v>3</v>
      </c>
      <c r="K205" s="156"/>
      <c r="L205" s="174">
        <v>25325.005330874006</v>
      </c>
      <c r="M205" s="174">
        <v>1404.3111468839998</v>
      </c>
      <c r="N205" s="164">
        <f t="shared" si="15"/>
        <v>1805.9184938916351</v>
      </c>
      <c r="O205" s="174">
        <v>9666.7747891530034</v>
      </c>
      <c r="P205" s="174">
        <v>1492.4533452979995</v>
      </c>
      <c r="Q205" s="164">
        <f t="shared" si="11"/>
        <v>1919.2677516834744</v>
      </c>
      <c r="R205" s="174">
        <v>10325.156290487997</v>
      </c>
      <c r="S205" s="174">
        <v>149.15188867200001</v>
      </c>
      <c r="T205" s="164">
        <f t="shared" si="12"/>
        <v>191.8066055014236</v>
      </c>
      <c r="U205" s="156"/>
      <c r="V205" s="156"/>
      <c r="W205" s="156"/>
      <c r="X205" s="156"/>
      <c r="Y205" s="156"/>
      <c r="Z205" s="156"/>
      <c r="AA205" s="156"/>
      <c r="AB205" s="156"/>
      <c r="AC205" s="156"/>
      <c r="AD205" s="156"/>
      <c r="AE205" s="156"/>
    </row>
    <row r="206" spans="1:31" x14ac:dyDescent="0.25">
      <c r="A206" s="156">
        <v>4</v>
      </c>
      <c r="B206" s="156"/>
      <c r="C206" s="167">
        <f>+E206-E205</f>
        <v>194.66297676649504</v>
      </c>
      <c r="D206" s="159">
        <f>+G206-G205</f>
        <v>178.45454935802093</v>
      </c>
      <c r="E206" s="156">
        <v>816.55714220484299</v>
      </c>
      <c r="F206" s="156"/>
      <c r="G206" s="156">
        <v>748.18631376387395</v>
      </c>
      <c r="H206" s="156"/>
      <c r="I206" s="156">
        <v>146.69999999999999</v>
      </c>
      <c r="J206" s="156">
        <v>4</v>
      </c>
      <c r="K206" s="156"/>
      <c r="L206" s="174">
        <v>18369.446222722992</v>
      </c>
      <c r="M206" s="174">
        <v>962.00640138500057</v>
      </c>
      <c r="N206" s="164">
        <f t="shared" si="15"/>
        <v>1225.3164521672293</v>
      </c>
      <c r="O206" s="174">
        <v>6575.4640743699983</v>
      </c>
      <c r="P206" s="174">
        <v>1222.1149542560006</v>
      </c>
      <c r="Q206" s="164">
        <f t="shared" si="11"/>
        <v>1556.6191220074627</v>
      </c>
      <c r="R206" s="174">
        <v>7957.0224983410008</v>
      </c>
      <c r="S206" s="174">
        <v>147.86469469900001</v>
      </c>
      <c r="T206" s="164">
        <f t="shared" si="12"/>
        <v>188.3366294117408</v>
      </c>
      <c r="U206" s="156"/>
      <c r="V206" s="156"/>
      <c r="W206" s="156"/>
      <c r="X206" s="156"/>
      <c r="Y206" s="156"/>
      <c r="Z206" s="156"/>
      <c r="AA206" s="156"/>
      <c r="AB206" s="156"/>
      <c r="AC206" s="156"/>
      <c r="AD206" s="156"/>
      <c r="AE206" s="156"/>
    </row>
    <row r="207" spans="1:31" x14ac:dyDescent="0.25">
      <c r="A207" s="156">
        <v>1</v>
      </c>
      <c r="B207" s="156">
        <v>2017</v>
      </c>
      <c r="C207" s="167">
        <f>E207</f>
        <v>227.02914608932699</v>
      </c>
      <c r="D207" s="159">
        <f>G207</f>
        <v>210.737716871462</v>
      </c>
      <c r="E207" s="156">
        <v>227.02914608932699</v>
      </c>
      <c r="F207" s="156"/>
      <c r="G207" s="156">
        <v>210.737716871462</v>
      </c>
      <c r="H207" s="156"/>
      <c r="I207" s="156">
        <v>146.4</v>
      </c>
      <c r="J207" s="156">
        <v>1</v>
      </c>
      <c r="K207" s="156">
        <v>2017</v>
      </c>
      <c r="L207" s="174">
        <v>20188.970584052</v>
      </c>
      <c r="M207" s="174">
        <v>1029.1484993670001</v>
      </c>
      <c r="N207" s="164">
        <f t="shared" si="15"/>
        <v>1313.5221027121001</v>
      </c>
      <c r="O207" s="174">
        <v>7124.2571060979999</v>
      </c>
      <c r="P207" s="174">
        <v>1296.4468783369998</v>
      </c>
      <c r="Q207" s="164">
        <f t="shared" si="11"/>
        <v>1654.6801853524219</v>
      </c>
      <c r="R207" s="174">
        <v>6121.3819215860003</v>
      </c>
      <c r="S207" s="174">
        <v>141.149656131</v>
      </c>
      <c r="T207" s="164">
        <f t="shared" si="12"/>
        <v>180.15203173528138</v>
      </c>
      <c r="U207" s="156"/>
      <c r="V207" s="156"/>
      <c r="W207" s="156"/>
      <c r="X207" s="156"/>
      <c r="Y207" s="156"/>
      <c r="Z207" s="156"/>
      <c r="AA207" s="156"/>
      <c r="AB207" s="156"/>
      <c r="AC207" s="156"/>
      <c r="AD207" s="156"/>
      <c r="AE207" s="156"/>
    </row>
    <row r="208" spans="1:31" x14ac:dyDescent="0.25">
      <c r="A208" s="156">
        <v>2</v>
      </c>
      <c r="B208" s="156"/>
      <c r="C208" s="167">
        <f>+E208-E207</f>
        <v>200.76722202181199</v>
      </c>
      <c r="D208" s="159">
        <f>+G208-G207</f>
        <v>183.70797761744905</v>
      </c>
      <c r="E208" s="156">
        <v>427.79636811113897</v>
      </c>
      <c r="F208" s="156"/>
      <c r="G208" s="156">
        <v>394.44569448891104</v>
      </c>
      <c r="H208" s="156"/>
      <c r="I208" s="156">
        <v>147.4</v>
      </c>
      <c r="J208" s="156">
        <v>2</v>
      </c>
      <c r="K208" s="156"/>
      <c r="L208" s="174">
        <v>16357.538075795001</v>
      </c>
      <c r="M208" s="174">
        <v>768.50776898899994</v>
      </c>
      <c r="N208" s="164">
        <f t="shared" si="15"/>
        <v>974.2068869032812</v>
      </c>
      <c r="O208" s="174">
        <v>5007.3623026510004</v>
      </c>
      <c r="P208" s="174">
        <v>1681.8190342150001</v>
      </c>
      <c r="Q208" s="164">
        <f t="shared" si="11"/>
        <v>2131.9754357365905</v>
      </c>
      <c r="R208" s="174">
        <v>7194.9193664359991</v>
      </c>
      <c r="S208" s="174">
        <v>119.946167266</v>
      </c>
      <c r="T208" s="164">
        <f t="shared" si="12"/>
        <v>152.05100966241849</v>
      </c>
      <c r="U208" s="156"/>
      <c r="V208" s="156"/>
      <c r="W208" s="156"/>
      <c r="X208" s="156"/>
      <c r="Y208" s="156"/>
      <c r="Z208" s="156"/>
      <c r="AA208" s="156"/>
      <c r="AB208" s="156"/>
      <c r="AC208" s="156"/>
      <c r="AD208" s="156"/>
      <c r="AE208" s="156"/>
    </row>
    <row r="209" spans="1:31" x14ac:dyDescent="0.25">
      <c r="A209" s="156">
        <v>3</v>
      </c>
      <c r="B209" s="156"/>
      <c r="C209" s="167">
        <f>+E209-E208</f>
        <v>195.05863188886104</v>
      </c>
      <c r="D209" s="159">
        <f>+G209-G208</f>
        <v>176.76630551108894</v>
      </c>
      <c r="E209" s="156">
        <v>622.85500000000002</v>
      </c>
      <c r="F209" s="156"/>
      <c r="G209" s="156">
        <v>571.21199999999999</v>
      </c>
      <c r="H209" s="156"/>
      <c r="I209" s="156">
        <v>147.30000000000001</v>
      </c>
      <c r="J209" s="156">
        <v>3</v>
      </c>
      <c r="K209" s="156"/>
      <c r="L209" s="174">
        <v>19399</v>
      </c>
      <c r="M209" s="174">
        <v>907</v>
      </c>
      <c r="N209" s="164">
        <f t="shared" si="15"/>
        <v>1150.5485697827562</v>
      </c>
      <c r="O209" s="174">
        <v>8892</v>
      </c>
      <c r="P209" s="174">
        <v>954</v>
      </c>
      <c r="Q209" s="164">
        <f t="shared" si="11"/>
        <v>1210.16905796334</v>
      </c>
      <c r="R209" s="174">
        <v>8727</v>
      </c>
      <c r="S209" s="174">
        <v>128</v>
      </c>
      <c r="T209" s="164">
        <f t="shared" si="12"/>
        <v>162.37069121520705</v>
      </c>
      <c r="U209" s="156"/>
      <c r="V209" s="156"/>
      <c r="W209" s="156"/>
      <c r="X209" s="156"/>
      <c r="Y209" s="156"/>
      <c r="Z209" s="156"/>
      <c r="AA209" s="156"/>
      <c r="AB209" s="156"/>
      <c r="AC209" s="156"/>
      <c r="AD209" s="156"/>
      <c r="AE209" s="156"/>
    </row>
    <row r="210" spans="1:31" x14ac:dyDescent="0.25">
      <c r="A210" s="156">
        <v>4</v>
      </c>
      <c r="B210" s="156"/>
      <c r="C210" s="167">
        <f>+E210-E209</f>
        <v>225.423</v>
      </c>
      <c r="D210" s="159">
        <f>+G210-G209</f>
        <v>208.21799999999996</v>
      </c>
      <c r="E210" s="156">
        <v>848.27800000000002</v>
      </c>
      <c r="F210" s="156"/>
      <c r="G210" s="156">
        <v>779.43</v>
      </c>
      <c r="H210" s="156"/>
      <c r="I210" s="156">
        <v>148.4</v>
      </c>
      <c r="J210" s="156">
        <v>4</v>
      </c>
      <c r="K210" s="156"/>
      <c r="L210" s="174">
        <v>23333</v>
      </c>
      <c r="M210" s="174">
        <v>1141</v>
      </c>
      <c r="N210" s="164">
        <f t="shared" si="15"/>
        <v>1436.6539132547171</v>
      </c>
      <c r="O210" s="174">
        <v>6366</v>
      </c>
      <c r="P210" s="174">
        <v>1205</v>
      </c>
      <c r="Q210" s="164">
        <f t="shared" si="11"/>
        <v>1517.23748069407</v>
      </c>
      <c r="R210" s="174">
        <v>7520</v>
      </c>
      <c r="S210" s="174">
        <v>124</v>
      </c>
      <c r="T210" s="164">
        <f t="shared" si="12"/>
        <v>156.13066191374665</v>
      </c>
      <c r="U210" s="156"/>
      <c r="V210" s="156"/>
      <c r="W210" s="156"/>
      <c r="X210" s="156"/>
      <c r="Y210" s="156"/>
      <c r="Z210" s="156"/>
      <c r="AA210" s="156"/>
      <c r="AB210" s="156"/>
      <c r="AC210" s="156"/>
      <c r="AD210" s="156"/>
      <c r="AE210" s="156"/>
    </row>
    <row r="211" spans="1:31" x14ac:dyDescent="0.25">
      <c r="A211" s="156">
        <v>1</v>
      </c>
      <c r="B211" s="156">
        <v>2018</v>
      </c>
      <c r="C211" s="167">
        <f>E211</f>
        <v>241.52799999999999</v>
      </c>
      <c r="D211" s="167">
        <f>G211</f>
        <v>222.678</v>
      </c>
      <c r="E211" s="156">
        <v>241.52799999999999</v>
      </c>
      <c r="F211" s="156"/>
      <c r="G211" s="156">
        <v>222.678</v>
      </c>
      <c r="H211" s="156"/>
      <c r="I211" s="156">
        <v>149.69999999999999</v>
      </c>
      <c r="J211" s="156">
        <v>1</v>
      </c>
      <c r="K211" s="156">
        <v>2018</v>
      </c>
      <c r="L211" s="174">
        <v>25111</v>
      </c>
      <c r="M211" s="174">
        <v>1175</v>
      </c>
      <c r="N211" s="164">
        <f t="shared" si="15"/>
        <v>1466.6162172678692</v>
      </c>
      <c r="O211" s="174">
        <v>6317</v>
      </c>
      <c r="P211" s="174">
        <v>1262</v>
      </c>
      <c r="Q211" s="164">
        <f t="shared" si="11"/>
        <v>1575.2082265464264</v>
      </c>
      <c r="R211" s="174">
        <v>5433</v>
      </c>
      <c r="S211" s="174">
        <v>116</v>
      </c>
      <c r="T211" s="164">
        <f t="shared" si="12"/>
        <v>144.78934570474283</v>
      </c>
      <c r="U211" s="156"/>
      <c r="V211" s="156"/>
      <c r="W211" s="156"/>
      <c r="X211" s="156"/>
      <c r="Y211" s="156"/>
      <c r="Z211" s="156"/>
      <c r="AA211" s="156"/>
      <c r="AB211" s="156"/>
      <c r="AC211" s="156"/>
      <c r="AD211" s="156"/>
      <c r="AE211" s="156"/>
    </row>
    <row r="212" spans="1:31" x14ac:dyDescent="0.25">
      <c r="A212" s="156">
        <v>2</v>
      </c>
      <c r="B212" s="156"/>
      <c r="C212" s="167">
        <f>+E212-E211</f>
        <v>226.77080239162902</v>
      </c>
      <c r="D212" s="167">
        <f>+G212-G211</f>
        <v>208.83864191330298</v>
      </c>
      <c r="E212" s="156">
        <v>468.29880239162901</v>
      </c>
      <c r="F212" s="156"/>
      <c r="G212" s="156">
        <v>431.51664191330298</v>
      </c>
      <c r="H212" s="156"/>
      <c r="I212" s="156">
        <v>150.80000000000001</v>
      </c>
      <c r="J212" s="156">
        <v>2</v>
      </c>
      <c r="K212" s="156"/>
      <c r="L212" s="174">
        <v>20973.437462450995</v>
      </c>
      <c r="M212" s="174">
        <v>1076.7915513600001</v>
      </c>
      <c r="N212" s="164">
        <f t="shared" si="15"/>
        <v>1334.2300400174281</v>
      </c>
      <c r="O212" s="174">
        <v>5869.5992710140017</v>
      </c>
      <c r="P212" s="174">
        <v>1471.9660798479999</v>
      </c>
      <c r="Q212" s="164">
        <f t="shared" si="11"/>
        <v>1823.8825881754115</v>
      </c>
      <c r="R212" s="174">
        <v>9319.6839472049996</v>
      </c>
      <c r="S212" s="174">
        <v>135.61776245999999</v>
      </c>
      <c r="T212" s="164">
        <f t="shared" si="12"/>
        <v>168.04115188825901</v>
      </c>
      <c r="U212" s="156"/>
      <c r="V212" s="156"/>
      <c r="W212" s="156"/>
      <c r="X212" s="156"/>
      <c r="Y212" s="156"/>
      <c r="Z212" s="156"/>
      <c r="AA212" s="156"/>
      <c r="AB212" s="156"/>
      <c r="AC212" s="156"/>
      <c r="AD212" s="156"/>
      <c r="AE212" s="156"/>
    </row>
    <row r="213" spans="1:31" x14ac:dyDescent="0.25">
      <c r="A213" s="156">
        <v>3</v>
      </c>
      <c r="B213" s="156"/>
      <c r="C213" s="167">
        <f>+E213-E212</f>
        <v>230.04425590433516</v>
      </c>
      <c r="D213" s="167">
        <f>+G213-G212</f>
        <v>207.39460472346803</v>
      </c>
      <c r="E213" s="156">
        <v>698.34305829596417</v>
      </c>
      <c r="F213" s="156"/>
      <c r="G213" s="156">
        <v>638.91124663677101</v>
      </c>
      <c r="H213" s="156"/>
      <c r="I213" s="156">
        <v>152.30000000000001</v>
      </c>
      <c r="J213" s="156">
        <v>3</v>
      </c>
      <c r="K213" s="156"/>
      <c r="L213" s="174">
        <v>22635.655438734771</v>
      </c>
      <c r="M213" s="174">
        <v>1212.1884087902995</v>
      </c>
      <c r="N213" s="164">
        <f t="shared" si="15"/>
        <v>1487.2043265882464</v>
      </c>
      <c r="O213" s="174">
        <v>10333.380031159912</v>
      </c>
      <c r="P213" s="174">
        <v>1822.4517080118057</v>
      </c>
      <c r="Q213" s="164">
        <f t="shared" si="11"/>
        <v>2235.921450410578</v>
      </c>
      <c r="R213" s="174">
        <v>9726.2967189440697</v>
      </c>
      <c r="S213" s="174">
        <v>150.27129325880639</v>
      </c>
      <c r="T213" s="164">
        <f t="shared" si="12"/>
        <v>184.36417629131884</v>
      </c>
      <c r="U213" s="156"/>
      <c r="V213" s="156"/>
      <c r="W213" s="156"/>
      <c r="X213" s="156"/>
      <c r="Y213" s="156"/>
      <c r="Z213" s="156"/>
      <c r="AA213" s="156"/>
      <c r="AB213" s="156"/>
      <c r="AC213" s="156"/>
      <c r="AD213" s="156"/>
      <c r="AE213" s="156"/>
    </row>
    <row r="214" spans="1:31" x14ac:dyDescent="0.25">
      <c r="A214" s="156">
        <v>4</v>
      </c>
      <c r="B214" s="156"/>
      <c r="C214" s="167">
        <f>+E214-E213</f>
        <v>212.66674917787782</v>
      </c>
      <c r="D214" s="167">
        <f>+G214-G213</f>
        <v>195.66619934230232</v>
      </c>
      <c r="E214" s="156">
        <v>911.00980747384199</v>
      </c>
      <c r="F214" s="156"/>
      <c r="G214" s="156">
        <v>834.57744597907333</v>
      </c>
      <c r="H214" s="156"/>
      <c r="I214" s="156">
        <v>153.6</v>
      </c>
      <c r="J214" s="156">
        <v>4</v>
      </c>
      <c r="K214" s="156"/>
      <c r="L214" s="174">
        <v>22335.438371541502</v>
      </c>
      <c r="M214" s="174">
        <v>1078.6341079945755</v>
      </c>
      <c r="N214" s="164">
        <f t="shared" si="15"/>
        <v>1312.1495933614863</v>
      </c>
      <c r="O214" s="174">
        <v>7362.2217963768126</v>
      </c>
      <c r="P214" s="174">
        <v>1452.0805351783911</v>
      </c>
      <c r="Q214" s="164">
        <f t="shared" si="11"/>
        <v>1766.4441256219179</v>
      </c>
      <c r="R214" s="174">
        <v>8182.2589673913026</v>
      </c>
      <c r="S214" s="174">
        <v>116.53210966099653</v>
      </c>
      <c r="T214" s="164">
        <f t="shared" si="12"/>
        <v>141.76036078584835</v>
      </c>
      <c r="U214" s="156"/>
      <c r="V214" s="156"/>
      <c r="W214" s="156"/>
      <c r="X214" s="156"/>
      <c r="Y214" s="156"/>
      <c r="Z214" s="156"/>
      <c r="AA214" s="156"/>
      <c r="AB214" s="156"/>
      <c r="AC214" s="156"/>
      <c r="AD214" s="156"/>
      <c r="AE214" s="156"/>
    </row>
    <row r="215" spans="1:31" x14ac:dyDescent="0.25">
      <c r="A215" s="156">
        <v>1</v>
      </c>
      <c r="B215" s="156">
        <v>2019</v>
      </c>
      <c r="C215" s="167">
        <f>E215</f>
        <v>242.05576995515696</v>
      </c>
      <c r="D215" s="167">
        <f>G215</f>
        <v>223.58363596412556</v>
      </c>
      <c r="E215" s="156">
        <v>242.05576995515696</v>
      </c>
      <c r="F215" s="156"/>
      <c r="G215" s="156">
        <v>223.58363596412556</v>
      </c>
      <c r="H215" s="156"/>
      <c r="I215" s="156">
        <v>154.1</v>
      </c>
      <c r="J215" s="156">
        <v>1</v>
      </c>
      <c r="K215" s="156">
        <v>2019</v>
      </c>
      <c r="L215" s="174">
        <v>22394.924612648225</v>
      </c>
      <c r="M215" s="174">
        <v>1151.1138601930163</v>
      </c>
      <c r="N215" s="164">
        <f t="shared" si="15"/>
        <v>1395.7770754859384</v>
      </c>
      <c r="O215" s="174">
        <v>6179.0660115942028</v>
      </c>
      <c r="P215" s="174">
        <v>1384.5030606846908</v>
      </c>
      <c r="Q215" s="164">
        <f t="shared" si="11"/>
        <v>1678.7719268012102</v>
      </c>
      <c r="R215" s="174">
        <v>6840.1016739130437</v>
      </c>
      <c r="S215" s="174">
        <v>122.43916062391185</v>
      </c>
      <c r="T215" s="164">
        <f t="shared" si="12"/>
        <v>148.46296222333817</v>
      </c>
      <c r="U215" s="156"/>
      <c r="V215" s="156"/>
      <c r="W215" s="156"/>
      <c r="X215" s="156"/>
      <c r="Y215" s="156"/>
      <c r="Z215" s="156"/>
      <c r="AA215" s="156"/>
      <c r="AB215" s="156"/>
      <c r="AC215" s="156"/>
      <c r="AD215" s="156"/>
      <c r="AE215" s="156"/>
    </row>
    <row r="216" spans="1:31" x14ac:dyDescent="0.25">
      <c r="A216" s="156">
        <v>2</v>
      </c>
      <c r="B216" s="156"/>
      <c r="C216" s="167">
        <f>+E216-E215</f>
        <v>221.71122705530604</v>
      </c>
      <c r="D216" s="167">
        <f>+G216-G215</f>
        <v>199.97176164424542</v>
      </c>
      <c r="E216" s="156">
        <v>463.766997010463</v>
      </c>
      <c r="F216" s="156"/>
      <c r="G216" s="156">
        <v>423.55539760837098</v>
      </c>
      <c r="H216" s="156"/>
      <c r="I216" s="156">
        <v>154.6</v>
      </c>
      <c r="J216" s="156">
        <v>2</v>
      </c>
      <c r="K216" s="156"/>
      <c r="L216" s="174">
        <v>19703.243703557309</v>
      </c>
      <c r="M216" s="174">
        <v>1006.9446819648526</v>
      </c>
      <c r="N216" s="164">
        <f t="shared" si="15"/>
        <v>1217.0167055630457</v>
      </c>
      <c r="O216" s="174">
        <v>8628.701004347824</v>
      </c>
      <c r="P216" s="174">
        <v>1346.7424148398591</v>
      </c>
      <c r="Q216" s="164">
        <f t="shared" si="11"/>
        <v>1627.7041294385976</v>
      </c>
      <c r="R216" s="174">
        <v>10227.612341614906</v>
      </c>
      <c r="S216" s="174">
        <v>141.53554504088498</v>
      </c>
      <c r="T216" s="164">
        <f t="shared" si="12"/>
        <v>171.0631436173972</v>
      </c>
      <c r="U216" s="156"/>
      <c r="V216" s="156"/>
      <c r="W216" s="156"/>
      <c r="X216" s="156"/>
      <c r="Y216" s="156"/>
      <c r="Z216" s="156"/>
      <c r="AA216" s="156"/>
      <c r="AB216" s="156"/>
      <c r="AC216" s="156"/>
      <c r="AD216" s="156"/>
      <c r="AE216" s="156"/>
    </row>
    <row r="217" spans="1:31" x14ac:dyDescent="0.25">
      <c r="A217" s="156">
        <v>3</v>
      </c>
      <c r="B217" s="156"/>
      <c r="C217" s="167">
        <f>+E217-E216</f>
        <v>200.66800298953694</v>
      </c>
      <c r="D217" s="167">
        <f>+G217-G216</f>
        <v>183.517602391629</v>
      </c>
      <c r="E217" s="156">
        <v>664.43499999999995</v>
      </c>
      <c r="F217" s="156"/>
      <c r="G217" s="156">
        <v>607.07299999999998</v>
      </c>
      <c r="H217" s="156"/>
      <c r="I217" s="156">
        <v>154.69999999999999</v>
      </c>
      <c r="J217" s="156">
        <v>3</v>
      </c>
      <c r="K217" s="156"/>
      <c r="L217" s="174">
        <v>26165.077849802379</v>
      </c>
      <c r="M217" s="174">
        <v>1402.3482904344257</v>
      </c>
      <c r="N217" s="164">
        <f t="shared" si="15"/>
        <v>1693.8150695393824</v>
      </c>
      <c r="O217" s="174">
        <v>13748.462299275363</v>
      </c>
      <c r="P217" s="174">
        <v>1484.9789315777889</v>
      </c>
      <c r="Q217" s="164">
        <f t="shared" si="11"/>
        <v>1793.6198228442634</v>
      </c>
      <c r="R217" s="174">
        <v>10507.793672360251</v>
      </c>
      <c r="S217" s="174">
        <v>144.78676128055025</v>
      </c>
      <c r="T217" s="164">
        <f t="shared" si="12"/>
        <v>174.8795215850586</v>
      </c>
      <c r="U217" s="156"/>
      <c r="V217" s="156"/>
      <c r="W217" s="156"/>
      <c r="X217" s="156"/>
      <c r="Y217" s="156"/>
      <c r="Z217" s="156"/>
      <c r="AA217" s="156"/>
      <c r="AB217" s="156"/>
      <c r="AC217" s="156"/>
      <c r="AD217" s="156"/>
      <c r="AE217" s="156"/>
    </row>
    <row r="218" spans="1:31" x14ac:dyDescent="0.25">
      <c r="A218" s="156">
        <v>4</v>
      </c>
      <c r="B218" s="156"/>
      <c r="C218" s="167">
        <f>+E218-E217</f>
        <v>216.91973572496272</v>
      </c>
      <c r="D218" s="167">
        <f>+G218-G217</f>
        <v>199.72038857997018</v>
      </c>
      <c r="E218" s="156">
        <v>881.35473572496267</v>
      </c>
      <c r="F218" s="156"/>
      <c r="G218" s="156">
        <v>806.79338857997016</v>
      </c>
      <c r="H218" s="156"/>
      <c r="I218" s="156">
        <v>156.1</v>
      </c>
      <c r="J218" s="156">
        <v>4</v>
      </c>
      <c r="K218" s="156"/>
      <c r="L218" s="174">
        <v>22621.988837944664</v>
      </c>
      <c r="M218" s="174">
        <v>1317.7971704198299</v>
      </c>
      <c r="N218" s="164">
        <f t="shared" si="15"/>
        <v>1577.4154285755319</v>
      </c>
      <c r="O218" s="174">
        <v>7776.9221253623255</v>
      </c>
      <c r="P218" s="174">
        <v>1227.7391162265512</v>
      </c>
      <c r="Q218" s="164">
        <f t="shared" si="11"/>
        <v>1469.6151028951306</v>
      </c>
      <c r="R218" s="174">
        <v>9597.5708897515542</v>
      </c>
      <c r="S218" s="174">
        <v>133.20019148427383</v>
      </c>
      <c r="T218" s="164">
        <f t="shared" si="12"/>
        <v>159.44186393234574</v>
      </c>
      <c r="U218" s="156"/>
      <c r="V218" s="156"/>
      <c r="W218" s="156"/>
      <c r="X218" s="156"/>
      <c r="Y218" s="156"/>
      <c r="Z218" s="156"/>
      <c r="AA218" s="156"/>
      <c r="AB218" s="156"/>
      <c r="AC218" s="156"/>
      <c r="AD218" s="156"/>
      <c r="AE218" s="156"/>
    </row>
    <row r="219" spans="1:31" x14ac:dyDescent="0.25">
      <c r="A219" s="156">
        <v>1</v>
      </c>
      <c r="B219" s="156">
        <v>2020</v>
      </c>
      <c r="C219" s="167">
        <f>E219</f>
        <v>245.16278393124065</v>
      </c>
      <c r="D219" s="167">
        <f>G219</f>
        <v>227.94719714499254</v>
      </c>
      <c r="E219" s="156">
        <v>245.16278393124065</v>
      </c>
      <c r="F219" s="156"/>
      <c r="G219" s="156">
        <v>227.94719714499254</v>
      </c>
      <c r="H219" s="156"/>
      <c r="I219" s="156">
        <v>155.52000000000001</v>
      </c>
      <c r="J219" s="156">
        <v>1</v>
      </c>
      <c r="K219" s="156">
        <v>2020</v>
      </c>
      <c r="L219" s="174">
        <v>22417.308750988144</v>
      </c>
      <c r="M219" s="174">
        <v>1187.0066434405767</v>
      </c>
      <c r="N219" s="164">
        <f t="shared" si="15"/>
        <v>1426.1569369648832</v>
      </c>
      <c r="O219" s="174">
        <v>7817.2878601449283</v>
      </c>
      <c r="P219" s="174">
        <v>1773.3957103534681</v>
      </c>
      <c r="Q219" s="164">
        <f t="shared" si="11"/>
        <v>2130.6878173601208</v>
      </c>
      <c r="R219" s="174">
        <v>8173.2696444099374</v>
      </c>
      <c r="S219" s="174">
        <v>145.83786039029874</v>
      </c>
      <c r="T219" s="164">
        <f t="shared" si="12"/>
        <v>175.22031356529044</v>
      </c>
      <c r="U219" s="156"/>
      <c r="V219" s="156"/>
      <c r="W219" s="156"/>
      <c r="X219" s="156"/>
      <c r="Y219" s="156"/>
      <c r="Z219" s="156"/>
      <c r="AA219" s="156"/>
      <c r="AB219" s="156"/>
      <c r="AC219" s="156"/>
      <c r="AD219" s="156"/>
      <c r="AE219" s="156"/>
    </row>
    <row r="220" spans="1:31" x14ac:dyDescent="0.25">
      <c r="A220" s="156">
        <v>2</v>
      </c>
      <c r="B220" s="156"/>
      <c r="C220" s="167">
        <f>+E220-E219</f>
        <v>219.4338294469357</v>
      </c>
      <c r="D220" s="167">
        <f>+G220-G219</f>
        <v>199.23928355754859</v>
      </c>
      <c r="E220" s="173">
        <v>464.59661337817636</v>
      </c>
      <c r="F220" s="156"/>
      <c r="G220" s="156">
        <v>427.18648070254113</v>
      </c>
      <c r="H220" s="156"/>
      <c r="I220" s="156">
        <v>156.5</v>
      </c>
      <c r="J220" s="156">
        <v>2</v>
      </c>
      <c r="K220" s="156"/>
      <c r="L220" s="174">
        <v>20318.697663474304</v>
      </c>
      <c r="M220" s="174">
        <v>1003.3659178621033</v>
      </c>
      <c r="N220" s="164">
        <f t="shared" si="15"/>
        <v>1197.9685581155113</v>
      </c>
      <c r="O220" s="174">
        <v>6698.4276256020294</v>
      </c>
      <c r="P220" s="174">
        <v>1195.3385633418739</v>
      </c>
      <c r="Q220" s="164">
        <f t="shared" si="11"/>
        <v>1427.1742638395399</v>
      </c>
      <c r="R220" s="174">
        <v>9378.7613872911825</v>
      </c>
      <c r="S220" s="174">
        <v>125.6048434375343</v>
      </c>
      <c r="T220" s="164">
        <f t="shared" si="12"/>
        <v>149.96588034981204</v>
      </c>
      <c r="U220" s="156"/>
      <c r="V220" s="156"/>
      <c r="W220" s="156"/>
      <c r="X220" s="156"/>
      <c r="Y220" s="156"/>
      <c r="Z220" s="156"/>
      <c r="AA220" s="156"/>
      <c r="AB220" s="156"/>
      <c r="AC220" s="156"/>
      <c r="AD220" s="156"/>
      <c r="AE220" s="156"/>
    </row>
    <row r="221" spans="1:31" x14ac:dyDescent="0.25">
      <c r="A221" s="156">
        <v>3</v>
      </c>
      <c r="B221" s="156"/>
      <c r="C221" s="167">
        <f>+E221-E220</f>
        <v>230.4091689088192</v>
      </c>
      <c r="D221" s="167">
        <f>+G221-G220</f>
        <v>212.03913512705532</v>
      </c>
      <c r="E221" s="173">
        <v>695.00578228699555</v>
      </c>
      <c r="F221" s="156"/>
      <c r="G221" s="156">
        <v>639.22561582959645</v>
      </c>
      <c r="H221" s="156"/>
      <c r="I221" s="156">
        <v>157.34</v>
      </c>
      <c r="J221" s="156">
        <v>3</v>
      </c>
      <c r="K221" s="156"/>
      <c r="L221" s="174">
        <v>23115.129949173919</v>
      </c>
      <c r="M221" s="174">
        <v>1190.2908927373355</v>
      </c>
      <c r="N221" s="164">
        <f t="shared" si="15"/>
        <v>1413.5604369735006</v>
      </c>
      <c r="O221" s="174">
        <v>9381.5569490356484</v>
      </c>
      <c r="P221" s="174">
        <v>1044.8337260564822</v>
      </c>
      <c r="Q221" s="164">
        <f t="shared" si="11"/>
        <v>1240.8190530404831</v>
      </c>
      <c r="R221" s="174">
        <v>12479.986334758509</v>
      </c>
      <c r="S221" s="174">
        <v>159.02277544572789</v>
      </c>
      <c r="T221" s="164">
        <f t="shared" si="12"/>
        <v>188.8515700820426</v>
      </c>
      <c r="U221" s="156"/>
      <c r="V221" s="156"/>
      <c r="W221" s="156"/>
      <c r="X221" s="156"/>
      <c r="Y221" s="156"/>
      <c r="Z221" s="156"/>
      <c r="AA221" s="156"/>
      <c r="AB221" s="156"/>
      <c r="AC221" s="156"/>
      <c r="AD221" s="156"/>
      <c r="AE221" s="156"/>
    </row>
    <row r="222" spans="1:31" x14ac:dyDescent="0.25">
      <c r="A222" s="156">
        <v>4</v>
      </c>
      <c r="B222" s="156"/>
      <c r="C222" s="167">
        <f>+E222-E221</f>
        <v>210.53825269058302</v>
      </c>
      <c r="D222" s="167">
        <f>+G222-G221</f>
        <v>195.42257215246639</v>
      </c>
      <c r="E222" s="173">
        <v>905.54403497757858</v>
      </c>
      <c r="F222" s="156"/>
      <c r="G222" s="156">
        <v>834.64818798206284</v>
      </c>
      <c r="H222" s="156"/>
      <c r="I222" s="156">
        <v>156.08000000000001</v>
      </c>
      <c r="J222" s="156">
        <v>4</v>
      </c>
      <c r="K222" s="156"/>
      <c r="L222" s="174">
        <v>24544.608407612643</v>
      </c>
      <c r="M222" s="174">
        <v>1241.5801516088959</v>
      </c>
      <c r="N222" s="164">
        <f t="shared" si="15"/>
        <v>1486.373389164911</v>
      </c>
      <c r="O222" s="174">
        <v>8299.8127776884066</v>
      </c>
      <c r="P222" s="174">
        <v>1192.0542375158043</v>
      </c>
      <c r="Q222" s="164">
        <f t="shared" si="11"/>
        <v>1427.0828144189741</v>
      </c>
      <c r="R222" s="174">
        <v>9374.137683010551</v>
      </c>
      <c r="S222" s="174">
        <v>112.80928620726445</v>
      </c>
      <c r="T222" s="164">
        <f t="shared" si="12"/>
        <v>135.05106444548343</v>
      </c>
      <c r="U222" s="156"/>
      <c r="V222" s="156"/>
      <c r="W222" s="156"/>
      <c r="X222" s="156"/>
      <c r="Y222" s="156"/>
      <c r="Z222" s="156"/>
      <c r="AA222" s="156"/>
      <c r="AB222" s="156"/>
      <c r="AC222" s="156"/>
      <c r="AD222" s="156"/>
      <c r="AE222" s="156"/>
    </row>
    <row r="223" spans="1:31" x14ac:dyDescent="0.25">
      <c r="A223" s="156">
        <v>1</v>
      </c>
      <c r="B223" s="156">
        <v>2021</v>
      </c>
      <c r="C223" s="167">
        <f>E223</f>
        <v>246.03664372197312</v>
      </c>
      <c r="D223" s="167">
        <f>G223</f>
        <v>229.48208497757849</v>
      </c>
      <c r="E223" s="173">
        <v>246.03664372197312</v>
      </c>
      <c r="F223" s="156"/>
      <c r="G223" s="156">
        <v>229.48208497757849</v>
      </c>
      <c r="H223" s="156"/>
      <c r="I223" s="156">
        <v>155.52000000000001</v>
      </c>
      <c r="J223" s="156">
        <v>1</v>
      </c>
      <c r="K223" s="156">
        <v>2021</v>
      </c>
      <c r="L223" s="174">
        <v>34994.274094861663</v>
      </c>
      <c r="M223" s="174">
        <v>1823.5241188431366</v>
      </c>
      <c r="N223" s="164">
        <f t="shared" si="15"/>
        <v>2190.9157679799514</v>
      </c>
      <c r="O223" s="174">
        <v>8185.2405021739132</v>
      </c>
      <c r="P223" s="174">
        <v>1464.197591740502</v>
      </c>
      <c r="Q223" s="164">
        <f t="shared" si="11"/>
        <v>1759.1944948979813</v>
      </c>
      <c r="R223" s="174">
        <v>6121.5967593167707</v>
      </c>
      <c r="S223" s="174">
        <v>112.87324166947003</v>
      </c>
      <c r="T223" s="164">
        <f t="shared" si="12"/>
        <v>135.61420021882722</v>
      </c>
      <c r="U223" s="156"/>
      <c r="V223" s="156"/>
      <c r="W223" s="156"/>
      <c r="X223" s="156"/>
      <c r="Y223" s="156"/>
      <c r="Z223" s="156"/>
      <c r="AA223" s="156"/>
      <c r="AB223" s="156"/>
      <c r="AC223" s="156"/>
      <c r="AD223" s="156"/>
      <c r="AE223" s="156"/>
    </row>
    <row r="224" spans="1:31" x14ac:dyDescent="0.25">
      <c r="A224" s="156">
        <v>2</v>
      </c>
      <c r="B224" s="156"/>
      <c r="C224" s="167">
        <f>+E224-E223</f>
        <v>241.94121614349774</v>
      </c>
      <c r="D224" s="167">
        <f>+G224-G223</f>
        <v>221.09553291479824</v>
      </c>
      <c r="E224" s="173">
        <v>487.97785986547086</v>
      </c>
      <c r="F224" s="156"/>
      <c r="G224" s="156">
        <v>450.57761789237674</v>
      </c>
      <c r="H224" s="156"/>
      <c r="I224" s="156">
        <v>160.69999999999999</v>
      </c>
      <c r="J224" s="156">
        <v>2</v>
      </c>
      <c r="K224" s="156"/>
      <c r="L224" s="174">
        <v>20425.734197628459</v>
      </c>
      <c r="M224" s="174">
        <v>1061.5540769322004</v>
      </c>
      <c r="N224" s="164">
        <f t="shared" si="15"/>
        <v>1234.3168636307514</v>
      </c>
      <c r="O224" s="174">
        <v>6967.5044210144924</v>
      </c>
      <c r="P224" s="174">
        <v>1472.113681221721</v>
      </c>
      <c r="Q224" s="164">
        <f t="shared" si="11"/>
        <v>1711.693055868285</v>
      </c>
      <c r="R224" s="174">
        <v>8820.4369021739112</v>
      </c>
      <c r="S224" s="174">
        <v>115.80617621183073</v>
      </c>
      <c r="T224" s="164">
        <f t="shared" si="12"/>
        <v>134.65307073563852</v>
      </c>
      <c r="U224" s="156"/>
      <c r="V224" s="156"/>
      <c r="W224" s="156"/>
      <c r="X224" s="156"/>
      <c r="Y224" s="156"/>
      <c r="Z224" s="156"/>
      <c r="AA224" s="156"/>
      <c r="AB224" s="156"/>
      <c r="AC224" s="156"/>
      <c r="AD224" s="156"/>
      <c r="AE224" s="156"/>
    </row>
    <row r="225" spans="1:31" x14ac:dyDescent="0.25">
      <c r="A225" s="156">
        <v>3</v>
      </c>
      <c r="B225" s="156"/>
      <c r="C225" s="167">
        <f>+E225-E224</f>
        <v>223.16246838565024</v>
      </c>
      <c r="D225" s="167">
        <f>+G225-G224</f>
        <v>200.9504247085203</v>
      </c>
      <c r="E225" s="173">
        <v>711.1403282511211</v>
      </c>
      <c r="F225" s="156"/>
      <c r="G225" s="156">
        <v>651.52804260089704</v>
      </c>
      <c r="H225" s="156"/>
      <c r="I225" s="156">
        <v>162.66</v>
      </c>
      <c r="J225" s="156">
        <v>3</v>
      </c>
      <c r="K225" s="156"/>
      <c r="L225" s="174">
        <v>24805.341992094851</v>
      </c>
      <c r="M225" s="174">
        <v>1156.0227184873836</v>
      </c>
      <c r="N225" s="164">
        <f t="shared" si="15"/>
        <v>1327.9631313959344</v>
      </c>
      <c r="O225" s="174">
        <v>11835.432255072465</v>
      </c>
      <c r="P225" s="174">
        <v>1387.9440913118756</v>
      </c>
      <c r="Q225" s="164">
        <f t="shared" si="11"/>
        <v>1594.379203994094</v>
      </c>
      <c r="R225" s="174">
        <v>8162.7090062111811</v>
      </c>
      <c r="S225" s="174">
        <v>122.41533537856195</v>
      </c>
      <c r="T225" s="164">
        <f t="shared" si="12"/>
        <v>140.62271398343009</v>
      </c>
      <c r="U225" s="156"/>
      <c r="V225" s="156"/>
      <c r="W225" s="156"/>
      <c r="X225" s="156"/>
      <c r="Y225" s="156"/>
      <c r="Z225" s="156"/>
      <c r="AA225" s="156"/>
      <c r="AB225" s="156"/>
      <c r="AC225" s="156"/>
      <c r="AD225" s="156"/>
      <c r="AE225" s="156"/>
    </row>
    <row r="226" spans="1:31" x14ac:dyDescent="0.25">
      <c r="A226" s="156">
        <v>4</v>
      </c>
      <c r="B226" s="156"/>
      <c r="C226" s="167">
        <f>+E226-E225</f>
        <v>240.67364342301937</v>
      </c>
      <c r="D226" s="167">
        <f>+G226-G225</f>
        <v>222.83402473841534</v>
      </c>
      <c r="E226" s="173">
        <v>951.81397167414048</v>
      </c>
      <c r="F226" s="156"/>
      <c r="G226" s="156">
        <v>874.36206733931238</v>
      </c>
      <c r="H226" s="156"/>
      <c r="I226" s="156">
        <v>165.17</v>
      </c>
      <c r="J226" s="156">
        <v>4</v>
      </c>
      <c r="K226" s="156"/>
      <c r="L226" s="174">
        <v>23357.504896820246</v>
      </c>
      <c r="M226" s="174">
        <v>1294.0004472542644</v>
      </c>
      <c r="N226" s="164">
        <f t="shared" si="15"/>
        <v>1463.8739225577697</v>
      </c>
      <c r="O226" s="174">
        <v>7240.0729996128648</v>
      </c>
      <c r="P226" s="174">
        <v>1287.0604441566998</v>
      </c>
      <c r="Q226" s="164">
        <f t="shared" si="11"/>
        <v>1456.022851425181</v>
      </c>
      <c r="R226" s="174">
        <v>8198.4054586074526</v>
      </c>
      <c r="S226" s="174">
        <v>109.38408217060596</v>
      </c>
      <c r="T226" s="164">
        <f t="shared" si="12"/>
        <v>123.74377904755293</v>
      </c>
      <c r="U226" s="156"/>
      <c r="V226" s="156"/>
      <c r="W226" s="156"/>
      <c r="X226" s="156"/>
      <c r="Y226" s="156"/>
      <c r="Z226" s="156"/>
      <c r="AA226" s="156"/>
      <c r="AB226" s="156"/>
      <c r="AC226" s="156"/>
      <c r="AD226" s="156"/>
      <c r="AE226" s="156"/>
    </row>
    <row r="227" spans="1:31" x14ac:dyDescent="0.25">
      <c r="A227" s="156">
        <v>1</v>
      </c>
      <c r="B227" s="156">
        <v>2022</v>
      </c>
      <c r="C227" s="167">
        <f>E227</f>
        <v>258.31884641255607</v>
      </c>
      <c r="D227" s="167">
        <f>G227</f>
        <v>238.37852713004486</v>
      </c>
      <c r="E227" s="173">
        <v>258.31884641255607</v>
      </c>
      <c r="F227" s="156"/>
      <c r="G227" s="156">
        <v>238.37852713004486</v>
      </c>
      <c r="H227" s="156"/>
      <c r="I227" s="156">
        <v>166.57</v>
      </c>
      <c r="J227" s="156">
        <v>1</v>
      </c>
      <c r="K227" s="156">
        <v>2022</v>
      </c>
      <c r="L227" s="174">
        <v>24505.067470355731</v>
      </c>
      <c r="M227" s="174">
        <v>1376.8794156428476</v>
      </c>
      <c r="N227" s="164">
        <f t="shared" si="15"/>
        <v>1544.5413450944773</v>
      </c>
      <c r="O227" s="174">
        <v>6900.0468369565224</v>
      </c>
      <c r="P227" s="174">
        <v>1583.5781374260632</v>
      </c>
      <c r="Q227" s="164">
        <f t="shared" si="11"/>
        <v>1776.4096685985376</v>
      </c>
      <c r="R227" s="174">
        <v>6778.6444332298142</v>
      </c>
      <c r="S227" s="174">
        <v>123.13727232676555</v>
      </c>
      <c r="T227" s="164">
        <f t="shared" si="12"/>
        <v>138.1316374332242</v>
      </c>
      <c r="U227" s="156"/>
      <c r="V227" s="156"/>
      <c r="W227" s="156"/>
      <c r="X227" s="156"/>
      <c r="Y227" s="156"/>
      <c r="Z227" s="156"/>
      <c r="AA227" s="156"/>
      <c r="AB227" s="156"/>
      <c r="AC227" s="156"/>
      <c r="AD227" s="156"/>
      <c r="AE227" s="156"/>
    </row>
    <row r="228" spans="1:31" x14ac:dyDescent="0.25">
      <c r="A228" s="156">
        <v>2</v>
      </c>
      <c r="B228" s="156"/>
      <c r="C228" s="167">
        <f>+E228-E227</f>
        <v>242.59168475336321</v>
      </c>
      <c r="D228" s="167">
        <f>+G228-G227</f>
        <v>221.26676780269054</v>
      </c>
      <c r="E228" s="173">
        <v>500.91053116591928</v>
      </c>
      <c r="F228" s="156"/>
      <c r="G228" s="156">
        <v>459.6452949327354</v>
      </c>
      <c r="H228" s="156"/>
      <c r="I228" s="156">
        <v>169.93</v>
      </c>
      <c r="J228" s="156">
        <v>2</v>
      </c>
      <c r="K228" s="156"/>
      <c r="L228" s="174">
        <v>18109.505441201181</v>
      </c>
      <c r="M228" s="174">
        <v>1059.8182311147266</v>
      </c>
      <c r="N228" s="164">
        <f t="shared" si="15"/>
        <v>1165.3643955261578</v>
      </c>
      <c r="O228" s="174">
        <v>6398.5711338452893</v>
      </c>
      <c r="P228" s="174">
        <v>1382.5138049967145</v>
      </c>
      <c r="Q228" s="164">
        <f t="shared" si="11"/>
        <v>1520.1968765643524</v>
      </c>
      <c r="R228" s="174">
        <v>11377.755536580467</v>
      </c>
      <c r="S228" s="174">
        <v>170.80171301924597</v>
      </c>
      <c r="T228" s="164">
        <f t="shared" si="12"/>
        <v>187.81167298674148</v>
      </c>
      <c r="U228" s="156"/>
      <c r="V228" s="156"/>
      <c r="W228" s="156"/>
      <c r="X228" s="156"/>
      <c r="Y228" s="156"/>
      <c r="Z228" s="156"/>
      <c r="AA228" s="156"/>
      <c r="AB228" s="156"/>
      <c r="AC228" s="156"/>
      <c r="AD228" s="156"/>
      <c r="AE228" s="156"/>
    </row>
    <row r="229" spans="1:31" x14ac:dyDescent="0.25">
      <c r="A229" s="156">
        <v>3</v>
      </c>
      <c r="B229" s="156"/>
      <c r="C229" s="167">
        <f>+E229-E228</f>
        <v>236.3725230941705</v>
      </c>
      <c r="D229" s="167">
        <f>+G229-G228</f>
        <v>212.27484847533628</v>
      </c>
      <c r="E229" s="173">
        <v>737.28305426008978</v>
      </c>
      <c r="F229" s="156"/>
      <c r="G229" s="156">
        <v>671.92014340807168</v>
      </c>
      <c r="H229" s="156"/>
      <c r="I229" s="156">
        <v>173.29</v>
      </c>
      <c r="J229" s="156">
        <v>3</v>
      </c>
      <c r="K229" s="156"/>
      <c r="L229" s="174">
        <v>22326.885249827203</v>
      </c>
      <c r="M229" s="174">
        <v>1273.4823653547851</v>
      </c>
      <c r="N229" s="164">
        <f t="shared" si="15"/>
        <v>1373.1559098363748</v>
      </c>
      <c r="O229" s="174">
        <v>9773.5265829437976</v>
      </c>
      <c r="P229" s="174">
        <v>2006.0585934441842</v>
      </c>
      <c r="Q229" s="164">
        <f t="shared" si="11"/>
        <v>2163.0697746635087</v>
      </c>
      <c r="R229" s="174">
        <v>12116.405554623785</v>
      </c>
      <c r="S229" s="174">
        <v>170.05548935231948</v>
      </c>
      <c r="T229" s="164">
        <f t="shared" si="12"/>
        <v>183.36547608116965</v>
      </c>
      <c r="U229" s="156"/>
      <c r="V229" s="156"/>
      <c r="W229" s="156"/>
      <c r="X229" s="156"/>
      <c r="Y229" s="156"/>
      <c r="Z229" s="156"/>
      <c r="AA229" s="156"/>
      <c r="AB229" s="156"/>
      <c r="AC229" s="156"/>
      <c r="AD229" s="156"/>
      <c r="AE229" s="156"/>
    </row>
    <row r="230" spans="1:31" x14ac:dyDescent="0.25">
      <c r="A230" s="156">
        <v>4</v>
      </c>
      <c r="B230" s="156"/>
      <c r="C230" s="167">
        <f>+E230-E229</f>
        <v>270.36808991031376</v>
      </c>
      <c r="D230" s="167">
        <f>+G230-G229</f>
        <v>251.76894192825125</v>
      </c>
      <c r="E230" s="173">
        <v>1007.6511441704035</v>
      </c>
      <c r="F230" s="156"/>
      <c r="G230" s="156">
        <v>923.68908533632293</v>
      </c>
      <c r="H230" s="156"/>
      <c r="I230" s="156">
        <v>175.94</v>
      </c>
      <c r="J230" s="156">
        <v>4</v>
      </c>
      <c r="K230" s="156"/>
      <c r="L230" s="174">
        <v>24565.831590744419</v>
      </c>
      <c r="M230" s="174">
        <v>1614.069633403597</v>
      </c>
      <c r="N230" s="164">
        <f t="shared" si="15"/>
        <v>1714.1866004239994</v>
      </c>
      <c r="O230" s="174">
        <v>7886.590696433057</v>
      </c>
      <c r="P230" s="174">
        <v>1979.9688784171885</v>
      </c>
      <c r="Q230" s="164">
        <f t="shared" si="11"/>
        <v>2102.7817204405596</v>
      </c>
      <c r="R230" s="174">
        <v>10409.999344870157</v>
      </c>
      <c r="S230" s="174">
        <v>167.07536170570017</v>
      </c>
      <c r="T230" s="164">
        <f t="shared" si="12"/>
        <v>177.4386559103863</v>
      </c>
      <c r="U230" s="156"/>
      <c r="V230" s="156"/>
      <c r="W230" s="156"/>
      <c r="X230" s="156"/>
      <c r="Y230" s="156"/>
      <c r="Z230" s="156"/>
      <c r="AA230" s="156"/>
      <c r="AB230" s="156"/>
      <c r="AC230" s="156"/>
      <c r="AD230" s="156"/>
      <c r="AE230" s="156"/>
    </row>
    <row r="231" spans="1:31" x14ac:dyDescent="0.25">
      <c r="A231" s="156">
        <v>1</v>
      </c>
      <c r="B231" s="156">
        <v>2023</v>
      </c>
      <c r="C231" s="167">
        <f>E231</f>
        <v>302.38750433482812</v>
      </c>
      <c r="D231" s="167">
        <f>G231</f>
        <v>281.08376346786247</v>
      </c>
      <c r="E231" s="173">
        <v>302.38750433482812</v>
      </c>
      <c r="F231" s="156"/>
      <c r="G231" s="156">
        <v>281.08376346786247</v>
      </c>
      <c r="H231" s="156"/>
      <c r="I231" s="156">
        <v>177.06</v>
      </c>
      <c r="J231" s="156">
        <v>1</v>
      </c>
      <c r="K231" s="156">
        <v>2023</v>
      </c>
      <c r="L231" s="174">
        <v>26844.315237154147</v>
      </c>
      <c r="M231" s="174">
        <v>1582.0941255005046</v>
      </c>
      <c r="N231" s="164">
        <f t="shared" si="15"/>
        <v>1669.5993798711299</v>
      </c>
      <c r="O231" s="174">
        <v>6557.2362137681157</v>
      </c>
      <c r="P231" s="174">
        <v>1683.6496945575759</v>
      </c>
      <c r="Q231" s="164">
        <f t="shared" si="11"/>
        <v>1776.7719635924086</v>
      </c>
      <c r="R231" s="174">
        <v>7838.5406661490688</v>
      </c>
      <c r="S231" s="174">
        <v>165.33913199150732</v>
      </c>
      <c r="T231" s="164">
        <f t="shared" si="12"/>
        <v>174.48400053575918</v>
      </c>
      <c r="U231" s="156"/>
      <c r="V231" s="156"/>
      <c r="W231" s="156"/>
      <c r="X231" s="156"/>
      <c r="Y231" s="156"/>
      <c r="Z231" s="156"/>
      <c r="AA231" s="156"/>
      <c r="AB231" s="156"/>
      <c r="AC231" s="156"/>
      <c r="AD231" s="156"/>
      <c r="AE231" s="156"/>
    </row>
    <row r="232" spans="1:31" x14ac:dyDescent="0.25">
      <c r="A232" s="156">
        <v>2</v>
      </c>
      <c r="B232" s="156"/>
      <c r="C232" s="167">
        <f>+E232-E231</f>
        <v>288.71155948488058</v>
      </c>
      <c r="D232" s="167">
        <f>+G232-G231</f>
        <v>265.48782727255423</v>
      </c>
      <c r="E232" s="173">
        <v>591.0990638197087</v>
      </c>
      <c r="F232" s="156"/>
      <c r="G232" s="156">
        <v>546.5715907404167</v>
      </c>
      <c r="H232" s="156"/>
      <c r="I232" s="156">
        <v>181.26</v>
      </c>
      <c r="J232" s="156">
        <v>2</v>
      </c>
      <c r="K232" s="156"/>
      <c r="L232" s="174">
        <v>22123.086754773376</v>
      </c>
      <c r="M232" s="174">
        <v>1398.957775556506</v>
      </c>
      <c r="N232" s="164">
        <f t="shared" si="15"/>
        <v>1442.1254710518197</v>
      </c>
      <c r="O232" s="174">
        <v>6814.816473074854</v>
      </c>
      <c r="P232" s="174">
        <v>1941.9673661105644</v>
      </c>
      <c r="Q232" s="164">
        <f t="shared" si="11"/>
        <v>2001.8907300510878</v>
      </c>
      <c r="R232" s="174">
        <v>11351.137162897225</v>
      </c>
      <c r="S232" s="174">
        <v>179.38444250725087</v>
      </c>
      <c r="T232" s="164">
        <f t="shared" si="12"/>
        <v>184.91971535540327</v>
      </c>
      <c r="U232" s="156"/>
      <c r="V232" s="156"/>
      <c r="W232" s="156"/>
      <c r="X232" s="156"/>
      <c r="Y232" s="156"/>
      <c r="Z232" s="156"/>
      <c r="AA232" s="156"/>
      <c r="AB232" s="156"/>
      <c r="AC232" s="156"/>
      <c r="AD232" s="156"/>
      <c r="AE232" s="156"/>
    </row>
    <row r="233" spans="1:31" x14ac:dyDescent="0.25">
      <c r="A233" s="156">
        <v>3</v>
      </c>
      <c r="B233" s="156"/>
      <c r="C233" s="167">
        <f>+E233-E232</f>
        <v>250.48845860181598</v>
      </c>
      <c r="D233" s="167">
        <f>+G233-G232</f>
        <v>227.83168719680316</v>
      </c>
      <c r="E233" s="173">
        <v>841.58752242152468</v>
      </c>
      <c r="F233" s="156"/>
      <c r="G233" s="156">
        <v>774.40327793721985</v>
      </c>
      <c r="H233" s="156"/>
      <c r="I233" s="156">
        <v>181.68</v>
      </c>
      <c r="J233" s="156">
        <v>3</v>
      </c>
      <c r="K233" s="156"/>
      <c r="L233" s="174">
        <v>33547.567308467726</v>
      </c>
      <c r="M233" s="174">
        <v>2612.7571270405015</v>
      </c>
      <c r="N233" s="164">
        <f t="shared" si="15"/>
        <v>2687.1526394440584</v>
      </c>
      <c r="O233" s="174">
        <v>7564.7841240265989</v>
      </c>
      <c r="P233" s="174">
        <v>1372.5685528481158</v>
      </c>
      <c r="Q233" s="164">
        <f t="shared" si="11"/>
        <v>1411.6509994105363</v>
      </c>
      <c r="R233" s="174">
        <v>12525.795886792215</v>
      </c>
      <c r="S233" s="174">
        <v>237.01173448389176</v>
      </c>
      <c r="T233" s="164">
        <f t="shared" si="12"/>
        <v>243.76039445312415</v>
      </c>
      <c r="U233" s="156"/>
      <c r="V233" s="156"/>
      <c r="W233" s="156"/>
      <c r="X233" s="156"/>
      <c r="Y233" s="156"/>
      <c r="Z233" s="156"/>
      <c r="AA233" s="156"/>
      <c r="AB233" s="156"/>
      <c r="AC233" s="156"/>
      <c r="AD233" s="156"/>
      <c r="AE233" s="156"/>
    </row>
    <row r="234" spans="1:31" x14ac:dyDescent="0.25">
      <c r="A234" s="156">
        <v>4</v>
      </c>
      <c r="B234" s="156"/>
      <c r="C234" s="167">
        <f>+E234-E233</f>
        <v>247.76441726457392</v>
      </c>
      <c r="D234" s="167">
        <f>+G234-G233</f>
        <v>222.81360381165916</v>
      </c>
      <c r="E234" s="173">
        <v>1089.3519396860986</v>
      </c>
      <c r="F234" s="156"/>
      <c r="G234" s="156">
        <v>997.21688174887902</v>
      </c>
      <c r="H234" s="156"/>
      <c r="I234" s="156">
        <v>184.34</v>
      </c>
      <c r="J234" s="156">
        <v>4</v>
      </c>
      <c r="K234" s="156"/>
      <c r="L234" s="174">
        <v>27405.288644268774</v>
      </c>
      <c r="M234" s="174">
        <v>2102.9314483628059</v>
      </c>
      <c r="N234" s="164">
        <f>M234/I234*$I$69</f>
        <v>2131.6011666044174</v>
      </c>
      <c r="O234" s="174">
        <v>10671.830522463766</v>
      </c>
      <c r="P234" s="174">
        <v>2024.5509335669321</v>
      </c>
      <c r="Q234" s="164">
        <f t="shared" si="11"/>
        <v>2052.1520733360594</v>
      </c>
      <c r="R234" s="174">
        <v>9988.9312779503089</v>
      </c>
      <c r="S234" s="174">
        <v>189.8273559912875</v>
      </c>
      <c r="T234" s="164">
        <f t="shared" si="12"/>
        <v>192.41531329967114</v>
      </c>
      <c r="U234" s="156"/>
      <c r="V234" s="156"/>
      <c r="W234" s="156"/>
      <c r="X234" s="156"/>
      <c r="Y234" s="156"/>
      <c r="Z234" s="156"/>
      <c r="AA234" s="156"/>
      <c r="AB234" s="156"/>
      <c r="AC234" s="156"/>
      <c r="AD234" s="156"/>
      <c r="AE234" s="156"/>
    </row>
    <row r="235" spans="1:31" x14ac:dyDescent="0.25">
      <c r="A235" s="156">
        <v>1</v>
      </c>
      <c r="B235" s="156">
        <v>2024</v>
      </c>
      <c r="C235" s="167">
        <f>E235</f>
        <v>322.60336023916295</v>
      </c>
      <c r="D235" s="167">
        <f>G235</f>
        <v>297.48140819133039</v>
      </c>
      <c r="E235" s="173">
        <v>322.60336023916295</v>
      </c>
      <c r="F235" s="156"/>
      <c r="G235" s="156">
        <v>297.48140819133039</v>
      </c>
      <c r="H235" s="156"/>
      <c r="I235" s="156">
        <v>185.03</v>
      </c>
      <c r="J235" s="156">
        <v>1</v>
      </c>
      <c r="K235" s="156">
        <v>2024</v>
      </c>
      <c r="L235" s="174">
        <v>43293.220189723317</v>
      </c>
      <c r="M235" s="174">
        <v>2872.2760083969697</v>
      </c>
      <c r="N235" s="164">
        <f>M235/I235*$I$69</f>
        <v>2900.5772643440105</v>
      </c>
      <c r="O235" s="174">
        <v>8194.415441304347</v>
      </c>
      <c r="P235" s="174">
        <v>1770.5452152039006</v>
      </c>
      <c r="Q235" s="164">
        <f>P235/I235*$I$69</f>
        <v>1787.9908413048754</v>
      </c>
      <c r="R235" s="174">
        <v>8331.0396847826087</v>
      </c>
      <c r="S235" s="174">
        <v>172.94986992488299</v>
      </c>
      <c r="T235" s="164">
        <f t="shared" si="12"/>
        <v>174.65398837326401</v>
      </c>
      <c r="U235" s="156"/>
      <c r="V235" s="156"/>
      <c r="W235" s="156"/>
      <c r="X235" s="156"/>
      <c r="Y235" s="156"/>
      <c r="Z235" s="156"/>
      <c r="AA235" s="156"/>
      <c r="AB235" s="156"/>
      <c r="AC235" s="156"/>
      <c r="AD235" s="156"/>
      <c r="AE235" s="156"/>
    </row>
    <row r="236" spans="1:31" x14ac:dyDescent="0.25">
      <c r="A236" s="156">
        <v>2</v>
      </c>
      <c r="B236" s="156"/>
      <c r="C236" s="167">
        <f>+E236-E235</f>
        <v>289.48796913303443</v>
      </c>
      <c r="D236" s="167">
        <f>+G236-G235</f>
        <v>264.11916530642736</v>
      </c>
      <c r="E236" s="173">
        <v>612.09132937219738</v>
      </c>
      <c r="F236" s="156"/>
      <c r="G236" s="156">
        <v>561.60057349775775</v>
      </c>
      <c r="H236" s="156"/>
      <c r="I236" s="156">
        <v>186.71</v>
      </c>
      <c r="J236" s="156">
        <v>2</v>
      </c>
      <c r="K236" s="156"/>
      <c r="L236" s="174">
        <v>24161.997458923011</v>
      </c>
      <c r="M236" s="174">
        <v>1504.0339358976944</v>
      </c>
      <c r="N236" s="164">
        <f>M236/I236*$I$69</f>
        <v>1505.1870500630951</v>
      </c>
      <c r="O236" s="174">
        <v>9625.8553342463492</v>
      </c>
      <c r="P236" s="174">
        <v>1935.0301376483139</v>
      </c>
      <c r="Q236" s="164">
        <f>P236/I236*$I$69</f>
        <v>1936.5136883907164</v>
      </c>
      <c r="R236" s="174">
        <v>12716.960746992983</v>
      </c>
      <c r="S236" s="174">
        <v>215.56727929065954</v>
      </c>
      <c r="T236" s="164">
        <f>S236/I236*$I$69</f>
        <v>215.73255061693357</v>
      </c>
      <c r="U236" s="156"/>
      <c r="V236" s="156"/>
      <c r="W236" s="156"/>
      <c r="X236" s="156"/>
      <c r="Y236" s="156"/>
      <c r="Z236" s="156"/>
      <c r="AA236" s="156"/>
      <c r="AB236" s="156"/>
      <c r="AC236" s="156"/>
      <c r="AD236" s="156"/>
      <c r="AE236" s="156"/>
    </row>
    <row r="237" spans="1:31" x14ac:dyDescent="0.25">
      <c r="A237" s="156">
        <v>3</v>
      </c>
      <c r="B237" s="156"/>
      <c r="C237" s="167">
        <f>+E237-E236</f>
        <v>303.40149304932731</v>
      </c>
      <c r="D237" s="167">
        <f>+G237-G236</f>
        <v>277.61400443946195</v>
      </c>
      <c r="E237" s="173">
        <v>915.49282242152469</v>
      </c>
      <c r="F237" s="156"/>
      <c r="G237" s="156">
        <v>839.2145779372197</v>
      </c>
      <c r="H237" s="156"/>
      <c r="I237" s="156">
        <v>186.43</v>
      </c>
      <c r="J237" s="156">
        <v>3</v>
      </c>
      <c r="K237" s="156"/>
      <c r="L237" s="174">
        <v>27298.711137914943</v>
      </c>
      <c r="M237" s="174">
        <v>1749.5900654694415</v>
      </c>
      <c r="N237" s="164">
        <f>M237/I237*$I$69</f>
        <v>1753.56117412917</v>
      </c>
      <c r="O237" s="174">
        <v>10461.248100536261</v>
      </c>
      <c r="P237" s="174">
        <v>1667.1237032477056</v>
      </c>
      <c r="Q237" s="164">
        <f>P237/I237*$I$69</f>
        <v>1670.9076349843263</v>
      </c>
      <c r="R237" s="174">
        <v>12883.282523193357</v>
      </c>
      <c r="S237" s="174">
        <v>214.21014735071765</v>
      </c>
      <c r="T237" s="164">
        <f>S237/I237*$I$69</f>
        <v>214.69634796875667</v>
      </c>
      <c r="U237" s="156"/>
      <c r="V237" s="156"/>
      <c r="W237" s="156"/>
      <c r="X237" s="156"/>
      <c r="Y237" s="156"/>
      <c r="Z237" s="156"/>
      <c r="AA237" s="156"/>
      <c r="AB237" s="156"/>
      <c r="AC237" s="156"/>
      <c r="AD237" s="156"/>
      <c r="AE237" s="156"/>
    </row>
    <row r="238" spans="1:31" x14ac:dyDescent="0.25">
      <c r="A238" s="156">
        <v>4</v>
      </c>
      <c r="B238" s="156"/>
      <c r="C238" s="167">
        <f>+E238-E237</f>
        <v>228.11244080717495</v>
      </c>
      <c r="D238" s="167">
        <f>+G238-G237</f>
        <v>207.57469264574001</v>
      </c>
      <c r="E238" s="173">
        <v>1143.6052632286996</v>
      </c>
      <c r="F238" s="156"/>
      <c r="G238" s="156">
        <v>1046.7892705829597</v>
      </c>
      <c r="H238" s="156"/>
      <c r="I238" s="175">
        <v>188.1</v>
      </c>
      <c r="J238" s="156">
        <v>4</v>
      </c>
      <c r="K238" s="156"/>
      <c r="L238" s="174">
        <v>23779.642928853747</v>
      </c>
      <c r="M238" s="174">
        <v>1421.6918382109452</v>
      </c>
      <c r="N238" s="164">
        <f>M238/I238*$I$69</f>
        <v>1412.2679108661882</v>
      </c>
      <c r="O238" s="174">
        <v>7310.8396253623141</v>
      </c>
      <c r="P238" s="174">
        <v>1703.9962397508298</v>
      </c>
      <c r="Q238" s="164">
        <f>P238/I238*$I$69</f>
        <v>1692.7010094290754</v>
      </c>
      <c r="R238" s="174">
        <v>10798.094318322972</v>
      </c>
      <c r="S238" s="174">
        <v>198.23738857355551</v>
      </c>
      <c r="T238" s="164">
        <f>S238/I238*$I$69</f>
        <v>196.92333816071607</v>
      </c>
      <c r="U238" s="156"/>
      <c r="V238" s="156"/>
      <c r="W238" s="156"/>
      <c r="X238" s="156"/>
      <c r="Y238" s="156"/>
      <c r="Z238" s="156"/>
      <c r="AA238" s="156"/>
      <c r="AB238" s="156"/>
      <c r="AC238" s="156"/>
      <c r="AD238" s="156"/>
      <c r="AE238" s="156"/>
    </row>
    <row r="239" spans="1:31" x14ac:dyDescent="0.25">
      <c r="A239" s="156">
        <v>1</v>
      </c>
      <c r="B239" s="156">
        <v>2025</v>
      </c>
      <c r="C239" s="167">
        <f>E239</f>
        <v>299.44390000000004</v>
      </c>
      <c r="D239" s="167">
        <f>G239</f>
        <v>276.7799</v>
      </c>
      <c r="E239" s="173">
        <v>299.44390000000004</v>
      </c>
      <c r="F239" s="156"/>
      <c r="G239" s="156">
        <v>276.7799</v>
      </c>
      <c r="H239" s="156"/>
      <c r="I239" s="175">
        <v>190.30333333333337</v>
      </c>
      <c r="J239" s="156">
        <v>1</v>
      </c>
      <c r="K239" s="156">
        <v>2025</v>
      </c>
      <c r="L239" s="174">
        <v>26747</v>
      </c>
      <c r="M239" s="174">
        <v>1877.8559882720301</v>
      </c>
      <c r="N239" s="164">
        <f t="shared" si="15"/>
        <v>1843.810588471513</v>
      </c>
      <c r="O239" s="174">
        <v>7505</v>
      </c>
      <c r="P239" s="174">
        <v>2140.8457832602599</v>
      </c>
      <c r="Q239" s="164">
        <f t="shared" si="11"/>
        <v>2102.0323965801585</v>
      </c>
      <c r="R239" s="174">
        <v>7900</v>
      </c>
      <c r="S239" s="174">
        <v>185.42141029286321</v>
      </c>
      <c r="T239" s="164">
        <f t="shared" si="12"/>
        <v>182.05973288819433</v>
      </c>
      <c r="U239" s="156"/>
      <c r="V239" s="156"/>
      <c r="W239" s="156"/>
      <c r="X239" s="156"/>
      <c r="Y239" s="156"/>
      <c r="Z239" s="156"/>
      <c r="AA239" s="156"/>
      <c r="AB239" s="156"/>
      <c r="AC239" s="156"/>
      <c r="AD239" s="156"/>
      <c r="AE239" s="156"/>
    </row>
    <row r="240" spans="1:31" x14ac:dyDescent="0.25">
      <c r="A240" s="156">
        <v>2</v>
      </c>
      <c r="B240" s="156"/>
      <c r="C240" s="167">
        <f>+E240-E239</f>
        <v>278.92194999999998</v>
      </c>
      <c r="D240" s="167">
        <f>+G240-G239</f>
        <v>255.72495000000004</v>
      </c>
      <c r="E240" s="173">
        <v>578.36585000000002</v>
      </c>
      <c r="F240" s="156"/>
      <c r="G240" s="156">
        <v>532.50485000000003</v>
      </c>
      <c r="H240" s="156"/>
      <c r="I240" s="175">
        <v>192.21445199999999</v>
      </c>
      <c r="J240" s="156">
        <v>2</v>
      </c>
      <c r="K240" s="156"/>
      <c r="L240" s="174">
        <v>19398</v>
      </c>
      <c r="M240" s="174">
        <v>1267.6807973289128</v>
      </c>
      <c r="N240" s="164">
        <f>M240/I240*$I$69</f>
        <v>1232.3222520873539</v>
      </c>
      <c r="O240" s="174">
        <v>5920</v>
      </c>
      <c r="P240" s="174">
        <v>2002.4463205334105</v>
      </c>
      <c r="Q240" s="164">
        <f>P240/I240*$I$69</f>
        <v>1946.5934678534913</v>
      </c>
      <c r="R240" s="174">
        <v>11083</v>
      </c>
      <c r="S240" s="174">
        <v>190.28927872176914</v>
      </c>
      <c r="T240" s="164">
        <f>S240/I240*$I$69</f>
        <v>184.98167125083137</v>
      </c>
      <c r="U240" s="156"/>
      <c r="V240" s="156"/>
      <c r="W240" s="156"/>
      <c r="X240" s="156"/>
      <c r="Y240" s="156"/>
      <c r="Z240" s="156"/>
      <c r="AA240" s="156"/>
      <c r="AB240" s="156"/>
      <c r="AC240" s="156"/>
      <c r="AD240" s="156"/>
      <c r="AE240" s="156"/>
    </row>
    <row r="241" spans="1:31" x14ac:dyDescent="0.25">
      <c r="A241" s="156"/>
      <c r="B241" s="156"/>
      <c r="C241" s="167"/>
      <c r="D241" s="167"/>
      <c r="E241" s="173"/>
      <c r="F241" s="156"/>
      <c r="G241" s="156"/>
      <c r="H241" s="156"/>
      <c r="I241" s="156"/>
      <c r="J241" s="156"/>
      <c r="K241" s="156"/>
      <c r="L241" s="174"/>
      <c r="M241" s="174"/>
      <c r="N241" s="164"/>
      <c r="O241" s="174"/>
      <c r="P241" s="174"/>
      <c r="Q241" s="164"/>
      <c r="R241" s="174"/>
      <c r="S241" s="174"/>
      <c r="T241" s="164"/>
      <c r="U241" s="156"/>
      <c r="V241" s="156"/>
      <c r="W241" s="156"/>
      <c r="X241" s="156"/>
      <c r="Y241" s="156"/>
      <c r="Z241" s="156"/>
      <c r="AA241" s="156"/>
      <c r="AB241" s="156"/>
      <c r="AC241" s="156"/>
      <c r="AD241" s="156"/>
      <c r="AE241" s="156"/>
    </row>
    <row r="242" spans="1:31" x14ac:dyDescent="0.25">
      <c r="A242" s="156"/>
      <c r="B242" s="156"/>
      <c r="C242" s="167"/>
      <c r="D242" s="156"/>
      <c r="E242" s="176" t="s">
        <v>110</v>
      </c>
      <c r="F242" s="156"/>
      <c r="G242" s="156"/>
      <c r="H242" s="156"/>
      <c r="I242" s="156"/>
      <c r="J242" s="177"/>
      <c r="K242" s="178" t="s">
        <v>160</v>
      </c>
      <c r="L242" s="179">
        <f>L244-L239</f>
        <v>19398</v>
      </c>
      <c r="M242" s="179">
        <f>M244-M239</f>
        <v>1267.6807973289128</v>
      </c>
      <c r="N242" s="180" t="s">
        <v>174</v>
      </c>
      <c r="O242" s="179">
        <f>O244-O239</f>
        <v>5920</v>
      </c>
      <c r="P242" s="179">
        <f>P244-P239</f>
        <v>2002.4463205334105</v>
      </c>
      <c r="Q242" s="180" t="s">
        <v>174</v>
      </c>
      <c r="R242" s="179">
        <f>R244-R239</f>
        <v>11083</v>
      </c>
      <c r="S242" s="179">
        <f>S244-S239</f>
        <v>190.28927872176914</v>
      </c>
      <c r="T242" s="181" t="s">
        <v>174</v>
      </c>
      <c r="U242" s="156"/>
      <c r="V242" s="156"/>
      <c r="W242" s="156"/>
      <c r="X242" s="156"/>
      <c r="Y242" s="156"/>
      <c r="Z242" s="156"/>
      <c r="AA242" s="156"/>
      <c r="AB242" s="156"/>
      <c r="AC242" s="156"/>
      <c r="AD242" s="156"/>
      <c r="AE242" s="156"/>
    </row>
    <row r="243" spans="1:31" x14ac:dyDescent="0.25">
      <c r="A243" s="156"/>
      <c r="B243" s="156"/>
      <c r="C243" s="156"/>
      <c r="D243" s="156"/>
      <c r="E243" s="173">
        <f>IF('Tab5'!E8="",'Tab5'!E7,'Tab5'!E8)/1000</f>
        <v>578.36585000000002</v>
      </c>
      <c r="F243" s="156"/>
      <c r="G243" s="173">
        <f>IF('Tab5'!E10="",'Tab5'!E9,'Tab5'!E10)/1000</f>
        <v>532.50485000000003</v>
      </c>
      <c r="H243" s="156"/>
      <c r="I243" s="156"/>
      <c r="J243" s="156"/>
      <c r="K243" s="162" t="s">
        <v>188</v>
      </c>
      <c r="L243" s="182">
        <f>SUM('Tab7'!E11,'Tab11'!E11)</f>
        <v>89148.222879544875</v>
      </c>
      <c r="M243" s="183">
        <f>SUM('Tab7'!E39,'Tab11'!E39)</f>
        <v>6336.5844725512216</v>
      </c>
      <c r="N243" s="184" t="s">
        <v>173</v>
      </c>
      <c r="O243" s="182">
        <f>SUM('Tab7'!E9,'Tab11'!E9)</f>
        <v>28770.302096881398</v>
      </c>
      <c r="P243" s="183">
        <f>SUM('Tab7'!E37,'Tab11'!E37)</f>
        <v>8154.0336207751088</v>
      </c>
      <c r="Q243" s="184" t="s">
        <v>173</v>
      </c>
      <c r="R243" s="182">
        <f>SUM('Tab7'!E13,'Tab11'!E13)</f>
        <v>40935.145606990438</v>
      </c>
      <c r="S243" s="183">
        <f>SUM('Tab7'!E41,'Tab11'!E41)</f>
        <v>798.5283679507736</v>
      </c>
      <c r="T243" s="185" t="s">
        <v>173</v>
      </c>
      <c r="U243" s="156"/>
      <c r="V243" s="156"/>
      <c r="W243" s="156"/>
      <c r="X243" s="156"/>
      <c r="Y243" s="156"/>
      <c r="Z243" s="156"/>
      <c r="AA243" s="156"/>
      <c r="AB243" s="156"/>
      <c r="AC243" s="156"/>
      <c r="AD243" s="156"/>
      <c r="AE243" s="156"/>
    </row>
    <row r="244" spans="1:31" x14ac:dyDescent="0.25">
      <c r="A244" s="156"/>
      <c r="B244" s="156"/>
      <c r="C244" s="156"/>
      <c r="D244" s="156"/>
      <c r="E244" s="156"/>
      <c r="F244" s="156"/>
      <c r="G244" s="156"/>
      <c r="H244" s="156"/>
      <c r="I244" s="156"/>
      <c r="J244" s="156"/>
      <c r="K244" s="162" t="s">
        <v>187</v>
      </c>
      <c r="L244" s="182">
        <f>SUM('Tab7'!E12,'Tab11'!E12)</f>
        <v>46145</v>
      </c>
      <c r="M244" s="183">
        <f>SUM('Tab7'!E40,'Tab11'!E40)</f>
        <v>3145.5367856009429</v>
      </c>
      <c r="N244" s="184" t="s">
        <v>173</v>
      </c>
      <c r="O244" s="182">
        <f>SUM('Tab7'!E10,'Tab11'!E10)</f>
        <v>13425</v>
      </c>
      <c r="P244" s="183">
        <f>SUM('Tab7'!E38,'Tab11'!E38)</f>
        <v>4143.2921037936703</v>
      </c>
      <c r="Q244" s="184" t="s">
        <v>173</v>
      </c>
      <c r="R244" s="182">
        <f>SUM('Tab7'!E14,'Tab11'!E14)</f>
        <v>18983</v>
      </c>
      <c r="S244" s="183">
        <f>SUM('Tab7'!E42,'Tab11'!E42)</f>
        <v>375.71068901463235</v>
      </c>
      <c r="T244" s="185" t="s">
        <v>173</v>
      </c>
      <c r="U244" s="156"/>
      <c r="V244" s="156"/>
      <c r="W244" s="156"/>
      <c r="X244" s="156"/>
      <c r="Y244" s="156"/>
      <c r="Z244" s="156"/>
      <c r="AA244" s="156"/>
      <c r="AB244" s="156"/>
      <c r="AC244" s="156"/>
      <c r="AD244" s="156"/>
      <c r="AE244" s="156"/>
    </row>
    <row r="245" spans="1:31" x14ac:dyDescent="0.25">
      <c r="A245" s="156"/>
      <c r="B245" s="156"/>
      <c r="C245" s="156"/>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E245" s="156"/>
    </row>
    <row r="246" spans="1:31" x14ac:dyDescent="0.25">
      <c r="A246" s="156"/>
      <c r="B246" s="156"/>
      <c r="C246" s="156"/>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c r="AE246" s="156"/>
    </row>
    <row r="247" spans="1:31" x14ac:dyDescent="0.25">
      <c r="A247" s="156"/>
      <c r="B247" s="156"/>
      <c r="C247" s="156"/>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E247" s="156"/>
    </row>
    <row r="248" spans="1:31" x14ac:dyDescent="0.25">
      <c r="A248" s="156"/>
      <c r="B248" s="156"/>
      <c r="C248" s="156"/>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c r="AE248" s="156"/>
    </row>
    <row r="249" spans="1:31" x14ac:dyDescent="0.25">
      <c r="A249" s="156"/>
      <c r="B249" s="156"/>
      <c r="C249" s="156"/>
      <c r="D249" s="156"/>
      <c r="E249" s="156"/>
      <c r="F249" s="156"/>
      <c r="G249" s="156"/>
      <c r="H249" s="156"/>
      <c r="I249" s="156"/>
      <c r="J249" s="156"/>
      <c r="K249" s="156"/>
      <c r="L249" s="156"/>
      <c r="M249" s="156"/>
      <c r="N249" s="156"/>
      <c r="O249" s="156"/>
      <c r="P249" s="156"/>
      <c r="Q249" s="156"/>
      <c r="R249" s="156"/>
      <c r="S249" s="156"/>
      <c r="T249" s="156"/>
      <c r="U249" s="156"/>
      <c r="V249" s="156"/>
      <c r="W249" s="156"/>
      <c r="X249" s="156"/>
      <c r="Y249" s="156"/>
      <c r="Z249" s="156"/>
      <c r="AA249" s="156"/>
      <c r="AB249" s="156"/>
      <c r="AC249" s="156"/>
      <c r="AD249" s="156"/>
      <c r="AE249" s="156"/>
    </row>
    <row r="250" spans="1:31" x14ac:dyDescent="0.25">
      <c r="A250" s="156"/>
      <c r="B250" s="156"/>
      <c r="C250" s="156"/>
      <c r="D250" s="156"/>
      <c r="E250" s="156"/>
      <c r="F250" s="156"/>
      <c r="G250" s="156"/>
      <c r="H250" s="156"/>
      <c r="I250" s="156"/>
      <c r="J250" s="156"/>
      <c r="K250" s="156"/>
      <c r="L250" s="156"/>
      <c r="M250" s="156"/>
      <c r="N250" s="156"/>
      <c r="O250" s="156"/>
      <c r="P250" s="156"/>
      <c r="Q250" s="156"/>
      <c r="R250" s="156"/>
      <c r="S250" s="156"/>
      <c r="T250" s="156"/>
      <c r="U250" s="156"/>
      <c r="V250" s="156"/>
      <c r="W250" s="156"/>
      <c r="X250" s="156"/>
      <c r="Y250" s="156"/>
      <c r="Z250" s="156"/>
      <c r="AA250" s="156"/>
      <c r="AB250" s="156"/>
      <c r="AC250" s="156"/>
      <c r="AD250" s="156"/>
      <c r="AE250" s="156"/>
    </row>
    <row r="251" spans="1:31" x14ac:dyDescent="0.25">
      <c r="A251" s="156"/>
      <c r="B251" s="156"/>
      <c r="C251" s="156"/>
      <c r="D251" s="156"/>
      <c r="E251" s="156"/>
      <c r="F251" s="156"/>
      <c r="G251" s="156"/>
      <c r="H251" s="156"/>
      <c r="I251" s="156"/>
      <c r="J251" s="156"/>
      <c r="K251" s="156"/>
      <c r="L251" s="156"/>
      <c r="M251" s="156"/>
      <c r="N251" s="156"/>
      <c r="O251" s="156"/>
      <c r="P251" s="156"/>
      <c r="Q251" s="156"/>
      <c r="R251" s="156"/>
      <c r="S251" s="156"/>
      <c r="T251" s="156"/>
      <c r="U251" s="156"/>
      <c r="V251" s="156"/>
      <c r="W251" s="156"/>
      <c r="X251" s="156"/>
      <c r="Y251" s="156"/>
      <c r="Z251" s="156"/>
      <c r="AA251" s="156"/>
      <c r="AB251" s="156"/>
      <c r="AC251" s="156"/>
      <c r="AD251" s="156"/>
      <c r="AE251" s="156"/>
    </row>
    <row r="252" spans="1:31" x14ac:dyDescent="0.25">
      <c r="A252" s="156"/>
      <c r="B252" s="156"/>
      <c r="C252" s="156"/>
      <c r="D252" s="156"/>
      <c r="E252" s="156"/>
      <c r="F252" s="156"/>
      <c r="G252" s="156"/>
      <c r="H252" s="156"/>
      <c r="I252" s="156"/>
      <c r="J252" s="156"/>
      <c r="K252" s="156"/>
      <c r="L252" s="156"/>
      <c r="M252" s="156"/>
      <c r="N252" s="156"/>
      <c r="O252" s="156"/>
      <c r="P252" s="156"/>
      <c r="Q252" s="156"/>
      <c r="R252" s="156"/>
      <c r="S252" s="156"/>
      <c r="T252" s="156"/>
      <c r="U252" s="156"/>
      <c r="V252" s="156"/>
      <c r="W252" s="156"/>
      <c r="X252" s="156"/>
      <c r="Y252" s="156"/>
      <c r="Z252" s="156"/>
      <c r="AA252" s="156"/>
      <c r="AB252" s="156"/>
      <c r="AC252" s="156"/>
      <c r="AD252" s="156"/>
      <c r="AE252" s="156"/>
    </row>
    <row r="253" spans="1:31" x14ac:dyDescent="0.25">
      <c r="A253" s="156"/>
      <c r="B253" s="156"/>
      <c r="C253" s="156"/>
      <c r="D253" s="156"/>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c r="AD253" s="156"/>
      <c r="AE253" s="156"/>
    </row>
    <row r="254" spans="1:31" x14ac:dyDescent="0.25">
      <c r="A254" s="156"/>
      <c r="B254" s="156"/>
      <c r="C254" s="156"/>
      <c r="D254" s="156"/>
      <c r="E254" s="156"/>
      <c r="F254" s="156"/>
      <c r="G254" s="156"/>
      <c r="H254" s="156"/>
      <c r="I254" s="156"/>
      <c r="J254" s="156"/>
      <c r="K254" s="156"/>
      <c r="L254" s="156"/>
      <c r="M254" s="156"/>
      <c r="N254" s="156"/>
      <c r="O254" s="156"/>
      <c r="P254" s="156"/>
      <c r="Q254" s="156"/>
      <c r="R254" s="156"/>
      <c r="S254" s="156"/>
      <c r="T254" s="156"/>
      <c r="U254" s="156"/>
      <c r="V254" s="156"/>
      <c r="W254" s="156"/>
      <c r="X254" s="156"/>
      <c r="Y254" s="156"/>
      <c r="Z254" s="156"/>
      <c r="AA254" s="156"/>
      <c r="AB254" s="156"/>
      <c r="AC254" s="156"/>
      <c r="AD254" s="156"/>
      <c r="AE254" s="156"/>
    </row>
    <row r="255" spans="1:31" x14ac:dyDescent="0.25">
      <c r="A255" s="156"/>
      <c r="B255" s="156"/>
      <c r="C255" s="156"/>
      <c r="D255" s="156"/>
      <c r="E255" s="156"/>
      <c r="F255" s="156"/>
      <c r="G255" s="156"/>
      <c r="H255" s="156"/>
      <c r="I255" s="156"/>
      <c r="J255" s="156"/>
      <c r="K255" s="156"/>
      <c r="L255" s="156"/>
      <c r="M255" s="156"/>
      <c r="N255" s="156"/>
      <c r="O255" s="156"/>
      <c r="P255" s="156"/>
      <c r="Q255" s="156"/>
      <c r="R255" s="156"/>
      <c r="S255" s="156"/>
      <c r="T255" s="156"/>
      <c r="U255" s="156"/>
      <c r="V255" s="156"/>
      <c r="W255" s="156"/>
      <c r="X255" s="156"/>
      <c r="Y255" s="156"/>
      <c r="Z255" s="156"/>
      <c r="AA255" s="156"/>
      <c r="AB255" s="156"/>
      <c r="AC255" s="156"/>
      <c r="AD255" s="156"/>
      <c r="AE255" s="156"/>
    </row>
    <row r="256" spans="1:31" x14ac:dyDescent="0.25">
      <c r="A256" s="156"/>
      <c r="B256" s="156"/>
      <c r="C256" s="156"/>
      <c r="D256" s="156"/>
      <c r="E256" s="156"/>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6"/>
      <c r="AE256" s="156"/>
    </row>
    <row r="257" spans="1:31" x14ac:dyDescent="0.25">
      <c r="A257" s="156"/>
      <c r="B257" s="156"/>
      <c r="C257" s="156"/>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c r="AE257" s="156"/>
    </row>
    <row r="258" spans="1:31" x14ac:dyDescent="0.25">
      <c r="A258" s="156"/>
      <c r="B258" s="156"/>
      <c r="C258" s="156"/>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c r="AE258" s="156"/>
    </row>
    <row r="259" spans="1:31" x14ac:dyDescent="0.25">
      <c r="A259" s="156"/>
      <c r="B259" s="156"/>
      <c r="C259" s="156"/>
      <c r="D259" s="156"/>
      <c r="E259" s="156"/>
      <c r="F259" s="156"/>
      <c r="G259" s="156"/>
      <c r="H259" s="156"/>
      <c r="I259" s="156"/>
      <c r="J259" s="156"/>
      <c r="K259" s="156"/>
      <c r="L259" s="156"/>
      <c r="M259" s="156"/>
      <c r="N259" s="156"/>
      <c r="O259" s="156"/>
      <c r="P259" s="156"/>
      <c r="Q259" s="156"/>
      <c r="R259" s="156"/>
      <c r="S259" s="156"/>
      <c r="T259" s="156"/>
      <c r="U259" s="156"/>
      <c r="V259" s="156"/>
      <c r="W259" s="156"/>
      <c r="X259" s="156"/>
      <c r="Y259" s="156"/>
      <c r="Z259" s="156"/>
      <c r="AA259" s="156"/>
      <c r="AB259" s="156"/>
      <c r="AC259" s="156"/>
      <c r="AD259" s="156"/>
      <c r="AE259" s="156"/>
    </row>
    <row r="260" spans="1:31" x14ac:dyDescent="0.25">
      <c r="A260" s="156"/>
      <c r="B260" s="156"/>
      <c r="C260" s="156"/>
      <c r="D260" s="156"/>
      <c r="E260" s="156"/>
      <c r="F260" s="156"/>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6"/>
      <c r="AE260" s="156"/>
    </row>
    <row r="261" spans="1:31" x14ac:dyDescent="0.25">
      <c r="A261" s="156"/>
      <c r="B261" s="156"/>
      <c r="C261" s="156"/>
      <c r="D261" s="156"/>
      <c r="E261" s="156"/>
      <c r="F261" s="156"/>
      <c r="G261" s="156"/>
      <c r="H261" s="156"/>
      <c r="I261" s="156"/>
      <c r="J261" s="156"/>
      <c r="K261" s="156"/>
      <c r="L261" s="156"/>
      <c r="M261" s="156"/>
      <c r="N261" s="156"/>
      <c r="O261" s="156"/>
      <c r="P261" s="156"/>
      <c r="Q261" s="156"/>
      <c r="R261" s="156"/>
      <c r="S261" s="156"/>
      <c r="T261" s="156"/>
      <c r="U261" s="156"/>
      <c r="V261" s="156"/>
      <c r="W261" s="156"/>
      <c r="X261" s="156"/>
      <c r="Y261" s="156"/>
      <c r="Z261" s="156"/>
      <c r="AA261" s="156"/>
      <c r="AB261" s="156"/>
      <c r="AC261" s="156"/>
      <c r="AD261" s="156"/>
      <c r="AE261" s="156"/>
    </row>
    <row r="262" spans="1:31" x14ac:dyDescent="0.25">
      <c r="A262" s="156"/>
      <c r="B262" s="156"/>
      <c r="C262" s="156"/>
      <c r="D262" s="156"/>
      <c r="E262" s="156"/>
      <c r="F262" s="156"/>
      <c r="G262" s="156"/>
      <c r="H262" s="156"/>
      <c r="I262" s="156"/>
      <c r="J262" s="156"/>
      <c r="K262" s="156"/>
      <c r="L262" s="156"/>
      <c r="M262" s="156"/>
      <c r="N262" s="156"/>
      <c r="O262" s="156"/>
      <c r="P262" s="156"/>
      <c r="Q262" s="156"/>
      <c r="R262" s="156"/>
      <c r="S262" s="156"/>
      <c r="T262" s="156"/>
      <c r="U262" s="156"/>
      <c r="V262" s="156"/>
      <c r="W262" s="156"/>
      <c r="X262" s="156"/>
      <c r="Y262" s="156"/>
      <c r="Z262" s="156"/>
      <c r="AA262" s="156"/>
      <c r="AB262" s="156"/>
      <c r="AC262" s="156"/>
      <c r="AD262" s="156"/>
      <c r="AE262" s="156"/>
    </row>
    <row r="263" spans="1:31" x14ac:dyDescent="0.25">
      <c r="A263" s="156"/>
      <c r="B263" s="156"/>
      <c r="C263" s="156"/>
      <c r="D263" s="156"/>
      <c r="E263" s="156"/>
      <c r="F263" s="156"/>
      <c r="G263" s="156"/>
      <c r="H263" s="156"/>
      <c r="I263" s="156"/>
      <c r="J263" s="156"/>
      <c r="K263" s="156"/>
      <c r="L263" s="156"/>
      <c r="M263" s="156"/>
      <c r="N263" s="156"/>
      <c r="O263" s="156"/>
      <c r="P263" s="156"/>
      <c r="Q263" s="156"/>
      <c r="R263" s="156"/>
      <c r="S263" s="156"/>
      <c r="T263" s="156"/>
      <c r="U263" s="156"/>
      <c r="V263" s="156"/>
      <c r="W263" s="156"/>
      <c r="X263" s="156"/>
      <c r="Y263" s="156"/>
      <c r="Z263" s="156"/>
      <c r="AA263" s="156"/>
      <c r="AB263" s="156"/>
      <c r="AC263" s="156"/>
      <c r="AD263" s="156"/>
      <c r="AE263" s="156"/>
    </row>
    <row r="264" spans="1:31" x14ac:dyDescent="0.25">
      <c r="A264" s="156"/>
      <c r="B264" s="156"/>
      <c r="C264" s="156"/>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E264" s="156"/>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ignoredErrors>
    <ignoredError sqref="C211:D211 C215:D215 C219:D21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zoomScaleNormal="100" workbookViewId="0">
      <selection activeCell="I36" sqref="I3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144</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2</v>
      </c>
      <c r="B7" s="19" t="s">
        <v>3</v>
      </c>
      <c r="C7" s="20">
        <v>2872310.5819119024</v>
      </c>
      <c r="D7" s="20">
        <v>2928032.6063993652</v>
      </c>
      <c r="E7" s="72">
        <v>2676633.8174592671</v>
      </c>
      <c r="F7" s="22" t="s">
        <v>240</v>
      </c>
      <c r="G7" s="23">
        <v>-6.8125211000819519</v>
      </c>
      <c r="H7" s="24">
        <v>-8.5859285989730125</v>
      </c>
    </row>
    <row r="8" spans="1:8" x14ac:dyDescent="0.25">
      <c r="A8" s="193"/>
      <c r="B8" s="25" t="s">
        <v>241</v>
      </c>
      <c r="C8" s="26">
        <v>1414338.3082890622</v>
      </c>
      <c r="D8" s="26">
        <v>1561452.9144007454</v>
      </c>
      <c r="E8" s="26">
        <v>1388956.850000002</v>
      </c>
      <c r="F8" s="27"/>
      <c r="G8" s="28">
        <v>-1.7945818295598883</v>
      </c>
      <c r="H8" s="29">
        <v>-11.047151201926823</v>
      </c>
    </row>
    <row r="9" spans="1:8" x14ac:dyDescent="0.25">
      <c r="A9" s="30" t="s">
        <v>4</v>
      </c>
      <c r="B9" s="31" t="s">
        <v>3</v>
      </c>
      <c r="C9" s="20">
        <v>893034.57543946186</v>
      </c>
      <c r="D9" s="20">
        <v>929824.88947982062</v>
      </c>
      <c r="E9" s="20">
        <v>888861.73969200789</v>
      </c>
      <c r="F9" s="22" t="s">
        <v>240</v>
      </c>
      <c r="G9" s="32">
        <v>-0.46726474676532348</v>
      </c>
      <c r="H9" s="33">
        <v>-4.4054692718248418</v>
      </c>
    </row>
    <row r="10" spans="1:8" x14ac:dyDescent="0.25">
      <c r="A10" s="34"/>
      <c r="B10" s="25" t="s">
        <v>241</v>
      </c>
      <c r="C10" s="26">
        <v>482797.24788901047</v>
      </c>
      <c r="D10" s="26">
        <v>486933.93187892379</v>
      </c>
      <c r="E10" s="26">
        <v>470395.92905999999</v>
      </c>
      <c r="F10" s="27"/>
      <c r="G10" s="28">
        <v>-2.568639088817136</v>
      </c>
      <c r="H10" s="29">
        <v>-3.396354563977269</v>
      </c>
    </row>
    <row r="11" spans="1:8" x14ac:dyDescent="0.25">
      <c r="A11" s="30" t="s">
        <v>5</v>
      </c>
      <c r="B11" s="31" t="s">
        <v>3</v>
      </c>
      <c r="C11" s="20">
        <v>224147.36424663675</v>
      </c>
      <c r="D11" s="20">
        <v>213780.37374887895</v>
      </c>
      <c r="E11" s="20">
        <v>197435.20487392461</v>
      </c>
      <c r="F11" s="22" t="s">
        <v>240</v>
      </c>
      <c r="G11" s="37">
        <v>-11.917231087009284</v>
      </c>
      <c r="H11" s="33">
        <v>-7.6457761712749601</v>
      </c>
    </row>
    <row r="12" spans="1:8" x14ac:dyDescent="0.25">
      <c r="A12" s="34"/>
      <c r="B12" s="25" t="s">
        <v>241</v>
      </c>
      <c r="C12" s="26">
        <v>108301.81593069807</v>
      </c>
      <c r="D12" s="26">
        <v>125157.3974932736</v>
      </c>
      <c r="E12" s="26">
        <v>107969.92093999998</v>
      </c>
      <c r="F12" s="27"/>
      <c r="G12" s="28">
        <v>-0.30645376335191088</v>
      </c>
      <c r="H12" s="29">
        <v>-13.732689315625422</v>
      </c>
    </row>
    <row r="13" spans="1:8" x14ac:dyDescent="0.25">
      <c r="A13" s="30" t="s">
        <v>6</v>
      </c>
      <c r="B13" s="31" t="s">
        <v>3</v>
      </c>
      <c r="C13" s="20">
        <v>450068.52559340064</v>
      </c>
      <c r="D13" s="20">
        <v>471768.76188981324</v>
      </c>
      <c r="E13" s="20">
        <v>417633.00254035648</v>
      </c>
      <c r="F13" s="22" t="s">
        <v>240</v>
      </c>
      <c r="G13" s="23">
        <v>-7.206796567318051</v>
      </c>
      <c r="H13" s="24">
        <v>-11.475062302260014</v>
      </c>
    </row>
    <row r="14" spans="1:8" x14ac:dyDescent="0.25">
      <c r="A14" s="34"/>
      <c r="B14" s="25" t="s">
        <v>241</v>
      </c>
      <c r="C14" s="26">
        <v>206176.41524433173</v>
      </c>
      <c r="D14" s="26">
        <v>239334.47946390763</v>
      </c>
      <c r="E14" s="26">
        <v>204546</v>
      </c>
      <c r="F14" s="27"/>
      <c r="G14" s="23">
        <v>-0.79078649340156915</v>
      </c>
      <c r="H14" s="24">
        <v>-14.535506769367856</v>
      </c>
    </row>
    <row r="15" spans="1:8" x14ac:dyDescent="0.25">
      <c r="A15" s="30" t="s">
        <v>168</v>
      </c>
      <c r="B15" s="31" t="s">
        <v>3</v>
      </c>
      <c r="C15" s="20">
        <v>54048.423475075651</v>
      </c>
      <c r="D15" s="20">
        <v>58959.321388756172</v>
      </c>
      <c r="E15" s="20">
        <v>48233.341703089151</v>
      </c>
      <c r="F15" s="22" t="s">
        <v>240</v>
      </c>
      <c r="G15" s="37">
        <v>-10.759021999352342</v>
      </c>
      <c r="H15" s="33">
        <v>-18.192169504366987</v>
      </c>
    </row>
    <row r="16" spans="1:8" x14ac:dyDescent="0.25">
      <c r="A16" s="34"/>
      <c r="B16" s="25" t="s">
        <v>241</v>
      </c>
      <c r="C16" s="26">
        <v>25631.02574548325</v>
      </c>
      <c r="D16" s="26">
        <v>32184.619290778788</v>
      </c>
      <c r="E16" s="26">
        <v>25067</v>
      </c>
      <c r="F16" s="27"/>
      <c r="G16" s="28">
        <v>-2.2005586162802899</v>
      </c>
      <c r="H16" s="29">
        <v>-22.114971211786411</v>
      </c>
    </row>
    <row r="17" spans="1:8" x14ac:dyDescent="0.25">
      <c r="A17" s="30" t="s">
        <v>7</v>
      </c>
      <c r="B17" s="31" t="s">
        <v>3</v>
      </c>
      <c r="C17" s="20">
        <v>9254.1604571428579</v>
      </c>
      <c r="D17" s="20">
        <v>10117.320163265305</v>
      </c>
      <c r="E17" s="20">
        <v>9911.6356772980416</v>
      </c>
      <c r="F17" s="22" t="s">
        <v>240</v>
      </c>
      <c r="G17" s="23">
        <v>7.1046446968369565</v>
      </c>
      <c r="H17" s="24">
        <v>-2.032993743877725</v>
      </c>
    </row>
    <row r="18" spans="1:8" x14ac:dyDescent="0.25">
      <c r="A18" s="30"/>
      <c r="B18" s="25" t="s">
        <v>241</v>
      </c>
      <c r="C18" s="26">
        <v>5068.0363519274379</v>
      </c>
      <c r="D18" s="26">
        <v>5375.3578399580401</v>
      </c>
      <c r="E18" s="26">
        <v>5319</v>
      </c>
      <c r="F18" s="27"/>
      <c r="G18" s="23">
        <v>4.9518912384501164</v>
      </c>
      <c r="H18" s="24">
        <v>-1.0484481524020737</v>
      </c>
    </row>
    <row r="19" spans="1:8" x14ac:dyDescent="0.25">
      <c r="A19" s="38" t="s">
        <v>8</v>
      </c>
      <c r="B19" s="31" t="s">
        <v>3</v>
      </c>
      <c r="C19" s="20">
        <v>6808</v>
      </c>
      <c r="D19" s="20">
        <v>7488</v>
      </c>
      <c r="E19" s="20">
        <v>7509.650974203837</v>
      </c>
      <c r="F19" s="22" t="s">
        <v>240</v>
      </c>
      <c r="G19" s="37">
        <v>10.306271653992923</v>
      </c>
      <c r="H19" s="33">
        <v>0.28914228370508965</v>
      </c>
    </row>
    <row r="20" spans="1:8" x14ac:dyDescent="0.25">
      <c r="A20" s="34"/>
      <c r="B20" s="25" t="s">
        <v>241</v>
      </c>
      <c r="C20" s="26">
        <v>3758.2769368209251</v>
      </c>
      <c r="D20" s="26">
        <v>4337.9705142857147</v>
      </c>
      <c r="E20" s="26">
        <v>4280</v>
      </c>
      <c r="F20" s="27"/>
      <c r="G20" s="28">
        <v>13.881974956863957</v>
      </c>
      <c r="H20" s="29">
        <v>-1.336351044683397</v>
      </c>
    </row>
    <row r="21" spans="1:8" x14ac:dyDescent="0.25">
      <c r="A21" s="38" t="s">
        <v>9</v>
      </c>
      <c r="B21" s="31" t="s">
        <v>3</v>
      </c>
      <c r="C21" s="20">
        <v>40856.303333333337</v>
      </c>
      <c r="D21" s="20">
        <v>45308.126666666671</v>
      </c>
      <c r="E21" s="20">
        <v>49142.516421778164</v>
      </c>
      <c r="F21" s="22" t="s">
        <v>240</v>
      </c>
      <c r="G21" s="37">
        <v>20.281357862556249</v>
      </c>
      <c r="H21" s="33">
        <v>8.4629183265978298</v>
      </c>
    </row>
    <row r="22" spans="1:8" x14ac:dyDescent="0.25">
      <c r="A22" s="34"/>
      <c r="B22" s="25" t="s">
        <v>241</v>
      </c>
      <c r="C22" s="26">
        <v>20298.701810584957</v>
      </c>
      <c r="D22" s="26">
        <v>24272.166666666668</v>
      </c>
      <c r="E22" s="26">
        <v>25657</v>
      </c>
      <c r="F22" s="27"/>
      <c r="G22" s="28">
        <v>26.397245692928536</v>
      </c>
      <c r="H22" s="29">
        <v>5.7054376411939529</v>
      </c>
    </row>
    <row r="23" spans="1:8" x14ac:dyDescent="0.25">
      <c r="A23" s="38" t="s">
        <v>190</v>
      </c>
      <c r="B23" s="31" t="s">
        <v>3</v>
      </c>
      <c r="C23" s="20">
        <v>9583</v>
      </c>
      <c r="D23" s="20">
        <v>9944</v>
      </c>
      <c r="E23" s="20">
        <v>10123.043729531881</v>
      </c>
      <c r="F23" s="22" t="s">
        <v>240</v>
      </c>
      <c r="G23" s="37">
        <v>5.6354349319824877</v>
      </c>
      <c r="H23" s="33">
        <v>1.8005202084863328</v>
      </c>
    </row>
    <row r="24" spans="1:8" x14ac:dyDescent="0.25">
      <c r="A24" s="34"/>
      <c r="B24" s="25" t="s">
        <v>241</v>
      </c>
      <c r="C24" s="26">
        <v>4182.753596988221</v>
      </c>
      <c r="D24" s="26">
        <v>5191</v>
      </c>
      <c r="E24" s="26">
        <v>5208</v>
      </c>
      <c r="F24" s="27"/>
      <c r="G24" s="28">
        <v>24.511278975409994</v>
      </c>
      <c r="H24" s="29">
        <v>0.32748988634175191</v>
      </c>
    </row>
    <row r="25" spans="1:8" x14ac:dyDescent="0.25">
      <c r="A25" s="38" t="s">
        <v>191</v>
      </c>
      <c r="B25" s="31" t="s">
        <v>3</v>
      </c>
      <c r="C25" s="20">
        <v>2456</v>
      </c>
      <c r="D25" s="20">
        <v>2788</v>
      </c>
      <c r="E25" s="20">
        <v>2974.5042492917846</v>
      </c>
      <c r="F25" s="22" t="s">
        <v>240</v>
      </c>
      <c r="G25" s="37">
        <v>21.111736534681796</v>
      </c>
      <c r="H25" s="33">
        <v>6.6895354839234074</v>
      </c>
    </row>
    <row r="26" spans="1:8" x14ac:dyDescent="0.25">
      <c r="A26" s="34"/>
      <c r="B26" s="25" t="s">
        <v>241</v>
      </c>
      <c r="C26" s="26">
        <v>1239.1462747778537</v>
      </c>
      <c r="D26" s="26">
        <v>1412</v>
      </c>
      <c r="E26" s="26">
        <v>1500</v>
      </c>
      <c r="F26" s="27"/>
      <c r="G26" s="28">
        <v>21.051084164289691</v>
      </c>
      <c r="H26" s="29">
        <v>6.2322946175637384</v>
      </c>
    </row>
    <row r="27" spans="1:8" x14ac:dyDescent="0.25">
      <c r="A27" s="38" t="s">
        <v>192</v>
      </c>
      <c r="B27" s="31" t="s">
        <v>3</v>
      </c>
      <c r="C27" s="20">
        <v>618945.0068571429</v>
      </c>
      <c r="D27" s="20">
        <v>581027.01371425122</v>
      </c>
      <c r="E27" s="20">
        <v>454488.34844266583</v>
      </c>
      <c r="F27" s="22" t="s">
        <v>240</v>
      </c>
      <c r="G27" s="37">
        <v>-26.570479863719925</v>
      </c>
      <c r="H27" s="33">
        <v>-21.778447866421757</v>
      </c>
    </row>
    <row r="28" spans="1:8" x14ac:dyDescent="0.25">
      <c r="A28" s="34"/>
      <c r="B28" s="25" t="s">
        <v>241</v>
      </c>
      <c r="C28" s="26">
        <v>301607.50943435152</v>
      </c>
      <c r="D28" s="26">
        <v>361500.00342857145</v>
      </c>
      <c r="E28" s="26">
        <v>261474.00000000192</v>
      </c>
      <c r="F28" s="27"/>
      <c r="G28" s="28">
        <v>-13.306535208495902</v>
      </c>
      <c r="H28" s="29">
        <v>-27.669710229569503</v>
      </c>
    </row>
    <row r="29" spans="1:8" x14ac:dyDescent="0.25">
      <c r="A29" s="30" t="s">
        <v>10</v>
      </c>
      <c r="B29" s="31" t="s">
        <v>3</v>
      </c>
      <c r="C29" s="20">
        <v>391921.43589743588</v>
      </c>
      <c r="D29" s="20">
        <v>421846.37179487181</v>
      </c>
      <c r="E29" s="20">
        <v>431145.08207014756</v>
      </c>
      <c r="F29" s="22" t="s">
        <v>240</v>
      </c>
      <c r="G29" s="37">
        <v>10.008037984167913</v>
      </c>
      <c r="H29" s="33">
        <v>2.204288313708048</v>
      </c>
    </row>
    <row r="30" spans="1:8" x14ac:dyDescent="0.25">
      <c r="A30" s="30"/>
      <c r="B30" s="25" t="s">
        <v>241</v>
      </c>
      <c r="C30" s="26">
        <v>175866.41322132733</v>
      </c>
      <c r="D30" s="26">
        <v>191658.21794871794</v>
      </c>
      <c r="E30" s="26">
        <v>195071</v>
      </c>
      <c r="F30" s="27"/>
      <c r="G30" s="28">
        <v>10.919985474715844</v>
      </c>
      <c r="H30" s="29">
        <v>1.7806604317875951</v>
      </c>
    </row>
    <row r="31" spans="1:8" x14ac:dyDescent="0.25">
      <c r="A31" s="38" t="s">
        <v>11</v>
      </c>
      <c r="B31" s="31" t="s">
        <v>3</v>
      </c>
      <c r="C31" s="20">
        <v>11984.346633416459</v>
      </c>
      <c r="D31" s="20">
        <v>13376.02493765586</v>
      </c>
      <c r="E31" s="20">
        <v>10417.477431669204</v>
      </c>
      <c r="F31" s="22" t="s">
        <v>240</v>
      </c>
      <c r="G31" s="37">
        <v>-13.074298079615687</v>
      </c>
      <c r="H31" s="33">
        <v>-22.118286410021753</v>
      </c>
    </row>
    <row r="32" spans="1:8" x14ac:dyDescent="0.25">
      <c r="A32" s="34"/>
      <c r="B32" s="25" t="s">
        <v>241</v>
      </c>
      <c r="C32" s="26">
        <v>5306.42957857494</v>
      </c>
      <c r="D32" s="26">
        <v>6171.3437629052369</v>
      </c>
      <c r="E32" s="26">
        <v>4740</v>
      </c>
      <c r="F32" s="27"/>
      <c r="G32" s="28">
        <v>-10.674401123910826</v>
      </c>
      <c r="H32" s="29">
        <v>-23.193388958637655</v>
      </c>
    </row>
    <row r="33" spans="1:8" x14ac:dyDescent="0.25">
      <c r="A33" s="30" t="s">
        <v>12</v>
      </c>
      <c r="B33" s="31" t="s">
        <v>3</v>
      </c>
      <c r="C33" s="20">
        <v>13374.987999999999</v>
      </c>
      <c r="D33" s="20">
        <v>14653.088</v>
      </c>
      <c r="E33" s="20">
        <v>14330.66314638816</v>
      </c>
      <c r="F33" s="22" t="s">
        <v>240</v>
      </c>
      <c r="G33" s="37">
        <v>7.1452411500343942</v>
      </c>
      <c r="H33" s="33">
        <v>-2.200388434245653</v>
      </c>
    </row>
    <row r="34" spans="1:8" x14ac:dyDescent="0.25">
      <c r="A34" s="30"/>
      <c r="B34" s="25" t="s">
        <v>241</v>
      </c>
      <c r="C34" s="26">
        <v>6953.5780216841604</v>
      </c>
      <c r="D34" s="26">
        <v>7563.8460735600001</v>
      </c>
      <c r="E34" s="26">
        <v>7415</v>
      </c>
      <c r="F34" s="27"/>
      <c r="G34" s="28">
        <v>6.6357489177073035</v>
      </c>
      <c r="H34" s="29">
        <v>-1.96786227684224</v>
      </c>
    </row>
    <row r="35" spans="1:8" x14ac:dyDescent="0.25">
      <c r="A35" s="38" t="s">
        <v>13</v>
      </c>
      <c r="B35" s="31" t="s">
        <v>3</v>
      </c>
      <c r="C35" s="20">
        <v>56</v>
      </c>
      <c r="D35" s="20">
        <v>89</v>
      </c>
      <c r="E35" s="20">
        <v>97.105679275211884</v>
      </c>
      <c r="F35" s="22" t="s">
        <v>240</v>
      </c>
      <c r="G35" s="23">
        <v>73.402998705735513</v>
      </c>
      <c r="H35" s="24">
        <v>9.1075048036088617</v>
      </c>
    </row>
    <row r="36" spans="1:8" x14ac:dyDescent="0.25">
      <c r="A36" s="34"/>
      <c r="B36" s="25" t="s">
        <v>241</v>
      </c>
      <c r="C36" s="26">
        <v>31.012718331354925</v>
      </c>
      <c r="D36" s="26">
        <v>43</v>
      </c>
      <c r="E36" s="26">
        <v>49</v>
      </c>
      <c r="F36" s="27"/>
      <c r="G36" s="28">
        <v>57.999693791625191</v>
      </c>
      <c r="H36" s="29">
        <v>13.95348837209302</v>
      </c>
    </row>
    <row r="37" spans="1:8" x14ac:dyDescent="0.25">
      <c r="A37" s="30" t="s">
        <v>14</v>
      </c>
      <c r="B37" s="31" t="s">
        <v>3</v>
      </c>
      <c r="C37" s="39">
        <v>145772.45197885614</v>
      </c>
      <c r="D37" s="39">
        <v>147062.31461538462</v>
      </c>
      <c r="E37" s="20">
        <v>148835.88065892941</v>
      </c>
      <c r="F37" s="22" t="s">
        <v>240</v>
      </c>
      <c r="G37" s="23">
        <v>2.101514132805832</v>
      </c>
      <c r="H37" s="24">
        <v>1.2059962800009316</v>
      </c>
    </row>
    <row r="38" spans="1:8" ht="13.8" thickBot="1" x14ac:dyDescent="0.3">
      <c r="A38" s="40"/>
      <c r="B38" s="41" t="s">
        <v>241</v>
      </c>
      <c r="C38" s="42">
        <v>67119.945534169732</v>
      </c>
      <c r="D38" s="42">
        <v>70317.580039196167</v>
      </c>
      <c r="E38" s="42">
        <v>70265</v>
      </c>
      <c r="F38" s="43"/>
      <c r="G38" s="44">
        <v>4.6857226131525493</v>
      </c>
      <c r="H38" s="45">
        <v>-7.4775097730693574E-2</v>
      </c>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8" x14ac:dyDescent="0.25">
      <c r="A49" s="46"/>
      <c r="B49" s="47"/>
      <c r="C49" s="48"/>
      <c r="D49" s="48"/>
      <c r="E49" s="90"/>
      <c r="F49" s="48"/>
      <c r="G49" s="49"/>
      <c r="H49" s="49"/>
    </row>
    <row r="50" spans="1:8" x14ac:dyDescent="0.25">
      <c r="A50" s="46"/>
      <c r="B50" s="47"/>
      <c r="C50" s="48"/>
      <c r="D50" s="48"/>
      <c r="E50" s="48"/>
      <c r="F50" s="48"/>
      <c r="G50" s="49"/>
      <c r="H50" s="49"/>
    </row>
    <row r="51" spans="1:8" x14ac:dyDescent="0.25">
      <c r="A51" s="46"/>
      <c r="B51" s="47"/>
      <c r="C51" s="48"/>
      <c r="D51" s="48"/>
      <c r="E51" s="48"/>
      <c r="F51" s="48"/>
      <c r="G51" s="49"/>
      <c r="H51" s="49"/>
    </row>
    <row r="52" spans="1:8" x14ac:dyDescent="0.25">
      <c r="A52" s="46"/>
      <c r="B52" s="47"/>
      <c r="C52" s="48"/>
      <c r="D52" s="48"/>
      <c r="E52" s="48"/>
      <c r="F52" s="48"/>
      <c r="G52" s="49"/>
      <c r="H52" s="49"/>
    </row>
    <row r="53" spans="1:8" x14ac:dyDescent="0.25">
      <c r="A53" s="46"/>
      <c r="B53" s="47"/>
      <c r="C53" s="48"/>
      <c r="D53" s="48"/>
      <c r="E53" s="48"/>
      <c r="F53" s="48"/>
      <c r="G53" s="49"/>
      <c r="H53" s="49"/>
    </row>
    <row r="54" spans="1:8" x14ac:dyDescent="0.25">
      <c r="A54" s="46"/>
      <c r="B54" s="47"/>
      <c r="C54" s="48"/>
      <c r="D54" s="48"/>
      <c r="E54" s="48"/>
      <c r="F54" s="48"/>
      <c r="G54" s="49"/>
      <c r="H54" s="49"/>
    </row>
    <row r="55" spans="1:8" x14ac:dyDescent="0.25">
      <c r="A55" s="46"/>
      <c r="B55" s="47"/>
      <c r="C55" s="48"/>
      <c r="D55" s="48"/>
      <c r="E55" s="48"/>
      <c r="F55" s="48"/>
      <c r="G55" s="49"/>
      <c r="H55" s="49"/>
    </row>
    <row r="56" spans="1:8" x14ac:dyDescent="0.25">
      <c r="A56" s="46"/>
      <c r="B56" s="47"/>
      <c r="C56" s="48"/>
      <c r="D56" s="48"/>
      <c r="E56" s="48"/>
      <c r="F56" s="48"/>
      <c r="G56" s="49"/>
      <c r="H56" s="49"/>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9</v>
      </c>
    </row>
    <row r="62" spans="1:8" ht="12.75" customHeight="1" x14ac:dyDescent="0.25">
      <c r="A62" s="52" t="str">
        <f>+Innhold!$B$124</f>
        <v>Skadestatistikk for landbasert forsikring 2. kvartal 2025</v>
      </c>
      <c r="G62" s="51"/>
      <c r="H62" s="188"/>
    </row>
    <row r="63" spans="1:8" x14ac:dyDescent="0.25">
      <c r="H63" s="80"/>
    </row>
    <row r="64" spans="1:8" x14ac:dyDescent="0.25">
      <c r="A64" s="194"/>
      <c r="H64" s="51"/>
    </row>
    <row r="65" spans="1:8" x14ac:dyDescent="0.25">
      <c r="A65" s="194"/>
      <c r="H65" s="51"/>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8"/>
  <sheetViews>
    <sheetView showGridLines="0" zoomScaleNormal="100" workbookViewId="0">
      <selection activeCell="A5" sqref="A5"/>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14" ht="5.25" customHeight="1" x14ac:dyDescent="0.25"/>
    <row r="2" spans="1:14" x14ac:dyDescent="0.25">
      <c r="A2" s="85" t="s">
        <v>0</v>
      </c>
      <c r="B2" s="2"/>
      <c r="C2" s="2"/>
      <c r="D2" s="2"/>
      <c r="E2" s="2"/>
      <c r="F2" s="2"/>
      <c r="G2" s="2"/>
    </row>
    <row r="3" spans="1:14" ht="6" customHeight="1" x14ac:dyDescent="0.25">
      <c r="A3" s="3"/>
      <c r="B3" s="2"/>
      <c r="C3" s="2"/>
      <c r="D3" s="2"/>
      <c r="E3" s="2"/>
      <c r="F3" s="2"/>
      <c r="G3" s="2"/>
    </row>
    <row r="4" spans="1:14" ht="16.2" thickBot="1" x14ac:dyDescent="0.35">
      <c r="A4" s="4" t="s">
        <v>15</v>
      </c>
      <c r="B4" s="5"/>
      <c r="C4" s="5"/>
      <c r="D4" s="5"/>
      <c r="E4" s="5"/>
      <c r="F4" s="5"/>
      <c r="G4" s="5"/>
      <c r="H4" s="6"/>
    </row>
    <row r="5" spans="1:14" x14ac:dyDescent="0.25">
      <c r="A5" s="7"/>
      <c r="B5" s="8"/>
      <c r="C5" s="195" t="s">
        <v>16</v>
      </c>
      <c r="D5" s="190"/>
      <c r="E5" s="190"/>
      <c r="F5" s="196"/>
      <c r="G5" s="190" t="s">
        <v>1</v>
      </c>
      <c r="H5" s="191"/>
    </row>
    <row r="6" spans="1:14" x14ac:dyDescent="0.25">
      <c r="A6" s="12"/>
      <c r="B6" s="13"/>
      <c r="C6" s="14" t="s">
        <v>235</v>
      </c>
      <c r="D6" s="15" t="s">
        <v>236</v>
      </c>
      <c r="E6" s="15" t="s">
        <v>237</v>
      </c>
      <c r="F6" s="16"/>
      <c r="G6" s="17" t="s">
        <v>238</v>
      </c>
      <c r="H6" s="18" t="s">
        <v>239</v>
      </c>
    </row>
    <row r="7" spans="1:14" x14ac:dyDescent="0.25">
      <c r="A7" s="192" t="s">
        <v>2</v>
      </c>
      <c r="B7" s="19" t="s">
        <v>3</v>
      </c>
      <c r="C7" s="73">
        <v>62588.261698947128</v>
      </c>
      <c r="D7" s="73">
        <v>65389.885855739296</v>
      </c>
      <c r="E7" s="74">
        <v>66227.080365233633</v>
      </c>
      <c r="F7" s="22" t="s">
        <v>240</v>
      </c>
      <c r="G7" s="23">
        <v>5.8138995516274576</v>
      </c>
      <c r="H7" s="24">
        <v>1.2803119298010728</v>
      </c>
    </row>
    <row r="8" spans="1:14" x14ac:dyDescent="0.25">
      <c r="A8" s="193"/>
      <c r="B8" s="25" t="s">
        <v>241</v>
      </c>
      <c r="C8" s="75">
        <v>29234.3713945032</v>
      </c>
      <c r="D8" s="75">
        <v>34479.460725305798</v>
      </c>
      <c r="E8" s="75">
        <v>33482.462899933547</v>
      </c>
      <c r="F8" s="27"/>
      <c r="G8" s="28">
        <v>14.531153921883529</v>
      </c>
      <c r="H8" s="29">
        <v>-2.8915702403678125</v>
      </c>
      <c r="J8" s="87"/>
    </row>
    <row r="9" spans="1:14" x14ac:dyDescent="0.25">
      <c r="A9" s="30" t="s">
        <v>4</v>
      </c>
      <c r="B9" s="31" t="s">
        <v>3</v>
      </c>
      <c r="C9" s="73">
        <v>16051.968304278878</v>
      </c>
      <c r="D9" s="73">
        <v>17622.396543961302</v>
      </c>
      <c r="E9" s="73">
        <v>18095.086762410054</v>
      </c>
      <c r="F9" s="22" t="s">
        <v>240</v>
      </c>
      <c r="G9" s="32">
        <v>12.72814909300908</v>
      </c>
      <c r="H9" s="33">
        <v>2.6823265341326703</v>
      </c>
    </row>
    <row r="10" spans="1:14" x14ac:dyDescent="0.25">
      <c r="A10" s="34"/>
      <c r="B10" s="25" t="s">
        <v>241</v>
      </c>
      <c r="C10" s="75">
        <v>7379.8989230854431</v>
      </c>
      <c r="D10" s="75">
        <v>9083.7576358711649</v>
      </c>
      <c r="E10" s="75">
        <v>8965.253248276862</v>
      </c>
      <c r="F10" s="27"/>
      <c r="G10" s="35">
        <v>21.482060143563615</v>
      </c>
      <c r="H10" s="29">
        <v>-1.3045745202000631</v>
      </c>
      <c r="J10" s="87"/>
    </row>
    <row r="11" spans="1:14" x14ac:dyDescent="0.25">
      <c r="A11" s="30" t="s">
        <v>5</v>
      </c>
      <c r="B11" s="31" t="s">
        <v>3</v>
      </c>
      <c r="C11" s="73">
        <v>6253.1350339931705</v>
      </c>
      <c r="D11" s="73">
        <v>6761.5524625283579</v>
      </c>
      <c r="E11" s="73">
        <v>7654.2619046960463</v>
      </c>
      <c r="F11" s="22" t="s">
        <v>240</v>
      </c>
      <c r="G11" s="37">
        <v>22.406790563231056</v>
      </c>
      <c r="H11" s="33">
        <v>13.202728916398527</v>
      </c>
      <c r="K11" s="155"/>
      <c r="L11" s="155"/>
      <c r="M11" s="155"/>
      <c r="N11" s="155"/>
    </row>
    <row r="12" spans="1:14" x14ac:dyDescent="0.25">
      <c r="A12" s="34"/>
      <c r="B12" s="25" t="s">
        <v>241</v>
      </c>
      <c r="C12" s="75">
        <v>2737.223921413256</v>
      </c>
      <c r="D12" s="75">
        <v>3717.3010981934221</v>
      </c>
      <c r="E12" s="75">
        <v>3877.3011509100252</v>
      </c>
      <c r="F12" s="27"/>
      <c r="G12" s="28">
        <v>41.650857300272889</v>
      </c>
      <c r="H12" s="29">
        <v>4.304199430989371</v>
      </c>
      <c r="K12" s="155"/>
      <c r="L12" s="155"/>
      <c r="M12" s="155"/>
      <c r="N12" s="155"/>
    </row>
    <row r="13" spans="1:14" x14ac:dyDescent="0.25">
      <c r="A13" s="30" t="s">
        <v>6</v>
      </c>
      <c r="B13" s="31" t="s">
        <v>3</v>
      </c>
      <c r="C13" s="73">
        <v>12671.146060842104</v>
      </c>
      <c r="D13" s="73">
        <v>12228.725739855268</v>
      </c>
      <c r="E13" s="73">
        <v>10827.990268513651</v>
      </c>
      <c r="F13" s="22" t="s">
        <v>240</v>
      </c>
      <c r="G13" s="23">
        <v>-14.54608591423623</v>
      </c>
      <c r="H13" s="24">
        <v>-11.454467956349774</v>
      </c>
      <c r="K13" s="155"/>
      <c r="L13" s="155"/>
      <c r="M13" s="155"/>
      <c r="N13" s="155"/>
    </row>
    <row r="14" spans="1:14" x14ac:dyDescent="0.25">
      <c r="A14" s="34"/>
      <c r="B14" s="25" t="s">
        <v>241</v>
      </c>
      <c r="C14" s="75">
        <v>5274.6595201486416</v>
      </c>
      <c r="D14" s="75">
        <v>7031.3108390325842</v>
      </c>
      <c r="E14" s="75">
        <v>5523.8919930607635</v>
      </c>
      <c r="F14" s="27"/>
      <c r="G14" s="23">
        <v>4.7250912018127451</v>
      </c>
      <c r="H14" s="24">
        <v>-21.438660307886792</v>
      </c>
      <c r="K14" s="155"/>
      <c r="L14" s="155"/>
      <c r="M14" s="155"/>
      <c r="N14" s="155"/>
    </row>
    <row r="15" spans="1:14" x14ac:dyDescent="0.25">
      <c r="A15" s="30" t="s">
        <v>168</v>
      </c>
      <c r="B15" s="31" t="s">
        <v>3</v>
      </c>
      <c r="C15" s="73">
        <v>9747.4554725764829</v>
      </c>
      <c r="D15" s="73">
        <v>8476.4604420827982</v>
      </c>
      <c r="E15" s="73">
        <v>8572.4952112285282</v>
      </c>
      <c r="F15" s="22" t="s">
        <v>240</v>
      </c>
      <c r="G15" s="37">
        <v>-12.054020299488315</v>
      </c>
      <c r="H15" s="33">
        <v>1.1329583828286331</v>
      </c>
      <c r="K15" s="155"/>
      <c r="L15" s="155"/>
      <c r="M15" s="155"/>
      <c r="N15" s="155"/>
    </row>
    <row r="16" spans="1:14" x14ac:dyDescent="0.25">
      <c r="A16" s="34"/>
      <c r="B16" s="25" t="s">
        <v>241</v>
      </c>
      <c r="C16" s="75">
        <v>5208.1941584267161</v>
      </c>
      <c r="D16" s="75">
        <v>4449.6403132115302</v>
      </c>
      <c r="E16" s="75">
        <v>4526.5193594540469</v>
      </c>
      <c r="F16" s="27"/>
      <c r="G16" s="28">
        <v>-13.088505885859462</v>
      </c>
      <c r="H16" s="29">
        <v>1.7277586688131379</v>
      </c>
      <c r="K16" s="155"/>
      <c r="L16" s="155"/>
      <c r="M16" s="155"/>
      <c r="N16" s="155"/>
    </row>
    <row r="17" spans="1:14" x14ac:dyDescent="0.25">
      <c r="A17" s="30" t="s">
        <v>7</v>
      </c>
      <c r="B17" s="31" t="s">
        <v>3</v>
      </c>
      <c r="C17" s="73">
        <v>2115.9525174385899</v>
      </c>
      <c r="D17" s="73">
        <v>2003.6754158814861</v>
      </c>
      <c r="E17" s="73">
        <v>2288.7460674689605</v>
      </c>
      <c r="F17" s="22" t="s">
        <v>240</v>
      </c>
      <c r="G17" s="23">
        <v>8.1662300361796838</v>
      </c>
      <c r="H17" s="24">
        <v>14.227386797679614</v>
      </c>
      <c r="K17" s="155"/>
      <c r="L17" s="155"/>
      <c r="M17" s="155"/>
      <c r="N17" s="155"/>
    </row>
    <row r="18" spans="1:14" x14ac:dyDescent="0.25">
      <c r="A18" s="30"/>
      <c r="B18" s="25" t="s">
        <v>241</v>
      </c>
      <c r="C18" s="75">
        <v>966.99462730300047</v>
      </c>
      <c r="D18" s="75">
        <v>1050.0310508388611</v>
      </c>
      <c r="E18" s="75">
        <v>1143.4990653542022</v>
      </c>
      <c r="F18" s="27"/>
      <c r="G18" s="23">
        <v>18.252887148244241</v>
      </c>
      <c r="H18" s="24">
        <v>8.9014524323514337</v>
      </c>
      <c r="K18" s="155"/>
      <c r="L18" s="155"/>
      <c r="M18" s="155"/>
      <c r="N18" s="155"/>
    </row>
    <row r="19" spans="1:14" x14ac:dyDescent="0.25">
      <c r="A19" s="38" t="s">
        <v>8</v>
      </c>
      <c r="B19" s="31" t="s">
        <v>3</v>
      </c>
      <c r="C19" s="73">
        <v>2755.0446756614247</v>
      </c>
      <c r="D19" s="73">
        <v>3657.209828106048</v>
      </c>
      <c r="E19" s="73">
        <v>3321.3302792354784</v>
      </c>
      <c r="F19" s="22" t="s">
        <v>240</v>
      </c>
      <c r="G19" s="37">
        <v>20.554498029622749</v>
      </c>
      <c r="H19" s="33">
        <v>-9.1840382328981889</v>
      </c>
    </row>
    <row r="20" spans="1:14" x14ac:dyDescent="0.25">
      <c r="A20" s="34"/>
      <c r="B20" s="25" t="s">
        <v>241</v>
      </c>
      <c r="C20" s="75">
        <v>1329.4597835691709</v>
      </c>
      <c r="D20" s="75">
        <v>1684.063890814034</v>
      </c>
      <c r="E20" s="75">
        <v>1553.0833880781138</v>
      </c>
      <c r="F20" s="27"/>
      <c r="G20" s="28">
        <v>16.820637019089489</v>
      </c>
      <c r="H20" s="29">
        <v>-7.7776445092357847</v>
      </c>
    </row>
    <row r="21" spans="1:14" x14ac:dyDescent="0.25">
      <c r="A21" s="38" t="s">
        <v>9</v>
      </c>
      <c r="B21" s="31" t="s">
        <v>3</v>
      </c>
      <c r="C21" s="73">
        <v>829.62148444354034</v>
      </c>
      <c r="D21" s="73">
        <v>784.81220905313876</v>
      </c>
      <c r="E21" s="73">
        <v>795.49954144201263</v>
      </c>
      <c r="F21" s="22" t="s">
        <v>240</v>
      </c>
      <c r="G21" s="37">
        <v>-4.1129531528965515</v>
      </c>
      <c r="H21" s="33">
        <v>1.3617693845216792</v>
      </c>
    </row>
    <row r="22" spans="1:14" x14ac:dyDescent="0.25">
      <c r="A22" s="34"/>
      <c r="B22" s="25" t="s">
        <v>241</v>
      </c>
      <c r="C22" s="75">
        <v>430.09049827717246</v>
      </c>
      <c r="D22" s="75">
        <v>467.45427395359326</v>
      </c>
      <c r="E22" s="75">
        <v>451.41042219834264</v>
      </c>
      <c r="F22" s="27"/>
      <c r="G22" s="28">
        <v>4.9570785698759039</v>
      </c>
      <c r="H22" s="29">
        <v>-3.4321756478032199</v>
      </c>
    </row>
    <row r="23" spans="1:14" x14ac:dyDescent="0.25">
      <c r="A23" s="38" t="s">
        <v>190</v>
      </c>
      <c r="B23" s="31" t="s">
        <v>3</v>
      </c>
      <c r="C23" s="73">
        <v>2020.3770600314735</v>
      </c>
      <c r="D23" s="73">
        <v>2315.6154205171715</v>
      </c>
      <c r="E23" s="73">
        <v>2699.9738219392812</v>
      </c>
      <c r="F23" s="22" t="s">
        <v>240</v>
      </c>
      <c r="G23" s="23">
        <v>33.637125235287556</v>
      </c>
      <c r="H23" s="24">
        <v>16.598542142039577</v>
      </c>
    </row>
    <row r="24" spans="1:14" x14ac:dyDescent="0.25">
      <c r="A24" s="34"/>
      <c r="B24" s="25" t="s">
        <v>241</v>
      </c>
      <c r="C24" s="75">
        <v>1032.6823758270218</v>
      </c>
      <c r="D24" s="75">
        <v>1165.0850575720419</v>
      </c>
      <c r="E24" s="75">
        <v>1355.6319377000871</v>
      </c>
      <c r="F24" s="27"/>
      <c r="G24" s="23">
        <v>31.272884037982323</v>
      </c>
      <c r="H24" s="24">
        <v>16.354761301731216</v>
      </c>
    </row>
    <row r="25" spans="1:14" x14ac:dyDescent="0.25">
      <c r="A25" s="38" t="s">
        <v>191</v>
      </c>
      <c r="B25" s="31" t="s">
        <v>3</v>
      </c>
      <c r="C25" s="73">
        <v>857.30103578892442</v>
      </c>
      <c r="D25" s="73">
        <v>908.36258257609177</v>
      </c>
      <c r="E25" s="73">
        <v>1128.3415957703648</v>
      </c>
      <c r="F25" s="22" t="s">
        <v>240</v>
      </c>
      <c r="G25" s="37">
        <v>31.615564272824827</v>
      </c>
      <c r="H25" s="33">
        <v>24.217093197566399</v>
      </c>
    </row>
    <row r="26" spans="1:14" x14ac:dyDescent="0.25">
      <c r="A26" s="34"/>
      <c r="B26" s="25" t="s">
        <v>241</v>
      </c>
      <c r="C26" s="75">
        <v>404.62520572816987</v>
      </c>
      <c r="D26" s="75">
        <v>531.34779163049348</v>
      </c>
      <c r="E26" s="75">
        <v>624.64835899492687</v>
      </c>
      <c r="F26" s="27"/>
      <c r="G26" s="23">
        <v>54.377025986505174</v>
      </c>
      <c r="H26" s="24">
        <v>17.559227465335155</v>
      </c>
    </row>
    <row r="27" spans="1:14" x14ac:dyDescent="0.25">
      <c r="A27" s="38" t="s">
        <v>192</v>
      </c>
      <c r="B27" s="31" t="s">
        <v>3</v>
      </c>
      <c r="C27" s="73">
        <v>2442.0174959711089</v>
      </c>
      <c r="D27" s="73">
        <v>2712.508763845166</v>
      </c>
      <c r="E27" s="73">
        <v>2586.3574450120495</v>
      </c>
      <c r="F27" s="22" t="s">
        <v>240</v>
      </c>
      <c r="G27" s="37">
        <v>5.9106844762200126</v>
      </c>
      <c r="H27" s="33">
        <v>-4.6507248387388955</v>
      </c>
    </row>
    <row r="28" spans="1:14" x14ac:dyDescent="0.25">
      <c r="A28" s="34"/>
      <c r="B28" s="25" t="s">
        <v>241</v>
      </c>
      <c r="C28" s="75">
        <v>1301.0757492318394</v>
      </c>
      <c r="D28" s="75">
        <v>1433.7722611464683</v>
      </c>
      <c r="E28" s="75">
        <v>1341.5326432469965</v>
      </c>
      <c r="F28" s="27"/>
      <c r="G28" s="23">
        <v>3.1094956645716394</v>
      </c>
      <c r="H28" s="24">
        <v>-6.4333521019381124</v>
      </c>
    </row>
    <row r="29" spans="1:14" x14ac:dyDescent="0.25">
      <c r="A29" s="30" t="s">
        <v>10</v>
      </c>
      <c r="B29" s="31" t="s">
        <v>3</v>
      </c>
      <c r="C29" s="73">
        <v>2633.9929534151397</v>
      </c>
      <c r="D29" s="73">
        <v>3054.4851067037548</v>
      </c>
      <c r="E29" s="73">
        <v>3336.0776429885982</v>
      </c>
      <c r="F29" s="22" t="s">
        <v>240</v>
      </c>
      <c r="G29" s="37">
        <v>26.654767191505229</v>
      </c>
      <c r="H29" s="33">
        <v>9.2189854082714362</v>
      </c>
    </row>
    <row r="30" spans="1:14" x14ac:dyDescent="0.25">
      <c r="A30" s="30"/>
      <c r="B30" s="25" t="s">
        <v>241</v>
      </c>
      <c r="C30" s="75">
        <v>1237.1224239163612</v>
      </c>
      <c r="D30" s="75">
        <v>1490.5315898014717</v>
      </c>
      <c r="E30" s="75">
        <v>1607.0650200100615</v>
      </c>
      <c r="F30" s="27"/>
      <c r="G30" s="28">
        <v>29.903475108192765</v>
      </c>
      <c r="H30" s="29">
        <v>7.818246255626903</v>
      </c>
    </row>
    <row r="31" spans="1:14" x14ac:dyDescent="0.25">
      <c r="A31" s="38" t="s">
        <v>11</v>
      </c>
      <c r="B31" s="31" t="s">
        <v>3</v>
      </c>
      <c r="C31" s="73">
        <v>664.69741094885103</v>
      </c>
      <c r="D31" s="73">
        <v>793.12534751089788</v>
      </c>
      <c r="E31" s="73">
        <v>659.14241568449495</v>
      </c>
      <c r="F31" s="22" t="s">
        <v>240</v>
      </c>
      <c r="G31" s="23">
        <v>-0.83571790304198146</v>
      </c>
      <c r="H31" s="24">
        <v>-16.893033648071878</v>
      </c>
    </row>
    <row r="32" spans="1:14" x14ac:dyDescent="0.25">
      <c r="A32" s="34"/>
      <c r="B32" s="25" t="s">
        <v>241</v>
      </c>
      <c r="C32" s="75">
        <v>332.57071891291406</v>
      </c>
      <c r="D32" s="75">
        <v>375.37466996374849</v>
      </c>
      <c r="E32" s="75">
        <v>317.68733692192143</v>
      </c>
      <c r="F32" s="27"/>
      <c r="G32" s="23">
        <v>-4.4752532753462191</v>
      </c>
      <c r="H32" s="24">
        <v>-15.36793440201977</v>
      </c>
    </row>
    <row r="33" spans="1:8" x14ac:dyDescent="0.25">
      <c r="A33" s="30" t="s">
        <v>12</v>
      </c>
      <c r="B33" s="31" t="s">
        <v>3</v>
      </c>
      <c r="C33" s="73">
        <v>1730.9479593790488</v>
      </c>
      <c r="D33" s="73">
        <v>1967.7894804639341</v>
      </c>
      <c r="E33" s="73">
        <v>1844.9268808295881</v>
      </c>
      <c r="F33" s="22" t="s">
        <v>240</v>
      </c>
      <c r="G33" s="37">
        <v>6.5847688160092019</v>
      </c>
      <c r="H33" s="33">
        <v>-6.2436861693853274</v>
      </c>
    </row>
    <row r="34" spans="1:8" x14ac:dyDescent="0.25">
      <c r="A34" s="30"/>
      <c r="B34" s="25" t="s">
        <v>241</v>
      </c>
      <c r="C34" s="75">
        <v>799.07976156972643</v>
      </c>
      <c r="D34" s="75">
        <v>1027.5304319021527</v>
      </c>
      <c r="E34" s="75">
        <v>923.03103939056734</v>
      </c>
      <c r="F34" s="27"/>
      <c r="G34" s="28">
        <v>15.511752866490937</v>
      </c>
      <c r="H34" s="29">
        <v>-10.169955970855028</v>
      </c>
    </row>
    <row r="35" spans="1:8" x14ac:dyDescent="0.25">
      <c r="A35" s="38" t="s">
        <v>13</v>
      </c>
      <c r="B35" s="31" t="s">
        <v>3</v>
      </c>
      <c r="C35" s="73">
        <v>206.96931966016973</v>
      </c>
      <c r="D35" s="73">
        <v>305.23110515491584</v>
      </c>
      <c r="E35" s="73">
        <v>630.00500597914834</v>
      </c>
      <c r="F35" s="22" t="s">
        <v>240</v>
      </c>
      <c r="G35" s="23">
        <v>204.39536014979223</v>
      </c>
      <c r="H35" s="24">
        <v>106.4026225831073</v>
      </c>
    </row>
    <row r="36" spans="1:8" x14ac:dyDescent="0.25">
      <c r="A36" s="34"/>
      <c r="B36" s="25" t="s">
        <v>241</v>
      </c>
      <c r="C36" s="75">
        <v>101.53884741246026</v>
      </c>
      <c r="D36" s="75">
        <v>112.76880885477392</v>
      </c>
      <c r="E36" s="75">
        <v>253.63465245501035</v>
      </c>
      <c r="F36" s="27"/>
      <c r="G36" s="28">
        <v>149.79075390202411</v>
      </c>
      <c r="H36" s="29">
        <v>124.91560834135126</v>
      </c>
    </row>
    <row r="37" spans="1:8" x14ac:dyDescent="0.25">
      <c r="A37" s="30" t="s">
        <v>14</v>
      </c>
      <c r="B37" s="31" t="s">
        <v>3</v>
      </c>
      <c r="C37" s="78">
        <v>1607.6349145182285</v>
      </c>
      <c r="D37" s="78">
        <v>1797.9354074989774</v>
      </c>
      <c r="E37" s="76">
        <v>2200.528840824245</v>
      </c>
      <c r="F37" s="22" t="s">
        <v>240</v>
      </c>
      <c r="G37" s="23">
        <v>36.87988615771593</v>
      </c>
      <c r="H37" s="24">
        <v>22.391985365330584</v>
      </c>
    </row>
    <row r="38" spans="1:8" ht="13.8" thickBot="1" x14ac:dyDescent="0.3">
      <c r="A38" s="40"/>
      <c r="B38" s="41" t="s">
        <v>241</v>
      </c>
      <c r="C38" s="79">
        <v>699.15487968130128</v>
      </c>
      <c r="D38" s="79">
        <v>859.49101251947116</v>
      </c>
      <c r="E38" s="79">
        <v>1018.2732838815923</v>
      </c>
      <c r="F38" s="43"/>
      <c r="G38" s="44">
        <v>45.64344946655541</v>
      </c>
      <c r="H38" s="45">
        <v>18.473988564077516</v>
      </c>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8" x14ac:dyDescent="0.25">
      <c r="A49" s="46"/>
      <c r="B49" s="47"/>
      <c r="C49" s="48"/>
      <c r="D49" s="48"/>
      <c r="E49" s="90"/>
      <c r="F49" s="48"/>
      <c r="G49" s="49"/>
      <c r="H49" s="49"/>
    </row>
    <row r="50" spans="1:8" x14ac:dyDescent="0.25">
      <c r="A50" s="46"/>
      <c r="B50" s="47"/>
      <c r="C50" s="48"/>
      <c r="D50" s="48"/>
      <c r="E50" s="48"/>
      <c r="F50" s="48"/>
      <c r="G50" s="49"/>
      <c r="H50" s="49"/>
    </row>
    <row r="51" spans="1:8" x14ac:dyDescent="0.25">
      <c r="A51" s="46"/>
      <c r="B51" s="47"/>
      <c r="C51" s="48"/>
      <c r="D51" s="48"/>
      <c r="E51" s="48"/>
      <c r="F51" s="48"/>
      <c r="G51" s="49"/>
      <c r="H51" s="49"/>
    </row>
    <row r="52" spans="1:8" x14ac:dyDescent="0.25">
      <c r="A52" s="46"/>
      <c r="B52" s="47"/>
      <c r="C52" s="48"/>
      <c r="D52" s="48"/>
      <c r="E52" s="48"/>
      <c r="F52" s="48"/>
      <c r="G52" s="49"/>
      <c r="H52" s="49"/>
    </row>
    <row r="53" spans="1:8" x14ac:dyDescent="0.25">
      <c r="A53" s="46"/>
      <c r="B53" s="47"/>
      <c r="C53" s="48"/>
      <c r="D53" s="48"/>
      <c r="E53" s="48"/>
      <c r="F53" s="48"/>
      <c r="G53" s="49"/>
      <c r="H53" s="49"/>
    </row>
    <row r="54" spans="1:8" x14ac:dyDescent="0.25">
      <c r="A54" s="46"/>
      <c r="B54" s="47"/>
      <c r="C54" s="48"/>
      <c r="D54" s="48"/>
      <c r="E54" s="48"/>
      <c r="F54" s="48"/>
      <c r="G54" s="49"/>
      <c r="H54" s="49"/>
    </row>
    <row r="55" spans="1:8" x14ac:dyDescent="0.25">
      <c r="A55" s="46"/>
      <c r="B55" s="47"/>
      <c r="C55" s="48"/>
      <c r="D55" s="48"/>
      <c r="E55" s="48"/>
      <c r="F55" s="48"/>
      <c r="G55" s="49"/>
      <c r="H55" s="49"/>
    </row>
    <row r="56" spans="1:8" x14ac:dyDescent="0.25">
      <c r="A56" s="46"/>
      <c r="B56" s="47"/>
      <c r="C56" s="48"/>
      <c r="D56" s="48"/>
      <c r="E56" s="48"/>
      <c r="F56" s="48"/>
      <c r="G56" s="49"/>
      <c r="H56" s="49"/>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87">
        <v>10</v>
      </c>
    </row>
    <row r="62" spans="1:8" ht="12.75" customHeight="1" x14ac:dyDescent="0.25">
      <c r="A62" s="52" t="str">
        <f>+Innhold!$B$124</f>
        <v>Skadestatistikk for landbasert forsikring 2. kvartal 2025</v>
      </c>
      <c r="H62" s="188"/>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showGridLines="0" zoomScaleNormal="100" workbookViewId="0">
      <selection activeCell="B6" sqref="B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26</v>
      </c>
      <c r="B7" s="19" t="s">
        <v>3</v>
      </c>
      <c r="C7" s="20">
        <v>1117181.9396860986</v>
      </c>
      <c r="D7" s="20">
        <v>1143605.2632286996</v>
      </c>
      <c r="E7" s="21">
        <v>1084768.0346196955</v>
      </c>
      <c r="F7" s="22" t="s">
        <v>240</v>
      </c>
      <c r="G7" s="23">
        <v>-2.9013989498890993</v>
      </c>
      <c r="H7" s="24">
        <v>-5.1448896311381986</v>
      </c>
    </row>
    <row r="8" spans="1:8" x14ac:dyDescent="0.25">
      <c r="A8" s="193"/>
      <c r="B8" s="25" t="s">
        <v>241</v>
      </c>
      <c r="C8" s="26">
        <v>591099.06381970865</v>
      </c>
      <c r="D8" s="26">
        <v>612091.32937219727</v>
      </c>
      <c r="E8" s="26">
        <v>578365.85</v>
      </c>
      <c r="F8" s="27"/>
      <c r="G8" s="28">
        <v>-2.154159023265251</v>
      </c>
      <c r="H8" s="29">
        <v>-5.50987699936681</v>
      </c>
    </row>
    <row r="9" spans="1:8" x14ac:dyDescent="0.25">
      <c r="A9" s="30" t="s">
        <v>28</v>
      </c>
      <c r="B9" s="31" t="s">
        <v>3</v>
      </c>
      <c r="C9" s="20">
        <v>1023009.881748879</v>
      </c>
      <c r="D9" s="20">
        <v>1046789.2705829598</v>
      </c>
      <c r="E9" s="21">
        <v>993931.53358045011</v>
      </c>
      <c r="F9" s="22" t="s">
        <v>240</v>
      </c>
      <c r="G9" s="32">
        <v>-2.8424308197999295</v>
      </c>
      <c r="H9" s="33">
        <v>-5.0495107743197423</v>
      </c>
    </row>
    <row r="10" spans="1:8" x14ac:dyDescent="0.25">
      <c r="A10" s="34"/>
      <c r="B10" s="25" t="s">
        <v>241</v>
      </c>
      <c r="C10" s="26">
        <v>546571.59074041666</v>
      </c>
      <c r="D10" s="26">
        <v>561600.5734977579</v>
      </c>
      <c r="E10" s="26">
        <v>532504.85</v>
      </c>
      <c r="F10" s="27"/>
      <c r="G10" s="35">
        <v>-2.5736318862385588</v>
      </c>
      <c r="H10" s="29">
        <v>-5.1808571555659313</v>
      </c>
    </row>
    <row r="11" spans="1:8" x14ac:dyDescent="0.25">
      <c r="A11" s="30" t="s">
        <v>29</v>
      </c>
      <c r="B11" s="31" t="s">
        <v>3</v>
      </c>
      <c r="C11" s="20">
        <v>43194.528968609869</v>
      </c>
      <c r="D11" s="20">
        <v>44049.496322869956</v>
      </c>
      <c r="E11" s="21">
        <v>41622.741132387382</v>
      </c>
      <c r="F11" s="22" t="s">
        <v>240</v>
      </c>
      <c r="G11" s="37">
        <v>-3.638858609535319</v>
      </c>
      <c r="H11" s="33">
        <v>-5.5091553662615524</v>
      </c>
    </row>
    <row r="12" spans="1:8" x14ac:dyDescent="0.25">
      <c r="A12" s="34"/>
      <c r="B12" s="25" t="s">
        <v>241</v>
      </c>
      <c r="C12" s="26">
        <v>20054.720610243981</v>
      </c>
      <c r="D12" s="26">
        <v>24418.377937219731</v>
      </c>
      <c r="E12" s="26">
        <v>21672</v>
      </c>
      <c r="F12" s="27"/>
      <c r="G12" s="28">
        <v>8.0643326884838729</v>
      </c>
      <c r="H12" s="29">
        <v>-11.24717597655642</v>
      </c>
    </row>
    <row r="13" spans="1:8" x14ac:dyDescent="0.25">
      <c r="A13" s="30" t="s">
        <v>27</v>
      </c>
      <c r="B13" s="31" t="s">
        <v>3</v>
      </c>
      <c r="C13" s="20">
        <v>13041.85869058296</v>
      </c>
      <c r="D13" s="20">
        <v>13756.648896860986</v>
      </c>
      <c r="E13" s="21">
        <v>13740.774159918308</v>
      </c>
      <c r="F13" s="22" t="s">
        <v>240</v>
      </c>
      <c r="G13" s="23">
        <v>5.3590173449740632</v>
      </c>
      <c r="H13" s="24">
        <v>-0.11539683146453683</v>
      </c>
    </row>
    <row r="14" spans="1:8" x14ac:dyDescent="0.25">
      <c r="A14" s="34"/>
      <c r="B14" s="25" t="s">
        <v>241</v>
      </c>
      <c r="C14" s="26">
        <v>6100.4237515167497</v>
      </c>
      <c r="D14" s="26">
        <v>6079.0133811659198</v>
      </c>
      <c r="E14" s="26">
        <v>6186</v>
      </c>
      <c r="F14" s="27"/>
      <c r="G14" s="23">
        <v>1.4027918710068974</v>
      </c>
      <c r="H14" s="24">
        <v>1.7599339255535824</v>
      </c>
    </row>
    <row r="15" spans="1:8" x14ac:dyDescent="0.25">
      <c r="A15" s="30" t="s">
        <v>30</v>
      </c>
      <c r="B15" s="31" t="s">
        <v>3</v>
      </c>
      <c r="C15" s="20">
        <v>18703.811587443946</v>
      </c>
      <c r="D15" s="20">
        <v>18661.198529147983</v>
      </c>
      <c r="E15" s="21">
        <v>15430.236235199358</v>
      </c>
      <c r="F15" s="22" t="s">
        <v>240</v>
      </c>
      <c r="G15" s="37">
        <v>-17.502183108186216</v>
      </c>
      <c r="H15" s="33">
        <v>-17.313798408510593</v>
      </c>
    </row>
    <row r="16" spans="1:8" x14ac:dyDescent="0.25">
      <c r="A16" s="34"/>
      <c r="B16" s="25" t="s">
        <v>241</v>
      </c>
      <c r="C16" s="26">
        <v>10124.172720268867</v>
      </c>
      <c r="D16" s="26">
        <v>10436.351174887892</v>
      </c>
      <c r="E16" s="26">
        <v>8535</v>
      </c>
      <c r="F16" s="27"/>
      <c r="G16" s="28">
        <v>-15.696815573753497</v>
      </c>
      <c r="H16" s="29">
        <v>-18.218543464337927</v>
      </c>
    </row>
    <row r="17" spans="1:8" x14ac:dyDescent="0.25">
      <c r="A17" s="30" t="s">
        <v>31</v>
      </c>
      <c r="B17" s="31" t="s">
        <v>3</v>
      </c>
      <c r="C17" s="20">
        <v>19231.858690582958</v>
      </c>
      <c r="D17" s="20">
        <v>20348.648896860985</v>
      </c>
      <c r="E17" s="21">
        <v>20798.120206918131</v>
      </c>
      <c r="F17" s="22" t="s">
        <v>240</v>
      </c>
      <c r="G17" s="37">
        <v>8.1440985062047417</v>
      </c>
      <c r="H17" s="33">
        <v>2.2088508791681107</v>
      </c>
    </row>
    <row r="18" spans="1:8" ht="13.8" thickBot="1" x14ac:dyDescent="0.3">
      <c r="A18" s="54"/>
      <c r="B18" s="41" t="s">
        <v>241</v>
      </c>
      <c r="C18" s="42">
        <v>8248.1559972624291</v>
      </c>
      <c r="D18" s="42">
        <v>9557.0133811659198</v>
      </c>
      <c r="E18" s="42">
        <v>9468</v>
      </c>
      <c r="F18" s="43"/>
      <c r="G18" s="55">
        <v>14.78929354806624</v>
      </c>
      <c r="H18" s="45">
        <v>-0.93139328800501175</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32</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26</v>
      </c>
      <c r="B35" s="19" t="s">
        <v>3</v>
      </c>
      <c r="C35" s="73">
        <v>22305.103338272049</v>
      </c>
      <c r="D35" s="73">
        <v>24383.949006489664</v>
      </c>
      <c r="E35" s="76">
        <v>25746.604584077981</v>
      </c>
      <c r="F35" s="22" t="s">
        <v>240</v>
      </c>
      <c r="G35" s="23">
        <v>15.429210049436776</v>
      </c>
      <c r="H35" s="24">
        <v>5.5883301643456349</v>
      </c>
    </row>
    <row r="36" spans="1:8" ht="12.75" customHeight="1" x14ac:dyDescent="0.25">
      <c r="A36" s="193"/>
      <c r="B36" s="25" t="s">
        <v>241</v>
      </c>
      <c r="C36" s="75">
        <v>10117.122844498701</v>
      </c>
      <c r="D36" s="75">
        <v>12801.058734064585</v>
      </c>
      <c r="E36" s="75">
        <v>12842.554399186887</v>
      </c>
      <c r="F36" s="27"/>
      <c r="G36" s="28">
        <v>26.93880065091993</v>
      </c>
      <c r="H36" s="29">
        <v>0.32415807148731801</v>
      </c>
    </row>
    <row r="37" spans="1:8" x14ac:dyDescent="0.25">
      <c r="A37" s="30" t="s">
        <v>28</v>
      </c>
      <c r="B37" s="31" t="s">
        <v>3</v>
      </c>
      <c r="C37" s="73">
        <v>18330.114200724158</v>
      </c>
      <c r="D37" s="73">
        <v>20142.565387817278</v>
      </c>
      <c r="E37" s="76">
        <v>20946.52426419473</v>
      </c>
      <c r="F37" s="22" t="s">
        <v>240</v>
      </c>
      <c r="G37" s="32">
        <v>14.27383394789328</v>
      </c>
      <c r="H37" s="33">
        <v>3.9913430136545855</v>
      </c>
    </row>
    <row r="38" spans="1:8" x14ac:dyDescent="0.25">
      <c r="A38" s="34"/>
      <c r="B38" s="25" t="s">
        <v>241</v>
      </c>
      <c r="C38" s="75">
        <v>8559.7528878459452</v>
      </c>
      <c r="D38" s="75">
        <v>10643.228036615657</v>
      </c>
      <c r="E38" s="75">
        <v>10603.189251454181</v>
      </c>
      <c r="F38" s="27"/>
      <c r="G38" s="35">
        <v>23.872609295879627</v>
      </c>
      <c r="H38" s="29">
        <v>-0.37619024062747997</v>
      </c>
    </row>
    <row r="39" spans="1:8" x14ac:dyDescent="0.25">
      <c r="A39" s="30" t="s">
        <v>29</v>
      </c>
      <c r="B39" s="31" t="s">
        <v>3</v>
      </c>
      <c r="C39" s="73">
        <v>1517.5808785113074</v>
      </c>
      <c r="D39" s="73">
        <v>1626.4675514561447</v>
      </c>
      <c r="E39" s="76">
        <v>1897.7784578541896</v>
      </c>
      <c r="F39" s="22" t="s">
        <v>240</v>
      </c>
      <c r="G39" s="37">
        <v>25.052870968949108</v>
      </c>
      <c r="H39" s="33">
        <v>16.680991032077188</v>
      </c>
    </row>
    <row r="40" spans="1:8" x14ac:dyDescent="0.25">
      <c r="A40" s="34"/>
      <c r="B40" s="25" t="s">
        <v>241</v>
      </c>
      <c r="C40" s="75">
        <v>563.86041799003476</v>
      </c>
      <c r="D40" s="75">
        <v>888.9626845247584</v>
      </c>
      <c r="E40" s="75">
        <v>896.49499473781395</v>
      </c>
      <c r="F40" s="27"/>
      <c r="G40" s="28">
        <v>58.992361608481957</v>
      </c>
      <c r="H40" s="29">
        <v>0.84731455483783691</v>
      </c>
    </row>
    <row r="41" spans="1:8" x14ac:dyDescent="0.25">
      <c r="A41" s="30" t="s">
        <v>27</v>
      </c>
      <c r="B41" s="31" t="s">
        <v>3</v>
      </c>
      <c r="C41" s="73">
        <v>502.38507281213606</v>
      </c>
      <c r="D41" s="73">
        <v>522.77265610437314</v>
      </c>
      <c r="E41" s="76">
        <v>598.57836500316364</v>
      </c>
      <c r="F41" s="22" t="s">
        <v>240</v>
      </c>
      <c r="G41" s="23">
        <v>19.147322919564232</v>
      </c>
      <c r="H41" s="24">
        <v>14.500702745947677</v>
      </c>
    </row>
    <row r="42" spans="1:8" x14ac:dyDescent="0.25">
      <c r="A42" s="34"/>
      <c r="B42" s="25" t="s">
        <v>241</v>
      </c>
      <c r="C42" s="75">
        <v>206.98121850033584</v>
      </c>
      <c r="D42" s="75">
        <v>225.42578636476676</v>
      </c>
      <c r="E42" s="75">
        <v>254.16288942272806</v>
      </c>
      <c r="F42" s="27"/>
      <c r="G42" s="23">
        <v>22.795145986791866</v>
      </c>
      <c r="H42" s="24">
        <v>12.747921842207148</v>
      </c>
    </row>
    <row r="43" spans="1:8" x14ac:dyDescent="0.25">
      <c r="A43" s="30" t="s">
        <v>30</v>
      </c>
      <c r="B43" s="31" t="s">
        <v>3</v>
      </c>
      <c r="C43" s="73">
        <v>1112.2238392134548</v>
      </c>
      <c r="D43" s="73">
        <v>1285.7752097449561</v>
      </c>
      <c r="E43" s="76">
        <v>1373.5563808340464</v>
      </c>
      <c r="F43" s="22" t="s">
        <v>240</v>
      </c>
      <c r="G43" s="37">
        <v>23.496398153576848</v>
      </c>
      <c r="H43" s="33">
        <v>6.8271009134250278</v>
      </c>
    </row>
    <row r="44" spans="1:8" x14ac:dyDescent="0.25">
      <c r="A44" s="34"/>
      <c r="B44" s="25" t="s">
        <v>241</v>
      </c>
      <c r="C44" s="75">
        <v>530.50279140748944</v>
      </c>
      <c r="D44" s="75">
        <v>663.30091888083325</v>
      </c>
      <c r="E44" s="75">
        <v>689.83123941438896</v>
      </c>
      <c r="F44" s="27"/>
      <c r="G44" s="28">
        <v>30.033479670141105</v>
      </c>
      <c r="H44" s="29">
        <v>3.9997412604703584</v>
      </c>
    </row>
    <row r="45" spans="1:8" x14ac:dyDescent="0.25">
      <c r="A45" s="30" t="s">
        <v>31</v>
      </c>
      <c r="B45" s="31" t="s">
        <v>3</v>
      </c>
      <c r="C45" s="73">
        <v>842.79934701099444</v>
      </c>
      <c r="D45" s="73">
        <v>806.36820136690892</v>
      </c>
      <c r="E45" s="76">
        <v>1001.7534988428379</v>
      </c>
      <c r="F45" s="22" t="s">
        <v>240</v>
      </c>
      <c r="G45" s="37">
        <v>18.860260439875475</v>
      </c>
      <c r="H45" s="33">
        <v>24.230283032580274</v>
      </c>
    </row>
    <row r="46" spans="1:8" ht="13.8" thickBot="1" x14ac:dyDescent="0.3">
      <c r="A46" s="54"/>
      <c r="B46" s="41" t="s">
        <v>241</v>
      </c>
      <c r="C46" s="79">
        <v>256.02552875489386</v>
      </c>
      <c r="D46" s="79">
        <v>380.14130767857108</v>
      </c>
      <c r="E46" s="79">
        <v>398.87602415776956</v>
      </c>
      <c r="F46" s="43"/>
      <c r="G46" s="55">
        <v>55.795410753602511</v>
      </c>
      <c r="H46" s="45">
        <v>4.9283558773464335</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
      <c r="B58" s="6"/>
      <c r="C58" s="59"/>
      <c r="D58" s="59"/>
      <c r="E58" s="21"/>
      <c r="F58" s="56"/>
      <c r="G58" s="23"/>
      <c r="H58" s="23"/>
    </row>
    <row r="59" spans="1:8" x14ac:dyDescent="0.25">
      <c r="A59" s="60"/>
      <c r="B59" s="57"/>
      <c r="C59" s="21"/>
      <c r="D59" s="21"/>
      <c r="E59" s="21"/>
      <c r="F59" s="58"/>
      <c r="G59" s="23"/>
      <c r="H59" s="23"/>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11</v>
      </c>
    </row>
    <row r="62" spans="1:8" ht="12.75" customHeight="1" x14ac:dyDescent="0.25">
      <c r="A62" s="52" t="str">
        <f>+Innhold!$B$124</f>
        <v>Skadestatistikk for landbasert forsikring 2. kvartal 2025</v>
      </c>
      <c r="G62" s="51"/>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showGridLines="0" zoomScaleNormal="100" workbookViewId="0">
      <selection activeCell="D38" sqref="D38"/>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ht="12.75" customHeight="1" x14ac:dyDescent="0.25">
      <c r="A7" s="192" t="s">
        <v>26</v>
      </c>
      <c r="B7" s="19" t="s">
        <v>3</v>
      </c>
      <c r="C7" s="20">
        <v>1117181.9396860986</v>
      </c>
      <c r="D7" s="20">
        <v>1143605.2632286996</v>
      </c>
      <c r="E7" s="21">
        <v>1084768.0346196955</v>
      </c>
      <c r="F7" s="22" t="s">
        <v>240</v>
      </c>
      <c r="G7" s="23">
        <v>-2.9013989498890993</v>
      </c>
      <c r="H7" s="24">
        <v>-5.1448896311381986</v>
      </c>
    </row>
    <row r="8" spans="1:8" ht="12.75" customHeight="1" x14ac:dyDescent="0.25">
      <c r="A8" s="193"/>
      <c r="B8" s="25" t="s">
        <v>241</v>
      </c>
      <c r="C8" s="26">
        <v>591099.06381970865</v>
      </c>
      <c r="D8" s="26">
        <v>612091.32937219727</v>
      </c>
      <c r="E8" s="26">
        <v>578365.85</v>
      </c>
      <c r="F8" s="27"/>
      <c r="G8" s="28">
        <v>-2.154159023265251</v>
      </c>
      <c r="H8" s="29">
        <v>-5.50987699936681</v>
      </c>
    </row>
    <row r="9" spans="1:8" x14ac:dyDescent="0.25">
      <c r="A9" s="30" t="s">
        <v>34</v>
      </c>
      <c r="B9" s="31" t="s">
        <v>3</v>
      </c>
      <c r="C9" s="20">
        <v>11296.893599999999</v>
      </c>
      <c r="D9" s="20">
        <v>11653.158799999999</v>
      </c>
      <c r="E9" s="21">
        <v>11550.402434209793</v>
      </c>
      <c r="F9" s="22" t="s">
        <v>240</v>
      </c>
      <c r="G9" s="32">
        <v>2.2440579081827678</v>
      </c>
      <c r="H9" s="33">
        <v>-0.88178980097831072</v>
      </c>
    </row>
    <row r="10" spans="1:8" x14ac:dyDescent="0.25">
      <c r="A10" s="34"/>
      <c r="B10" s="25" t="s">
        <v>241</v>
      </c>
      <c r="C10" s="26">
        <v>4650.3721999999998</v>
      </c>
      <c r="D10" s="26">
        <v>5751.1498000000001</v>
      </c>
      <c r="E10" s="26">
        <v>5346</v>
      </c>
      <c r="F10" s="27"/>
      <c r="G10" s="35">
        <v>14.958540307805904</v>
      </c>
      <c r="H10" s="29">
        <v>-7.0446747883353709</v>
      </c>
    </row>
    <row r="11" spans="1:8" x14ac:dyDescent="0.25">
      <c r="A11" s="30" t="s">
        <v>35</v>
      </c>
      <c r="B11" s="31" t="s">
        <v>3</v>
      </c>
      <c r="C11" s="20">
        <v>3258.7914879999998</v>
      </c>
      <c r="D11" s="20">
        <v>3446.8527040000004</v>
      </c>
      <c r="E11" s="21">
        <v>3102.3678576607454</v>
      </c>
      <c r="F11" s="22" t="s">
        <v>240</v>
      </c>
      <c r="G11" s="37">
        <v>-4.8000502921178168</v>
      </c>
      <c r="H11" s="33">
        <v>-9.994185302420604</v>
      </c>
    </row>
    <row r="12" spans="1:8" x14ac:dyDescent="0.25">
      <c r="A12" s="34"/>
      <c r="B12" s="25" t="s">
        <v>241</v>
      </c>
      <c r="C12" s="26">
        <v>1554.829776</v>
      </c>
      <c r="D12" s="26">
        <v>1754.9719839999998</v>
      </c>
      <c r="E12" s="26">
        <v>1545</v>
      </c>
      <c r="F12" s="27"/>
      <c r="G12" s="28">
        <v>-0.63220914287404639</v>
      </c>
      <c r="H12" s="29">
        <v>-11.964406606732467</v>
      </c>
    </row>
    <row r="13" spans="1:8" x14ac:dyDescent="0.25">
      <c r="A13" s="30" t="s">
        <v>36</v>
      </c>
      <c r="B13" s="31" t="s">
        <v>3</v>
      </c>
      <c r="C13" s="20">
        <v>172186.00704</v>
      </c>
      <c r="D13" s="20">
        <v>177757.02032000001</v>
      </c>
      <c r="E13" s="21">
        <v>171625.96650076285</v>
      </c>
      <c r="F13" s="22" t="s">
        <v>240</v>
      </c>
      <c r="G13" s="23">
        <v>-0.32525322403640189</v>
      </c>
      <c r="H13" s="24">
        <v>-3.4491204950442835</v>
      </c>
    </row>
    <row r="14" spans="1:8" x14ac:dyDescent="0.25">
      <c r="A14" s="34"/>
      <c r="B14" s="25" t="s">
        <v>241</v>
      </c>
      <c r="C14" s="26">
        <v>82545.808080000003</v>
      </c>
      <c r="D14" s="26">
        <v>92811.592720000001</v>
      </c>
      <c r="E14" s="26">
        <v>87025</v>
      </c>
      <c r="F14" s="27"/>
      <c r="G14" s="23">
        <v>5.4263105834023122</v>
      </c>
      <c r="H14" s="24">
        <v>-6.2347736424019473</v>
      </c>
    </row>
    <row r="15" spans="1:8" x14ac:dyDescent="0.25">
      <c r="A15" s="30" t="s">
        <v>18</v>
      </c>
      <c r="B15" s="31" t="s">
        <v>3</v>
      </c>
      <c r="C15" s="20">
        <v>3134.9939200000003</v>
      </c>
      <c r="D15" s="20">
        <v>3691.3233599999999</v>
      </c>
      <c r="E15" s="21">
        <v>3637.7344429408085</v>
      </c>
      <c r="F15" s="22" t="s">
        <v>240</v>
      </c>
      <c r="G15" s="37">
        <v>16.036411418010289</v>
      </c>
      <c r="H15" s="33">
        <v>-1.451753526659104</v>
      </c>
    </row>
    <row r="16" spans="1:8" x14ac:dyDescent="0.25">
      <c r="A16" s="34"/>
      <c r="B16" s="25" t="s">
        <v>241</v>
      </c>
      <c r="C16" s="26">
        <v>1666.44984</v>
      </c>
      <c r="D16" s="26">
        <v>1840.4085600000001</v>
      </c>
      <c r="E16" s="26">
        <v>1852</v>
      </c>
      <c r="F16" s="27"/>
      <c r="G16" s="28">
        <v>11.134458148467274</v>
      </c>
      <c r="H16" s="29">
        <v>0.62982971563660328</v>
      </c>
    </row>
    <row r="17" spans="1:8" x14ac:dyDescent="0.25">
      <c r="A17" s="30" t="s">
        <v>37</v>
      </c>
      <c r="B17" s="31" t="s">
        <v>3</v>
      </c>
      <c r="C17" s="20">
        <v>2721.1872320000002</v>
      </c>
      <c r="D17" s="20">
        <v>3036.7790559999999</v>
      </c>
      <c r="E17" s="21">
        <v>2758.9463483113559</v>
      </c>
      <c r="F17" s="22" t="s">
        <v>240</v>
      </c>
      <c r="G17" s="37">
        <v>1.3875971438982475</v>
      </c>
      <c r="H17" s="33">
        <v>-9.1489272866166544</v>
      </c>
    </row>
    <row r="18" spans="1:8" x14ac:dyDescent="0.25">
      <c r="A18" s="34"/>
      <c r="B18" s="25" t="s">
        <v>241</v>
      </c>
      <c r="C18" s="26">
        <v>1384.2446640000001</v>
      </c>
      <c r="D18" s="26">
        <v>1337.4579760000001</v>
      </c>
      <c r="E18" s="26">
        <v>1272</v>
      </c>
      <c r="F18" s="27"/>
      <c r="G18" s="28">
        <v>-8.108730119692197</v>
      </c>
      <c r="H18" s="29">
        <v>-4.8942080554761276</v>
      </c>
    </row>
    <row r="19" spans="1:8" x14ac:dyDescent="0.25">
      <c r="A19" s="30" t="s">
        <v>38</v>
      </c>
      <c r="B19" s="31" t="s">
        <v>3</v>
      </c>
      <c r="C19" s="20">
        <v>6588.6524799999997</v>
      </c>
      <c r="D19" s="20">
        <v>6817.0878400000001</v>
      </c>
      <c r="E19" s="21">
        <v>6223.1688477148409</v>
      </c>
      <c r="F19" s="22" t="s">
        <v>240</v>
      </c>
      <c r="G19" s="23">
        <v>-5.5471681560773192</v>
      </c>
      <c r="H19" s="24">
        <v>-8.7122097620669621</v>
      </c>
    </row>
    <row r="20" spans="1:8" x14ac:dyDescent="0.25">
      <c r="A20" s="30"/>
      <c r="B20" s="25" t="s">
        <v>241</v>
      </c>
      <c r="C20" s="26">
        <v>2590.3829599999999</v>
      </c>
      <c r="D20" s="26">
        <v>3298.2866399999998</v>
      </c>
      <c r="E20" s="26">
        <v>2796</v>
      </c>
      <c r="F20" s="27"/>
      <c r="G20" s="23">
        <v>7.9377081757826318</v>
      </c>
      <c r="H20" s="24">
        <v>-15.228714021046997</v>
      </c>
    </row>
    <row r="21" spans="1:8" x14ac:dyDescent="0.25">
      <c r="A21" s="38" t="s">
        <v>39</v>
      </c>
      <c r="B21" s="31" t="s">
        <v>3</v>
      </c>
      <c r="C21" s="20">
        <v>310660.70208000002</v>
      </c>
      <c r="D21" s="20">
        <v>318538.84464000002</v>
      </c>
      <c r="E21" s="21">
        <v>335066.28787691816</v>
      </c>
      <c r="F21" s="22" t="s">
        <v>240</v>
      </c>
      <c r="G21" s="37">
        <v>7.856026086824869</v>
      </c>
      <c r="H21" s="33">
        <v>5.1885173551115145</v>
      </c>
    </row>
    <row r="22" spans="1:8" x14ac:dyDescent="0.25">
      <c r="A22" s="34"/>
      <c r="B22" s="25" t="s">
        <v>241</v>
      </c>
      <c r="C22" s="26">
        <v>174530.04215999998</v>
      </c>
      <c r="D22" s="26">
        <v>172836.01944</v>
      </c>
      <c r="E22" s="26">
        <v>183900</v>
      </c>
      <c r="F22" s="27"/>
      <c r="G22" s="28">
        <v>5.3686790675327529</v>
      </c>
      <c r="H22" s="29">
        <v>6.4014321759133281</v>
      </c>
    </row>
    <row r="23" spans="1:8" x14ac:dyDescent="0.25">
      <c r="A23" s="38" t="s">
        <v>40</v>
      </c>
      <c r="B23" s="31" t="s">
        <v>3</v>
      </c>
      <c r="C23" s="20">
        <v>280540.57439999998</v>
      </c>
      <c r="D23" s="20">
        <v>290610.63520000002</v>
      </c>
      <c r="E23" s="21">
        <v>252130.99066708656</v>
      </c>
      <c r="F23" s="22" t="s">
        <v>240</v>
      </c>
      <c r="G23" s="23">
        <v>-10.126729010116918</v>
      </c>
      <c r="H23" s="24">
        <v>-13.240962260872365</v>
      </c>
    </row>
    <row r="24" spans="1:8" x14ac:dyDescent="0.25">
      <c r="A24" s="34"/>
      <c r="B24" s="25" t="s">
        <v>241</v>
      </c>
      <c r="C24" s="26">
        <v>143407.48879999999</v>
      </c>
      <c r="D24" s="26">
        <v>155237.5992</v>
      </c>
      <c r="E24" s="26">
        <v>132693</v>
      </c>
      <c r="F24" s="27"/>
      <c r="G24" s="23">
        <v>-7.4713593339206312</v>
      </c>
      <c r="H24" s="24">
        <v>-14.522640981425326</v>
      </c>
    </row>
    <row r="25" spans="1:8" x14ac:dyDescent="0.25">
      <c r="A25" s="30" t="s">
        <v>41</v>
      </c>
      <c r="B25" s="31" t="s">
        <v>3</v>
      </c>
      <c r="C25" s="20">
        <v>428281.62760000001</v>
      </c>
      <c r="D25" s="20">
        <v>436285.55579999997</v>
      </c>
      <c r="E25" s="21">
        <v>413425.77193829813</v>
      </c>
      <c r="F25" s="22" t="s">
        <v>240</v>
      </c>
      <c r="G25" s="37">
        <v>-3.4687118718939587</v>
      </c>
      <c r="H25" s="33">
        <v>-5.2396380209710998</v>
      </c>
    </row>
    <row r="26" spans="1:8" x14ac:dyDescent="0.25">
      <c r="A26" s="34"/>
      <c r="B26" s="25" t="s">
        <v>241</v>
      </c>
      <c r="C26" s="26">
        <v>202906.8027</v>
      </c>
      <c r="D26" s="26">
        <v>228742.02429999999</v>
      </c>
      <c r="E26" s="26">
        <v>209316</v>
      </c>
      <c r="F26" s="27"/>
      <c r="G26" s="28">
        <v>3.1586902039337161</v>
      </c>
      <c r="H26" s="29">
        <v>-8.4925471650641526</v>
      </c>
    </row>
    <row r="27" spans="1:8" x14ac:dyDescent="0.25">
      <c r="A27" s="30" t="s">
        <v>24</v>
      </c>
      <c r="B27" s="31" t="s">
        <v>3</v>
      </c>
      <c r="C27" s="20">
        <v>243324.0496</v>
      </c>
      <c r="D27" s="20">
        <v>260126.7568</v>
      </c>
      <c r="E27" s="21">
        <v>244273.20211846728</v>
      </c>
      <c r="F27" s="22" t="s">
        <v>240</v>
      </c>
      <c r="G27" s="23">
        <v>0.39007756118954262</v>
      </c>
      <c r="H27" s="24">
        <v>-6.0945497789455914</v>
      </c>
    </row>
    <row r="28" spans="1:8" ht="13.8" thickBot="1" x14ac:dyDescent="0.3">
      <c r="A28" s="54"/>
      <c r="B28" s="41" t="s">
        <v>241</v>
      </c>
      <c r="C28" s="42">
        <v>116077.65919999999</v>
      </c>
      <c r="D28" s="42">
        <v>136380.7328</v>
      </c>
      <c r="E28" s="42">
        <v>123977</v>
      </c>
      <c r="F28" s="43"/>
      <c r="G28" s="55">
        <v>6.8052206207824781</v>
      </c>
      <c r="H28" s="45">
        <v>-9.0949304534020001</v>
      </c>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33</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ht="12.75" customHeight="1" x14ac:dyDescent="0.25">
      <c r="A35" s="192" t="s">
        <v>26</v>
      </c>
      <c r="B35" s="19" t="s">
        <v>3</v>
      </c>
      <c r="C35" s="73">
        <v>22305.103338272049</v>
      </c>
      <c r="D35" s="73">
        <v>24383.949006489664</v>
      </c>
      <c r="E35" s="76">
        <v>25746.604584077981</v>
      </c>
      <c r="F35" s="22" t="s">
        <v>240</v>
      </c>
      <c r="G35" s="23">
        <v>15.429210049436776</v>
      </c>
      <c r="H35" s="24">
        <v>5.5883301643456349</v>
      </c>
    </row>
    <row r="36" spans="1:8" ht="12.75" customHeight="1" x14ac:dyDescent="0.25">
      <c r="A36" s="193"/>
      <c r="B36" s="25" t="s">
        <v>241</v>
      </c>
      <c r="C36" s="75">
        <v>10117.122844498701</v>
      </c>
      <c r="D36" s="75">
        <v>12801.058734064589</v>
      </c>
      <c r="E36" s="75">
        <v>12842.554399186889</v>
      </c>
      <c r="F36" s="27"/>
      <c r="G36" s="28">
        <v>26.938800650919958</v>
      </c>
      <c r="H36" s="29">
        <v>0.32415807148728959</v>
      </c>
    </row>
    <row r="37" spans="1:8" x14ac:dyDescent="0.25">
      <c r="A37" s="30" t="s">
        <v>34</v>
      </c>
      <c r="B37" s="31" t="s">
        <v>3</v>
      </c>
      <c r="C37" s="77">
        <v>1586.2190352356931</v>
      </c>
      <c r="D37" s="77">
        <v>1698.6260868707034</v>
      </c>
      <c r="E37" s="76">
        <v>2083.3924813220929</v>
      </c>
      <c r="F37" s="22" t="s">
        <v>240</v>
      </c>
      <c r="G37" s="32">
        <v>31.343303480942382</v>
      </c>
      <c r="H37" s="33">
        <v>22.651624005152655</v>
      </c>
    </row>
    <row r="38" spans="1:8" x14ac:dyDescent="0.25">
      <c r="A38" s="34"/>
      <c r="B38" s="25" t="s">
        <v>241</v>
      </c>
      <c r="C38" s="75">
        <v>752.38807674652026</v>
      </c>
      <c r="D38" s="75">
        <v>1014.3243094480936</v>
      </c>
      <c r="E38" s="75">
        <v>1145.2409173582816</v>
      </c>
      <c r="F38" s="27"/>
      <c r="G38" s="35">
        <v>52.214123635576129</v>
      </c>
      <c r="H38" s="29">
        <v>12.906780079186063</v>
      </c>
    </row>
    <row r="39" spans="1:8" x14ac:dyDescent="0.25">
      <c r="A39" s="30" t="s">
        <v>35</v>
      </c>
      <c r="B39" s="31" t="s">
        <v>3</v>
      </c>
      <c r="C39" s="77">
        <v>45.676338946069095</v>
      </c>
      <c r="D39" s="77">
        <v>50.318908378235591</v>
      </c>
      <c r="E39" s="76">
        <v>48.748919497991274</v>
      </c>
      <c r="F39" s="22" t="s">
        <v>240</v>
      </c>
      <c r="G39" s="37">
        <v>6.72685382151586</v>
      </c>
      <c r="H39" s="33">
        <v>-3.1200773841178631</v>
      </c>
    </row>
    <row r="40" spans="1:8" x14ac:dyDescent="0.25">
      <c r="A40" s="34"/>
      <c r="B40" s="25" t="s">
        <v>241</v>
      </c>
      <c r="C40" s="75">
        <v>27.845083963762931</v>
      </c>
      <c r="D40" s="75">
        <v>33.281770762358391</v>
      </c>
      <c r="E40" s="75">
        <v>31.355261972900461</v>
      </c>
      <c r="F40" s="27"/>
      <c r="G40" s="28">
        <v>12.606095976243452</v>
      </c>
      <c r="H40" s="29">
        <v>-5.7884804363739164</v>
      </c>
    </row>
    <row r="41" spans="1:8" x14ac:dyDescent="0.25">
      <c r="A41" s="30" t="s">
        <v>36</v>
      </c>
      <c r="B41" s="31" t="s">
        <v>3</v>
      </c>
      <c r="C41" s="77">
        <v>3547.0350266030227</v>
      </c>
      <c r="D41" s="77">
        <v>4002.327379723813</v>
      </c>
      <c r="E41" s="76">
        <v>4623.2259425991124</v>
      </c>
      <c r="F41" s="22" t="s">
        <v>240</v>
      </c>
      <c r="G41" s="23">
        <v>30.340577635252515</v>
      </c>
      <c r="H41" s="24">
        <v>15.513437656820201</v>
      </c>
    </row>
    <row r="42" spans="1:8" x14ac:dyDescent="0.25">
      <c r="A42" s="34"/>
      <c r="B42" s="25" t="s">
        <v>241</v>
      </c>
      <c r="C42" s="75">
        <v>1452.3113789733984</v>
      </c>
      <c r="D42" s="75">
        <v>1928.9544132845174</v>
      </c>
      <c r="E42" s="75">
        <v>2103.9925675792083</v>
      </c>
      <c r="F42" s="27"/>
      <c r="G42" s="23">
        <v>44.872001833826204</v>
      </c>
      <c r="H42" s="24">
        <v>9.0742504379170725</v>
      </c>
    </row>
    <row r="43" spans="1:8" x14ac:dyDescent="0.25">
      <c r="A43" s="30" t="s">
        <v>18</v>
      </c>
      <c r="B43" s="31" t="s">
        <v>3</v>
      </c>
      <c r="C43" s="77">
        <v>286.53926207238612</v>
      </c>
      <c r="D43" s="77">
        <v>389.57711537961683</v>
      </c>
      <c r="E43" s="76">
        <v>354.8382378010586</v>
      </c>
      <c r="F43" s="22" t="s">
        <v>240</v>
      </c>
      <c r="G43" s="37">
        <v>23.835817554181688</v>
      </c>
      <c r="H43" s="33">
        <v>-8.9170734643146403</v>
      </c>
    </row>
    <row r="44" spans="1:8" x14ac:dyDescent="0.25">
      <c r="A44" s="34"/>
      <c r="B44" s="25" t="s">
        <v>241</v>
      </c>
      <c r="C44" s="75">
        <v>129.74018011491199</v>
      </c>
      <c r="D44" s="75">
        <v>212.76634994112646</v>
      </c>
      <c r="E44" s="75">
        <v>181.3304047467382</v>
      </c>
      <c r="F44" s="27"/>
      <c r="G44" s="28">
        <v>39.7642616081867</v>
      </c>
      <c r="H44" s="29">
        <v>-14.774866985821191</v>
      </c>
    </row>
    <row r="45" spans="1:8" x14ac:dyDescent="0.25">
      <c r="A45" s="30" t="s">
        <v>37</v>
      </c>
      <c r="B45" s="31" t="s">
        <v>3</v>
      </c>
      <c r="C45" s="77">
        <v>124.01726400207801</v>
      </c>
      <c r="D45" s="77">
        <v>153.57262747055282</v>
      </c>
      <c r="E45" s="76">
        <v>149.55989607461561</v>
      </c>
      <c r="F45" s="22" t="s">
        <v>240</v>
      </c>
      <c r="G45" s="37">
        <v>20.596029333552806</v>
      </c>
      <c r="H45" s="33">
        <v>-2.6129209755863911</v>
      </c>
    </row>
    <row r="46" spans="1:8" x14ac:dyDescent="0.25">
      <c r="A46" s="34"/>
      <c r="B46" s="25" t="s">
        <v>241</v>
      </c>
      <c r="C46" s="75">
        <v>50.545460405122903</v>
      </c>
      <c r="D46" s="75">
        <v>61.976214523913121</v>
      </c>
      <c r="E46" s="75">
        <v>60.555177104847992</v>
      </c>
      <c r="F46" s="27"/>
      <c r="G46" s="28">
        <v>19.803394052595436</v>
      </c>
      <c r="H46" s="29">
        <v>-2.2928754684054269</v>
      </c>
    </row>
    <row r="47" spans="1:8" x14ac:dyDescent="0.25">
      <c r="A47" s="30" t="s">
        <v>38</v>
      </c>
      <c r="B47" s="31" t="s">
        <v>3</v>
      </c>
      <c r="C47" s="77">
        <v>197.85474358581553</v>
      </c>
      <c r="D47" s="77">
        <v>234.86771488655751</v>
      </c>
      <c r="E47" s="76">
        <v>223.16353773298943</v>
      </c>
      <c r="F47" s="22" t="s">
        <v>240</v>
      </c>
      <c r="G47" s="23">
        <v>12.791603420009338</v>
      </c>
      <c r="H47" s="24">
        <v>-4.9833060960384756</v>
      </c>
    </row>
    <row r="48" spans="1:8" x14ac:dyDescent="0.25">
      <c r="A48" s="30"/>
      <c r="B48" s="25" t="s">
        <v>241</v>
      </c>
      <c r="C48" s="75">
        <v>64.357950111111009</v>
      </c>
      <c r="D48" s="75">
        <v>115.01190563922351</v>
      </c>
      <c r="E48" s="75">
        <v>93.523619572442698</v>
      </c>
      <c r="F48" s="27"/>
      <c r="G48" s="23">
        <v>45.317896873624022</v>
      </c>
      <c r="H48" s="24">
        <v>-18.683531889460738</v>
      </c>
    </row>
    <row r="49" spans="1:8" x14ac:dyDescent="0.25">
      <c r="A49" s="38" t="s">
        <v>39</v>
      </c>
      <c r="B49" s="31" t="s">
        <v>3</v>
      </c>
      <c r="C49" s="77">
        <v>2094.913818640026</v>
      </c>
      <c r="D49" s="77">
        <v>2216.6781347931296</v>
      </c>
      <c r="E49" s="76">
        <v>2305.6128917379988</v>
      </c>
      <c r="F49" s="22" t="s">
        <v>240</v>
      </c>
      <c r="G49" s="37">
        <v>10.057648731094531</v>
      </c>
      <c r="H49" s="33">
        <v>4.0120735414376725</v>
      </c>
    </row>
    <row r="50" spans="1:8" x14ac:dyDescent="0.25">
      <c r="A50" s="34"/>
      <c r="B50" s="25" t="s">
        <v>241</v>
      </c>
      <c r="C50" s="75">
        <v>1026.7338056669939</v>
      </c>
      <c r="D50" s="75">
        <v>1228.4319304113455</v>
      </c>
      <c r="E50" s="75">
        <v>1224.3660236050016</v>
      </c>
      <c r="F50" s="27"/>
      <c r="G50" s="28">
        <v>19.248632590763918</v>
      </c>
      <c r="H50" s="29">
        <v>-0.33098348436631397</v>
      </c>
    </row>
    <row r="51" spans="1:8" x14ac:dyDescent="0.25">
      <c r="A51" s="38" t="s">
        <v>40</v>
      </c>
      <c r="B51" s="31" t="s">
        <v>3</v>
      </c>
      <c r="C51" s="77">
        <v>1206.5147935258947</v>
      </c>
      <c r="D51" s="77">
        <v>1318.0774466039093</v>
      </c>
      <c r="E51" s="76">
        <v>1379.4459638168628</v>
      </c>
      <c r="F51" s="22" t="s">
        <v>240</v>
      </c>
      <c r="G51" s="23">
        <v>14.333116445725253</v>
      </c>
      <c r="H51" s="24">
        <v>4.6559113329093407</v>
      </c>
    </row>
    <row r="52" spans="1:8" x14ac:dyDescent="0.25">
      <c r="A52" s="34"/>
      <c r="B52" s="25" t="s">
        <v>241</v>
      </c>
      <c r="C52" s="75">
        <v>541.61201162356201</v>
      </c>
      <c r="D52" s="75">
        <v>683.02469616125097</v>
      </c>
      <c r="E52" s="75">
        <v>679.84622590766924</v>
      </c>
      <c r="F52" s="27"/>
      <c r="G52" s="23">
        <v>25.522737922619143</v>
      </c>
      <c r="H52" s="24">
        <v>-0.46535217122388417</v>
      </c>
    </row>
    <row r="53" spans="1:8" x14ac:dyDescent="0.25">
      <c r="A53" s="30" t="s">
        <v>41</v>
      </c>
      <c r="B53" s="31" t="s">
        <v>3</v>
      </c>
      <c r="C53" s="77">
        <v>11142.007602277617</v>
      </c>
      <c r="D53" s="77">
        <v>11945.370972834635</v>
      </c>
      <c r="E53" s="76">
        <v>12256.925158124626</v>
      </c>
      <c r="F53" s="22" t="s">
        <v>240</v>
      </c>
      <c r="G53" s="37">
        <v>10.0064332716763</v>
      </c>
      <c r="H53" s="33">
        <v>2.6081583066654588</v>
      </c>
    </row>
    <row r="54" spans="1:8" x14ac:dyDescent="0.25">
      <c r="A54" s="34"/>
      <c r="B54" s="25" t="s">
        <v>241</v>
      </c>
      <c r="C54" s="75">
        <v>5149.6672784279963</v>
      </c>
      <c r="D54" s="75">
        <v>6330.6914062939486</v>
      </c>
      <c r="E54" s="75">
        <v>6193.0425491363512</v>
      </c>
      <c r="F54" s="27"/>
      <c r="G54" s="28">
        <v>20.261022980631466</v>
      </c>
      <c r="H54" s="29">
        <v>-2.1743100132909206</v>
      </c>
    </row>
    <row r="55" spans="1:8" x14ac:dyDescent="0.25">
      <c r="A55" s="30" t="s">
        <v>24</v>
      </c>
      <c r="B55" s="31" t="s">
        <v>3</v>
      </c>
      <c r="C55" s="77">
        <v>2074.3254533834452</v>
      </c>
      <c r="D55" s="77">
        <v>2374.532619548504</v>
      </c>
      <c r="E55" s="76">
        <v>2345.9837398210007</v>
      </c>
      <c r="F55" s="22" t="s">
        <v>240</v>
      </c>
      <c r="G55" s="23">
        <v>13.096222967059106</v>
      </c>
      <c r="H55" s="24">
        <v>-1.2022946954896554</v>
      </c>
    </row>
    <row r="56" spans="1:8" ht="13.8" thickBot="1" x14ac:dyDescent="0.3">
      <c r="A56" s="54"/>
      <c r="B56" s="41" t="s">
        <v>241</v>
      </c>
      <c r="C56" s="79">
        <v>921.92161846532019</v>
      </c>
      <c r="D56" s="79">
        <v>1192.5957375988094</v>
      </c>
      <c r="E56" s="79">
        <v>1129.3016522034434</v>
      </c>
      <c r="F56" s="43"/>
      <c r="G56" s="55">
        <v>22.494323767278516</v>
      </c>
      <c r="H56" s="45">
        <v>-5.3072540341963048</v>
      </c>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87">
        <v>12</v>
      </c>
    </row>
    <row r="62" spans="1:8" ht="12.75" customHeight="1" x14ac:dyDescent="0.25">
      <c r="A62" s="52" t="str">
        <f>+Innhold!$B$124</f>
        <v>Skadestatistikk for landbasert forsikring 2. kvartal 2025</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zoomScaleNormal="100" workbookViewId="0">
      <selection activeCell="A7" sqref="A7:A8"/>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0" t="s">
        <v>1</v>
      </c>
      <c r="H5" s="191"/>
    </row>
    <row r="6" spans="1:8" x14ac:dyDescent="0.25">
      <c r="A6" s="12"/>
      <c r="B6" s="13"/>
      <c r="C6" s="14" t="s">
        <v>235</v>
      </c>
      <c r="D6" s="15" t="s">
        <v>236</v>
      </c>
      <c r="E6" s="15" t="s">
        <v>237</v>
      </c>
      <c r="F6" s="16"/>
      <c r="G6" s="17" t="s">
        <v>238</v>
      </c>
      <c r="H6" s="18" t="s">
        <v>239</v>
      </c>
    </row>
    <row r="7" spans="1:8" x14ac:dyDescent="0.25">
      <c r="A7" s="192" t="s">
        <v>17</v>
      </c>
      <c r="B7" s="19" t="s">
        <v>3</v>
      </c>
      <c r="C7" s="20">
        <v>450068.52559340064</v>
      </c>
      <c r="D7" s="20">
        <v>471768.76188981324</v>
      </c>
      <c r="E7" s="21">
        <v>417633.00254035648</v>
      </c>
      <c r="F7" s="22" t="s">
        <v>240</v>
      </c>
      <c r="G7" s="23">
        <v>-7.206796567318051</v>
      </c>
      <c r="H7" s="24">
        <v>-11.475062302260014</v>
      </c>
    </row>
    <row r="8" spans="1:8" x14ac:dyDescent="0.25">
      <c r="A8" s="193"/>
      <c r="B8" s="25" t="s">
        <v>241</v>
      </c>
      <c r="C8" s="26">
        <v>206176.41524433173</v>
      </c>
      <c r="D8" s="26">
        <v>239334.47946390763</v>
      </c>
      <c r="E8" s="26">
        <v>204546</v>
      </c>
      <c r="F8" s="27"/>
      <c r="G8" s="28">
        <v>-0.79078649340156915</v>
      </c>
      <c r="H8" s="29">
        <v>-14.535506769367856</v>
      </c>
    </row>
    <row r="9" spans="1:8" x14ac:dyDescent="0.25">
      <c r="A9" s="30" t="s">
        <v>18</v>
      </c>
      <c r="B9" s="31" t="s">
        <v>3</v>
      </c>
      <c r="C9" s="20">
        <v>27970.220086956524</v>
      </c>
      <c r="D9" s="20">
        <v>30910.074226086956</v>
      </c>
      <c r="E9" s="21">
        <v>24493.195076652981</v>
      </c>
      <c r="F9" s="22" t="s">
        <v>240</v>
      </c>
      <c r="G9" s="32">
        <v>-12.431167861725186</v>
      </c>
      <c r="H9" s="33">
        <v>-20.759830929226197</v>
      </c>
    </row>
    <row r="10" spans="1:8" x14ac:dyDescent="0.25">
      <c r="A10" s="34"/>
      <c r="B10" s="25" t="s">
        <v>241</v>
      </c>
      <c r="C10" s="26">
        <v>11169.856852738745</v>
      </c>
      <c r="D10" s="26">
        <v>15507.469322926783</v>
      </c>
      <c r="E10" s="26">
        <v>11321</v>
      </c>
      <c r="F10" s="27"/>
      <c r="G10" s="35">
        <v>1.353134147141688</v>
      </c>
      <c r="H10" s="29">
        <v>-26.996470125124546</v>
      </c>
    </row>
    <row r="11" spans="1:8" x14ac:dyDescent="0.25">
      <c r="A11" s="30" t="s">
        <v>19</v>
      </c>
      <c r="B11" s="31" t="s">
        <v>3</v>
      </c>
      <c r="C11" s="20">
        <v>85037.066956521739</v>
      </c>
      <c r="D11" s="20">
        <v>90040.914086956531</v>
      </c>
      <c r="E11" s="21">
        <v>67028.468969726237</v>
      </c>
      <c r="F11" s="22" t="s">
        <v>240</v>
      </c>
      <c r="G11" s="37">
        <v>-21.177350808680927</v>
      </c>
      <c r="H11" s="33">
        <v>-25.557764878981743</v>
      </c>
    </row>
    <row r="12" spans="1:8" x14ac:dyDescent="0.25">
      <c r="A12" s="34"/>
      <c r="B12" s="25" t="s">
        <v>241</v>
      </c>
      <c r="C12" s="26">
        <v>36718.291062373901</v>
      </c>
      <c r="D12" s="26">
        <v>51400.231076422613</v>
      </c>
      <c r="E12" s="26">
        <v>34554</v>
      </c>
      <c r="F12" s="27"/>
      <c r="G12" s="28">
        <v>-5.894313160428382</v>
      </c>
      <c r="H12" s="29">
        <v>-32.77462128793816</v>
      </c>
    </row>
    <row r="13" spans="1:8" x14ac:dyDescent="0.25">
      <c r="A13" s="30" t="s">
        <v>20</v>
      </c>
      <c r="B13" s="31" t="s">
        <v>3</v>
      </c>
      <c r="C13" s="20">
        <v>39041.936645962734</v>
      </c>
      <c r="D13" s="20">
        <v>40751.006708074536</v>
      </c>
      <c r="E13" s="21">
        <v>37379.10483292304</v>
      </c>
      <c r="F13" s="22" t="s">
        <v>240</v>
      </c>
      <c r="G13" s="23">
        <v>-4.2590915202759163</v>
      </c>
      <c r="H13" s="24">
        <v>-8.274401413703913</v>
      </c>
    </row>
    <row r="14" spans="1:8" x14ac:dyDescent="0.25">
      <c r="A14" s="34"/>
      <c r="B14" s="25" t="s">
        <v>241</v>
      </c>
      <c r="C14" s="26">
        <v>17471.384521592878</v>
      </c>
      <c r="D14" s="26">
        <v>19102.919560201241</v>
      </c>
      <c r="E14" s="26">
        <v>17249</v>
      </c>
      <c r="F14" s="27"/>
      <c r="G14" s="23">
        <v>-1.2728500212334666</v>
      </c>
      <c r="H14" s="24">
        <v>-9.7049016741067646</v>
      </c>
    </row>
    <row r="15" spans="1:8" x14ac:dyDescent="0.25">
      <c r="A15" s="30" t="s">
        <v>21</v>
      </c>
      <c r="B15" s="31" t="s">
        <v>3</v>
      </c>
      <c r="C15" s="20">
        <v>8856.8981884057976</v>
      </c>
      <c r="D15" s="20">
        <v>9603.126956521739</v>
      </c>
      <c r="E15" s="21">
        <v>9741.2103810179597</v>
      </c>
      <c r="F15" s="22" t="s">
        <v>240</v>
      </c>
      <c r="G15" s="37">
        <v>9.9844457258160446</v>
      </c>
      <c r="H15" s="33">
        <v>1.4379006455021823</v>
      </c>
    </row>
    <row r="16" spans="1:8" x14ac:dyDescent="0.25">
      <c r="A16" s="34"/>
      <c r="B16" s="25" t="s">
        <v>241</v>
      </c>
      <c r="C16" s="26">
        <v>4211.1772067478469</v>
      </c>
      <c r="D16" s="26">
        <v>4781.3098717253624</v>
      </c>
      <c r="E16" s="26">
        <v>4775</v>
      </c>
      <c r="F16" s="27"/>
      <c r="G16" s="28">
        <v>13.388721622749642</v>
      </c>
      <c r="H16" s="29">
        <v>-0.1319695207933762</v>
      </c>
    </row>
    <row r="17" spans="1:8" x14ac:dyDescent="0.25">
      <c r="A17" s="30" t="s">
        <v>22</v>
      </c>
      <c r="B17" s="31" t="s">
        <v>3</v>
      </c>
      <c r="C17" s="20">
        <v>9076.8981884057957</v>
      </c>
      <c r="D17" s="20">
        <v>9583.126956521739</v>
      </c>
      <c r="E17" s="21">
        <v>12441.096035283312</v>
      </c>
      <c r="F17" s="22" t="s">
        <v>240</v>
      </c>
      <c r="G17" s="37">
        <v>37.063298244048951</v>
      </c>
      <c r="H17" s="33">
        <v>29.822928275165964</v>
      </c>
    </row>
    <row r="18" spans="1:8" x14ac:dyDescent="0.25">
      <c r="A18" s="34"/>
      <c r="B18" s="25" t="s">
        <v>241</v>
      </c>
      <c r="C18" s="26">
        <v>3678.945138339921</v>
      </c>
      <c r="D18" s="26">
        <v>4270.3098717253624</v>
      </c>
      <c r="E18" s="26">
        <v>5366</v>
      </c>
      <c r="F18" s="27"/>
      <c r="G18" s="28">
        <v>45.857026898241315</v>
      </c>
      <c r="H18" s="29">
        <v>25.658328345899136</v>
      </c>
    </row>
    <row r="19" spans="1:8" x14ac:dyDescent="0.25">
      <c r="A19" s="30" t="s">
        <v>189</v>
      </c>
      <c r="B19" s="31" t="s">
        <v>3</v>
      </c>
      <c r="C19" s="20">
        <v>240331.84161490682</v>
      </c>
      <c r="D19" s="20">
        <v>243804.51677018634</v>
      </c>
      <c r="E19" s="21">
        <v>228240.91864278659</v>
      </c>
      <c r="F19" s="22" t="s">
        <v>240</v>
      </c>
      <c r="G19" s="23">
        <v>-5.0309284408072728</v>
      </c>
      <c r="H19" s="24">
        <v>-6.3836381432056157</v>
      </c>
    </row>
    <row r="20" spans="1:8" x14ac:dyDescent="0.25">
      <c r="A20" s="30"/>
      <c r="B20" s="25" t="s">
        <v>241</v>
      </c>
      <c r="C20" s="26">
        <v>101721.66774459592</v>
      </c>
      <c r="D20" s="26">
        <v>120309.7989005031</v>
      </c>
      <c r="E20" s="26">
        <v>106728</v>
      </c>
      <c r="F20" s="27"/>
      <c r="G20" s="23">
        <v>4.9215986784389258</v>
      </c>
      <c r="H20" s="24">
        <v>-11.289021363700655</v>
      </c>
    </row>
    <row r="21" spans="1:8" x14ac:dyDescent="0.25">
      <c r="A21" s="38" t="s">
        <v>12</v>
      </c>
      <c r="B21" s="31" t="s">
        <v>3</v>
      </c>
      <c r="C21" s="20">
        <v>2749.338913043478</v>
      </c>
      <c r="D21" s="20">
        <v>2836.0761739130435</v>
      </c>
      <c r="E21" s="21">
        <v>3333.6033860808311</v>
      </c>
      <c r="F21" s="22" t="s">
        <v>240</v>
      </c>
      <c r="G21" s="37">
        <v>21.251089498841779</v>
      </c>
      <c r="H21" s="33">
        <v>17.542801450263241</v>
      </c>
    </row>
    <row r="22" spans="1:8" x14ac:dyDescent="0.25">
      <c r="A22" s="34"/>
      <c r="B22" s="25" t="s">
        <v>241</v>
      </c>
      <c r="C22" s="26">
        <v>878.57664450127879</v>
      </c>
      <c r="D22" s="26">
        <v>1395.1859230352175</v>
      </c>
      <c r="E22" s="26">
        <v>1390</v>
      </c>
      <c r="F22" s="27"/>
      <c r="G22" s="28">
        <v>58.210442845203232</v>
      </c>
      <c r="H22" s="29">
        <v>-0.37170121555810454</v>
      </c>
    </row>
    <row r="23" spans="1:8" x14ac:dyDescent="0.25">
      <c r="A23" s="38" t="s">
        <v>23</v>
      </c>
      <c r="B23" s="31" t="s">
        <v>3</v>
      </c>
      <c r="C23" s="20">
        <v>12407.898188405798</v>
      </c>
      <c r="D23" s="20">
        <v>13037.126956521739</v>
      </c>
      <c r="E23" s="21">
        <v>13224.019300955715</v>
      </c>
      <c r="F23" s="22" t="s">
        <v>240</v>
      </c>
      <c r="G23" s="23">
        <v>6.5774323753923056</v>
      </c>
      <c r="H23" s="24">
        <v>1.4335393454190779</v>
      </c>
    </row>
    <row r="24" spans="1:8" x14ac:dyDescent="0.25">
      <c r="A24" s="34"/>
      <c r="B24" s="25" t="s">
        <v>241</v>
      </c>
      <c r="C24" s="26">
        <v>6439.5624507719076</v>
      </c>
      <c r="D24" s="26">
        <v>6323.3098717253624</v>
      </c>
      <c r="E24" s="26">
        <v>6557</v>
      </c>
      <c r="F24" s="27"/>
      <c r="G24" s="28">
        <v>1.8236883348186979</v>
      </c>
      <c r="H24" s="29">
        <v>3.6956931261518804</v>
      </c>
    </row>
    <row r="25" spans="1:8" x14ac:dyDescent="0.25">
      <c r="A25" s="30" t="s">
        <v>24</v>
      </c>
      <c r="B25" s="31" t="s">
        <v>3</v>
      </c>
      <c r="C25" s="20">
        <v>45644.796376811595</v>
      </c>
      <c r="D25" s="20">
        <v>49753.253913043474</v>
      </c>
      <c r="E25" s="21">
        <v>39996.353472842624</v>
      </c>
      <c r="F25" s="22" t="s">
        <v>240</v>
      </c>
      <c r="G25" s="23">
        <v>-12.374779498060121</v>
      </c>
      <c r="H25" s="24">
        <v>-19.610577545849623</v>
      </c>
    </row>
    <row r="26" spans="1:8" ht="13.8" thickBot="1" x14ac:dyDescent="0.3">
      <c r="A26" s="40"/>
      <c r="B26" s="41" t="s">
        <v>241</v>
      </c>
      <c r="C26" s="42">
        <v>30237.637338887209</v>
      </c>
      <c r="D26" s="42">
        <v>26602.619743450727</v>
      </c>
      <c r="E26" s="42">
        <v>22855</v>
      </c>
      <c r="F26" s="43"/>
      <c r="G26" s="44">
        <v>-24.415390846006161</v>
      </c>
      <c r="H26" s="45">
        <v>-14.087408607091604</v>
      </c>
    </row>
    <row r="31" spans="1:8" x14ac:dyDescent="0.25">
      <c r="A31" s="46"/>
      <c r="B31" s="47"/>
      <c r="C31" s="48"/>
      <c r="D31" s="53"/>
      <c r="E31" s="48"/>
      <c r="F31" s="48"/>
      <c r="G31" s="49"/>
      <c r="H31" s="49"/>
    </row>
    <row r="32" spans="1:8" ht="16.2" thickBot="1" x14ac:dyDescent="0.35">
      <c r="A32" s="4" t="s">
        <v>25</v>
      </c>
      <c r="B32" s="5"/>
      <c r="C32" s="5"/>
      <c r="D32" s="5"/>
      <c r="E32" s="5"/>
      <c r="F32" s="5"/>
      <c r="G32" s="5"/>
      <c r="H32" s="6"/>
    </row>
    <row r="33" spans="1:8" x14ac:dyDescent="0.25">
      <c r="A33" s="7"/>
      <c r="B33" s="8"/>
      <c r="C33" s="195" t="s">
        <v>16</v>
      </c>
      <c r="D33" s="190"/>
      <c r="E33" s="190"/>
      <c r="F33" s="196"/>
      <c r="G33" s="190" t="s">
        <v>1</v>
      </c>
      <c r="H33" s="191"/>
    </row>
    <row r="34" spans="1:8" x14ac:dyDescent="0.25">
      <c r="A34" s="12"/>
      <c r="B34" s="13"/>
      <c r="C34" s="14" t="s">
        <v>235</v>
      </c>
      <c r="D34" s="15" t="s">
        <v>236</v>
      </c>
      <c r="E34" s="15" t="s">
        <v>237</v>
      </c>
      <c r="F34" s="16"/>
      <c r="G34" s="17" t="s">
        <v>238</v>
      </c>
      <c r="H34" s="18" t="s">
        <v>239</v>
      </c>
    </row>
    <row r="35" spans="1:8" x14ac:dyDescent="0.25">
      <c r="A35" s="192" t="s">
        <v>17</v>
      </c>
      <c r="B35" s="19" t="s">
        <v>3</v>
      </c>
      <c r="C35" s="73">
        <v>12671.146060842102</v>
      </c>
      <c r="D35" s="73">
        <v>12228.72573985527</v>
      </c>
      <c r="E35" s="76">
        <v>10827.990268513651</v>
      </c>
      <c r="F35" s="22" t="s">
        <v>240</v>
      </c>
      <c r="G35" s="23">
        <v>-14.546085914236215</v>
      </c>
      <c r="H35" s="24">
        <v>-11.454467956349774</v>
      </c>
    </row>
    <row r="36" spans="1:8" x14ac:dyDescent="0.25">
      <c r="A36" s="193"/>
      <c r="B36" s="25" t="s">
        <v>241</v>
      </c>
      <c r="C36" s="75">
        <v>5274.6595201486416</v>
      </c>
      <c r="D36" s="75">
        <v>7031.3108390325851</v>
      </c>
      <c r="E36" s="75">
        <v>5523.8919930607635</v>
      </c>
      <c r="F36" s="27"/>
      <c r="G36" s="28">
        <v>4.7250912018127451</v>
      </c>
      <c r="H36" s="29">
        <v>-21.438660307886806</v>
      </c>
    </row>
    <row r="37" spans="1:8" x14ac:dyDescent="0.25">
      <c r="A37" s="30" t="s">
        <v>18</v>
      </c>
      <c r="B37" s="31" t="s">
        <v>3</v>
      </c>
      <c r="C37" s="73">
        <v>3554.5070710760669</v>
      </c>
      <c r="D37" s="73">
        <v>3729.6637691422588</v>
      </c>
      <c r="E37" s="76">
        <v>3468.8689456356533</v>
      </c>
      <c r="F37" s="22" t="s">
        <v>240</v>
      </c>
      <c r="G37" s="32">
        <v>-2.40928274238847</v>
      </c>
      <c r="H37" s="33">
        <v>-6.992448640124536</v>
      </c>
    </row>
    <row r="38" spans="1:8" x14ac:dyDescent="0.25">
      <c r="A38" s="34"/>
      <c r="B38" s="25" t="s">
        <v>241</v>
      </c>
      <c r="C38" s="75">
        <v>1574.1317366444764</v>
      </c>
      <c r="D38" s="75">
        <v>2172.0328819842325</v>
      </c>
      <c r="E38" s="75">
        <v>1828.1787291827384</v>
      </c>
      <c r="F38" s="27"/>
      <c r="G38" s="35">
        <v>16.138864786488909</v>
      </c>
      <c r="H38" s="29">
        <v>-15.83098283886801</v>
      </c>
    </row>
    <row r="39" spans="1:8" x14ac:dyDescent="0.25">
      <c r="A39" s="30" t="s">
        <v>19</v>
      </c>
      <c r="B39" s="31" t="s">
        <v>3</v>
      </c>
      <c r="C39" s="73">
        <v>5120.6675226879752</v>
      </c>
      <c r="D39" s="73">
        <v>4739.8604108759819</v>
      </c>
      <c r="E39" s="76">
        <v>3968.1373277926218</v>
      </c>
      <c r="F39" s="22" t="s">
        <v>240</v>
      </c>
      <c r="G39" s="37">
        <v>-22.507420952226937</v>
      </c>
      <c r="H39" s="33">
        <v>-16.281557180725841</v>
      </c>
    </row>
    <row r="40" spans="1:8" x14ac:dyDescent="0.25">
      <c r="A40" s="34"/>
      <c r="B40" s="25" t="s">
        <v>241</v>
      </c>
      <c r="C40" s="75">
        <v>1909.8351304315886</v>
      </c>
      <c r="D40" s="75">
        <v>2789.7532580262991</v>
      </c>
      <c r="E40" s="75">
        <v>1958.2011158545022</v>
      </c>
      <c r="F40" s="27"/>
      <c r="G40" s="28">
        <v>2.5324691462756732</v>
      </c>
      <c r="H40" s="29">
        <v>-29.807372382463143</v>
      </c>
    </row>
    <row r="41" spans="1:8" x14ac:dyDescent="0.25">
      <c r="A41" s="30" t="s">
        <v>20</v>
      </c>
      <c r="B41" s="31" t="s">
        <v>3</v>
      </c>
      <c r="C41" s="73">
        <v>545.97330363704884</v>
      </c>
      <c r="D41" s="73">
        <v>542.1307191545784</v>
      </c>
      <c r="E41" s="76">
        <v>560.94983257852687</v>
      </c>
      <c r="F41" s="22" t="s">
        <v>240</v>
      </c>
      <c r="G41" s="23">
        <v>2.7430881403377469</v>
      </c>
      <c r="H41" s="24">
        <v>3.4713239370194344</v>
      </c>
    </row>
    <row r="42" spans="1:8" x14ac:dyDescent="0.25">
      <c r="A42" s="34"/>
      <c r="B42" s="25" t="s">
        <v>241</v>
      </c>
      <c r="C42" s="75">
        <v>235.11779890459644</v>
      </c>
      <c r="D42" s="75">
        <v>266.53453703707731</v>
      </c>
      <c r="E42" s="75">
        <v>263.35167346241332</v>
      </c>
      <c r="F42" s="27"/>
      <c r="G42" s="23">
        <v>12.008395233945393</v>
      </c>
      <c r="H42" s="24">
        <v>-1.1941655329347611</v>
      </c>
    </row>
    <row r="43" spans="1:8" x14ac:dyDescent="0.25">
      <c r="A43" s="30" t="s">
        <v>21</v>
      </c>
      <c r="B43" s="31" t="s">
        <v>3</v>
      </c>
      <c r="C43" s="73">
        <v>101.18136764183718</v>
      </c>
      <c r="D43" s="73">
        <v>110.49618885356318</v>
      </c>
      <c r="E43" s="76">
        <v>109.55324987402311</v>
      </c>
      <c r="F43" s="22" t="s">
        <v>240</v>
      </c>
      <c r="G43" s="37">
        <v>8.2741342870762367</v>
      </c>
      <c r="H43" s="33">
        <v>-0.85336787569183059</v>
      </c>
    </row>
    <row r="44" spans="1:8" x14ac:dyDescent="0.25">
      <c r="A44" s="34"/>
      <c r="B44" s="25" t="s">
        <v>241</v>
      </c>
      <c r="C44" s="75">
        <v>46.59563629683597</v>
      </c>
      <c r="D44" s="75">
        <v>56.391969468326188</v>
      </c>
      <c r="E44" s="75">
        <v>53.964106433039298</v>
      </c>
      <c r="F44" s="27"/>
      <c r="G44" s="28">
        <v>15.813648491164997</v>
      </c>
      <c r="H44" s="29">
        <v>-4.305334710202942</v>
      </c>
    </row>
    <row r="45" spans="1:8" x14ac:dyDescent="0.25">
      <c r="A45" s="30" t="s">
        <v>22</v>
      </c>
      <c r="B45" s="31" t="s">
        <v>3</v>
      </c>
      <c r="C45" s="73">
        <v>56.763969948136406</v>
      </c>
      <c r="D45" s="73">
        <v>60.568276110441253</v>
      </c>
      <c r="E45" s="76">
        <v>87.566125021482236</v>
      </c>
      <c r="F45" s="22" t="s">
        <v>240</v>
      </c>
      <c r="G45" s="37">
        <v>54.26356736762574</v>
      </c>
      <c r="H45" s="33">
        <v>44.57424025378009</v>
      </c>
    </row>
    <row r="46" spans="1:8" x14ac:dyDescent="0.25">
      <c r="A46" s="34"/>
      <c r="B46" s="25" t="s">
        <v>241</v>
      </c>
      <c r="C46" s="75">
        <v>22.806923280691787</v>
      </c>
      <c r="D46" s="75">
        <v>27.405228800105078</v>
      </c>
      <c r="E46" s="75">
        <v>38.022135032814305</v>
      </c>
      <c r="F46" s="27"/>
      <c r="G46" s="28">
        <v>66.713127259053095</v>
      </c>
      <c r="H46" s="29">
        <v>38.740440045764245</v>
      </c>
    </row>
    <row r="47" spans="1:8" x14ac:dyDescent="0.25">
      <c r="A47" s="30" t="s">
        <v>189</v>
      </c>
      <c r="B47" s="31" t="s">
        <v>3</v>
      </c>
      <c r="C47" s="73">
        <v>1572.6771620382347</v>
      </c>
      <c r="D47" s="73">
        <v>1501.9659579247657</v>
      </c>
      <c r="E47" s="76">
        <v>1370.1155754849631</v>
      </c>
      <c r="F47" s="22" t="s">
        <v>240</v>
      </c>
      <c r="G47" s="23">
        <v>-12.880048839187438</v>
      </c>
      <c r="H47" s="24">
        <v>-8.7785200286414948</v>
      </c>
    </row>
    <row r="48" spans="1:8" x14ac:dyDescent="0.25">
      <c r="A48" s="30"/>
      <c r="B48" s="25" t="s">
        <v>241</v>
      </c>
      <c r="C48" s="75">
        <v>637.7286950462111</v>
      </c>
      <c r="D48" s="75">
        <v>836.1108264246667</v>
      </c>
      <c r="E48" s="75">
        <v>678.40897117724103</v>
      </c>
      <c r="F48" s="27"/>
      <c r="G48" s="23">
        <v>6.3789314244487798</v>
      </c>
      <c r="H48" s="24">
        <v>-18.861357880244427</v>
      </c>
    </row>
    <row r="49" spans="1:8" x14ac:dyDescent="0.25">
      <c r="A49" s="38" t="s">
        <v>12</v>
      </c>
      <c r="B49" s="31" t="s">
        <v>3</v>
      </c>
      <c r="C49" s="73">
        <v>39.377140170397048</v>
      </c>
      <c r="D49" s="73">
        <v>41.078995755065378</v>
      </c>
      <c r="E49" s="76">
        <v>49.855756061475361</v>
      </c>
      <c r="F49" s="22" t="s">
        <v>240</v>
      </c>
      <c r="G49" s="37">
        <v>26.610911421535704</v>
      </c>
      <c r="H49" s="33">
        <v>21.365566867168923</v>
      </c>
    </row>
    <row r="50" spans="1:8" x14ac:dyDescent="0.25">
      <c r="A50" s="34"/>
      <c r="B50" s="25" t="s">
        <v>241</v>
      </c>
      <c r="C50" s="75">
        <v>17.186111795539805</v>
      </c>
      <c r="D50" s="75">
        <v>25.88181065479375</v>
      </c>
      <c r="E50" s="75">
        <v>27.365349819209502</v>
      </c>
      <c r="F50" s="27"/>
      <c r="G50" s="28">
        <v>59.229441451157356</v>
      </c>
      <c r="H50" s="29">
        <v>5.7319759587259682</v>
      </c>
    </row>
    <row r="51" spans="1:8" x14ac:dyDescent="0.25">
      <c r="A51" s="38" t="s">
        <v>23</v>
      </c>
      <c r="B51" s="31" t="s">
        <v>3</v>
      </c>
      <c r="C51" s="73">
        <v>416.94552770584698</v>
      </c>
      <c r="D51" s="73">
        <v>371.44159312933158</v>
      </c>
      <c r="E51" s="76">
        <v>328.56904343649092</v>
      </c>
      <c r="F51" s="22" t="s">
        <v>240</v>
      </c>
      <c r="G51" s="23">
        <v>-21.196170338036396</v>
      </c>
      <c r="H51" s="24">
        <v>-11.542204881162291</v>
      </c>
    </row>
    <row r="52" spans="1:8" x14ac:dyDescent="0.25">
      <c r="A52" s="34"/>
      <c r="B52" s="25" t="s">
        <v>241</v>
      </c>
      <c r="C52" s="75">
        <v>186.97924440918905</v>
      </c>
      <c r="D52" s="75">
        <v>184.90805966759021</v>
      </c>
      <c r="E52" s="75">
        <v>157.77665143060977</v>
      </c>
      <c r="F52" s="27"/>
      <c r="G52" s="28">
        <v>-15.618093372263147</v>
      </c>
      <c r="H52" s="29">
        <v>-14.672918144160207</v>
      </c>
    </row>
    <row r="53" spans="1:8" x14ac:dyDescent="0.25">
      <c r="A53" s="30" t="s">
        <v>24</v>
      </c>
      <c r="B53" s="31" t="s">
        <v>3</v>
      </c>
      <c r="C53" s="73">
        <v>1263.0529959365588</v>
      </c>
      <c r="D53" s="73">
        <v>1132.345020409284</v>
      </c>
      <c r="E53" s="76">
        <v>921.25207183465011</v>
      </c>
      <c r="F53" s="22" t="s">
        <v>240</v>
      </c>
      <c r="G53" s="23">
        <v>-27.061487142783108</v>
      </c>
      <c r="H53" s="24">
        <v>-18.642105080157876</v>
      </c>
    </row>
    <row r="54" spans="1:8" ht="13.8" thickBot="1" x14ac:dyDescent="0.3">
      <c r="A54" s="40"/>
      <c r="B54" s="41" t="s">
        <v>241</v>
      </c>
      <c r="C54" s="79">
        <v>644.27824333951196</v>
      </c>
      <c r="D54" s="79">
        <v>672.29226696949331</v>
      </c>
      <c r="E54" s="79">
        <v>518.62326066819514</v>
      </c>
      <c r="F54" s="43"/>
      <c r="G54" s="44">
        <v>-19.503216812041416</v>
      </c>
      <c r="H54" s="45">
        <v>-22.857470456115067</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88">
        <v>13</v>
      </c>
    </row>
    <row r="62" spans="1:8" ht="12.75" customHeight="1" x14ac:dyDescent="0.25">
      <c r="A62" s="52" t="str">
        <f>+Innhold!$B$124</f>
        <v>Skadestatistikk for landbasert forsikring 2. kvartal 2025</v>
      </c>
      <c r="G62" s="51"/>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683EF44FAD7C47A850056520B2E969" ma:contentTypeVersion="19" ma:contentTypeDescription="Opprett et nytt dokument." ma:contentTypeScope="" ma:versionID="acd26d890e8a7192c810a3847c58ccec">
  <xsd:schema xmlns:xsd="http://www.w3.org/2001/XMLSchema" xmlns:xs="http://www.w3.org/2001/XMLSchema" xmlns:p="http://schemas.microsoft.com/office/2006/metadata/properties" xmlns:ns2="c0a106e9-1018-4606-bc95-f0056290cdbf" xmlns:ns3="d1f0685f-21c9-4365-9f92-50f85d18d402" targetNamespace="http://schemas.microsoft.com/office/2006/metadata/properties" ma:root="true" ma:fieldsID="1af4d56effe732669e7aba05e838938a" ns2:_="" ns3:_="">
    <xsd:import namespace="c0a106e9-1018-4606-bc95-f0056290cdbf"/>
    <xsd:import namespace="d1f0685f-21c9-4365-9f92-50f85d18d4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a106e9-1018-4606-bc95-f0056290cdbf"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SearchProperties" ma:index="8" nillable="true" ma:displayName="MediaServiceSearchProperties" ma:hidden="true" ma:internalName="MediaServiceSearchProperties" ma:readOnly="true">
      <xsd:simpleType>
        <xsd:restriction base="dms:Note"/>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d0b69f77-55ff-434e-ae2e-5cb16f27438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f0685f-21c9-4365-9f92-50f85d18d4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7e74b48-2924-426a-b68e-c8f27751ab6c}" ma:internalName="TaxCatchAll" ma:showField="CatchAllData" ma:web="d1f0685f-21c9-4365-9f92-50f85d18d4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1f0685f-21c9-4365-9f92-50f85d18d402" xsi:nil="true"/>
    <lcf76f155ced4ddcb4097134ff3c332f xmlns="c0a106e9-1018-4606-bc95-f0056290cd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BD9A88-53AB-48C4-94F7-4269BA93B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a106e9-1018-4606-bc95-f0056290cdbf"/>
    <ds:schemaRef ds:uri="d1f0685f-21c9-4365-9f92-50f85d18d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2F823F-3175-4A0E-A017-4B3D6C392160}">
  <ds:schemaRefs>
    <ds:schemaRef ds:uri="http://schemas.microsoft.com/office/2006/metadata/properties"/>
    <ds:schemaRef ds:uri="http://schemas.microsoft.com/office/infopath/2007/PartnerControls"/>
    <ds:schemaRef ds:uri="d1f0685f-21c9-4365-9f92-50f85d18d402"/>
    <ds:schemaRef ds:uri="c0a106e9-1018-4606-bc95-f0056290cdbf"/>
  </ds:schemaRefs>
</ds:datastoreItem>
</file>

<file path=customXml/itemProps3.xml><?xml version="1.0" encoding="utf-8"?>
<ds:datastoreItem xmlns:ds="http://schemas.openxmlformats.org/officeDocument/2006/customXml" ds:itemID="{1FE61A67-2711-49FE-85CB-2801689949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Espen Navrud</cp:lastModifiedBy>
  <cp:lastPrinted>2014-09-12T11:46:46Z</cp:lastPrinted>
  <dcterms:created xsi:type="dcterms:W3CDTF">2002-02-09T09:48:14Z</dcterms:created>
  <dcterms:modified xsi:type="dcterms:W3CDTF">2025-08-27T10:01:11Z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0x01010090683EF44FAD7C47A850056520B2E969</vt:lpwstr>
  </property>
  <property fmtid="{D5CDD505-2E9C-101B-9397-08002B2CF9AE}" pid="3" name="MediaServiceImageTags">
    <vt:lpwstr/>
  </property>
</Properties>
</file>